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6.2023년도공사\07.평창군 에코랜드 조성사업(전기)\08.설계변경\"/>
    </mc:Choice>
  </mc:AlternateContent>
  <xr:revisionPtr revIDLastSave="0" documentId="13_ncr:1_{1E0124EC-0F4B-425B-99F2-FCD0BFC908F3}" xr6:coauthVersionLast="47" xr6:coauthVersionMax="47" xr10:uidLastSave="{00000000-0000-0000-0000-000000000000}"/>
  <bookViews>
    <workbookView xWindow="-120" yWindow="-120" windowWidth="29040" windowHeight="15840" firstSheet="4" activeTab="10" xr2:uid="{0FC5958F-48DC-4107-B138-1D591CAF4EE8}"/>
  </bookViews>
  <sheets>
    <sheet name="증감총괄" sheetId="1" r:id="rId1"/>
    <sheet name="표지(설계서)" sheetId="2" r:id="rId2"/>
    <sheet name="설계서(결재란)" sheetId="3" r:id="rId3"/>
    <sheet name="목차(설계변경용)" sheetId="4" r:id="rId4"/>
    <sheet name="1.설계변경사유서" sheetId="5" r:id="rId5"/>
    <sheet name="3.시방서" sheetId="6" r:id="rId6"/>
    <sheet name="4.보안및기타사항" sheetId="7" r:id="rId7"/>
    <sheet name="5.예정" sheetId="8" r:id="rId8"/>
    <sheet name="6.동원" sheetId="9" r:id="rId9"/>
    <sheet name="갑지" sheetId="11" r:id="rId10"/>
    <sheet name="7-1.증감내역" sheetId="10" r:id="rId11"/>
    <sheet name="원가계산" sheetId="12" r:id="rId12"/>
    <sheet name="공종별집계표" sheetId="13" r:id="rId13"/>
    <sheet name="증감대비표" sheetId="14" r:id="rId14"/>
    <sheet name="변경내역서" sheetId="15" r:id="rId15"/>
    <sheet name="신규_공종별내역서" sheetId="16" r:id="rId16"/>
    <sheet name="일위대가목록" sheetId="17" r:id="rId17"/>
    <sheet name="신규_일위대가목록" sheetId="18" r:id="rId18"/>
    <sheet name="일위대가" sheetId="19" r:id="rId19"/>
    <sheet name="신규_일위대가" sheetId="20" r:id="rId20"/>
    <sheet name="일위노임" sheetId="21" r:id="rId21"/>
    <sheet name="합산자재" sheetId="22" r:id="rId22"/>
    <sheet name="신규_단가대비표" sheetId="23" r:id="rId23"/>
    <sheet name="신규_공량산출근거서_일위대가" sheetId="24" r:id="rId24"/>
    <sheet name="한전불입금" sheetId="25" r:id="rId25"/>
    <sheet name="단가조사" sheetId="26" r:id="rId26"/>
    <sheet name="옵션" sheetId="27" r:id="rId27"/>
  </sheets>
  <externalReferences>
    <externalReference r:id="rId28"/>
    <externalReference r:id="rId29"/>
    <externalReference r:id="rId30"/>
    <externalReference r:id="rId31"/>
  </externalReferences>
  <definedNames>
    <definedName name="_xlnm.Print_Area" localSheetId="4">'1.설계변경사유서'!$A$1:$O$10</definedName>
    <definedName name="_xlnm.Print_Area" localSheetId="5">'3.시방서'!$A$1:$O$10</definedName>
    <definedName name="_xlnm.Print_Area" localSheetId="6">'4.보안및기타사항'!$A$1:$L$19</definedName>
    <definedName name="_xlnm.Print_Area" localSheetId="7">'5.예정'!$A$1:$O$10</definedName>
    <definedName name="_xlnm.Print_Area" localSheetId="8">'6.동원'!$A$1:$O$10</definedName>
    <definedName name="_xlnm.Print_Area" localSheetId="10">'7-1.증감내역'!$A$1:$E$23</definedName>
    <definedName name="_xlnm.Print_Area" localSheetId="9">갑지!$B$2:$AK$28</definedName>
    <definedName name="_xlnm.Print_Area" localSheetId="12">공종별집계표!$A$1:$Q$155</definedName>
    <definedName name="_xlnm.Print_Area" localSheetId="3">'목차(설계변경용)'!$A$1:$AD$13</definedName>
    <definedName name="_xlnm.Print_Area" localSheetId="14">변경내역서!$A$1:$R$776</definedName>
    <definedName name="_xlnm.Print_Area" localSheetId="2">'설계서(결재란)'!$A$1:$AI$16</definedName>
    <definedName name="_xlnm.Print_Area" localSheetId="23">신규_공량산출근거서_일위대가!$A$1:$P$313</definedName>
    <definedName name="_xlnm.Print_Area" localSheetId="15">신규_공종별내역서!$A$1:$L$268</definedName>
    <definedName name="_xlnm.Print_Area" localSheetId="22">신규_단가대비표!$A$1:$X$156</definedName>
    <definedName name="_xlnm.Print_Area" localSheetId="19">신규_일위대가!$A$1:$M$692</definedName>
    <definedName name="_xlnm.Print_Area" localSheetId="17">신규_일위대가목록!$A$1:$M$103</definedName>
    <definedName name="_xlnm.Print_Area" localSheetId="11">원가계산!$A$1:$P$38</definedName>
    <definedName name="_xlnm.Print_Area" localSheetId="20">일위노임!$A$1:$T$341</definedName>
    <definedName name="_xlnm.Print_Area" localSheetId="18">일위대가!$A$1:$Q$705</definedName>
    <definedName name="_xlnm.Print_Area" localSheetId="13">증감대비표!$B$1:$N$385</definedName>
    <definedName name="_xlnm.Print_Area" localSheetId="1">'표지(설계서)'!$A$1:$AG$17</definedName>
    <definedName name="_xlnm.Print_Titles" localSheetId="12">공종별집계표!$1:$3</definedName>
    <definedName name="_xlnm.Print_Titles" localSheetId="25">단가조사!$1:$3</definedName>
    <definedName name="_xlnm.Print_Titles" localSheetId="14">변경내역서!$1:$3</definedName>
    <definedName name="_xlnm.Print_Titles" localSheetId="23">신규_공량산출근거서_일위대가!$1:$3</definedName>
    <definedName name="_xlnm.Print_Titles" localSheetId="15">신규_공종별내역서!$1:$3</definedName>
    <definedName name="_xlnm.Print_Titles" localSheetId="22">신규_단가대비표!$1:$4</definedName>
    <definedName name="_xlnm.Print_Titles" localSheetId="19">신규_일위대가!$1:$3</definedName>
    <definedName name="_xlnm.Print_Titles" localSheetId="17">신규_일위대가목록!$1:$3</definedName>
    <definedName name="_xlnm.Print_Titles" localSheetId="20">일위노임!$1:$3</definedName>
    <definedName name="_xlnm.Print_Titles" localSheetId="18">일위대가!$1:$3</definedName>
    <definedName name="_xlnm.Print_Titles" localSheetId="16">일위대가목록!$1:$3</definedName>
    <definedName name="_xlnm.Print_Titles" localSheetId="13">증감대비표!$2:$6</definedName>
    <definedName name="_xlnm.Print_Titles" localSheetId="21">합산자재!$1:$3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164" i="15" l="1"/>
  <c r="H151" i="15"/>
  <c r="I151" i="15"/>
  <c r="H167" i="15"/>
  <c r="I167" i="15"/>
  <c r="N116" i="15"/>
  <c r="N117" i="15"/>
  <c r="N118" i="15"/>
  <c r="N119" i="15"/>
  <c r="N120" i="15"/>
  <c r="N121" i="15"/>
  <c r="N122" i="15"/>
  <c r="N123" i="15"/>
  <c r="N124" i="15"/>
  <c r="I66" i="14" s="1"/>
  <c r="N125" i="15"/>
  <c r="F66" i="14" s="1"/>
  <c r="N126" i="15"/>
  <c r="N127" i="15"/>
  <c r="F67" i="14" s="1"/>
  <c r="N128" i="15"/>
  <c r="N129" i="15"/>
  <c r="N130" i="15"/>
  <c r="N131" i="15"/>
  <c r="N132" i="15"/>
  <c r="N133" i="15"/>
  <c r="N134" i="15"/>
  <c r="N135" i="15"/>
  <c r="F71" i="14" s="1"/>
  <c r="N136" i="15"/>
  <c r="I72" i="14" s="1"/>
  <c r="N137" i="15"/>
  <c r="F72" i="14" s="1"/>
  <c r="N138" i="15"/>
  <c r="I73" i="14" s="1"/>
  <c r="N139" i="15"/>
  <c r="F73" i="14" s="1"/>
  <c r="N140" i="15"/>
  <c r="N141" i="15"/>
  <c r="N142" i="15"/>
  <c r="N143" i="15"/>
  <c r="N144" i="15"/>
  <c r="N146" i="15"/>
  <c r="I77" i="14" s="1"/>
  <c r="N148" i="15"/>
  <c r="N150" i="15"/>
  <c r="I79" i="14" s="1"/>
  <c r="J151" i="15"/>
  <c r="N151" i="15" s="1"/>
  <c r="F79" i="14" s="1"/>
  <c r="K151" i="15"/>
  <c r="N152" i="15"/>
  <c r="N154" i="15"/>
  <c r="I81" i="14" s="1"/>
  <c r="N156" i="15"/>
  <c r="N158" i="15"/>
  <c r="I83" i="14" s="1"/>
  <c r="N160" i="15"/>
  <c r="N162" i="15"/>
  <c r="I85" i="14" s="1"/>
  <c r="N164" i="15"/>
  <c r="N166" i="15"/>
  <c r="J167" i="15"/>
  <c r="N167" i="15" s="1"/>
  <c r="F87" i="14" s="1"/>
  <c r="K167" i="15"/>
  <c r="N168" i="15"/>
  <c r="K87" i="14"/>
  <c r="K84" i="14"/>
  <c r="K81" i="14"/>
  <c r="I78" i="14"/>
  <c r="O140" i="15"/>
  <c r="O138" i="15"/>
  <c r="I71" i="14"/>
  <c r="O132" i="15"/>
  <c r="I68" i="14"/>
  <c r="O126" i="15"/>
  <c r="I65" i="14"/>
  <c r="O120" i="15"/>
  <c r="O116" i="15"/>
  <c r="F63" i="14"/>
  <c r="I67" i="14"/>
  <c r="I69" i="14"/>
  <c r="I74" i="14"/>
  <c r="I75" i="14"/>
  <c r="F75" i="14"/>
  <c r="I82" i="14"/>
  <c r="I86" i="14"/>
  <c r="I87" i="14"/>
  <c r="I88" i="14"/>
  <c r="I84" i="14"/>
  <c r="I80" i="14"/>
  <c r="I76" i="14"/>
  <c r="I63" i="14"/>
  <c r="O29" i="15"/>
  <c r="O47" i="15"/>
  <c r="O45" i="15"/>
  <c r="O43" i="15"/>
  <c r="O41" i="15"/>
  <c r="O39" i="15"/>
  <c r="Q39" i="15" s="1"/>
  <c r="O37" i="15"/>
  <c r="O35" i="15"/>
  <c r="O33" i="15"/>
  <c r="O31" i="15"/>
  <c r="O27" i="15"/>
  <c r="Q27" i="15" s="1"/>
  <c r="O25" i="15"/>
  <c r="O23" i="15"/>
  <c r="O21" i="15"/>
  <c r="O19" i="15"/>
  <c r="O17" i="15"/>
  <c r="O15" i="15"/>
  <c r="Q15" i="15" s="1"/>
  <c r="O13" i="15"/>
  <c r="O11" i="15"/>
  <c r="O9" i="15"/>
  <c r="O7" i="15"/>
  <c r="O5" i="15"/>
  <c r="M41" i="15"/>
  <c r="M39" i="15"/>
  <c r="M37" i="15"/>
  <c r="M35" i="15"/>
  <c r="M33" i="15"/>
  <c r="I113" i="15"/>
  <c r="N5" i="15"/>
  <c r="N7" i="15"/>
  <c r="N9" i="15"/>
  <c r="N11" i="15"/>
  <c r="N12" i="15"/>
  <c r="N13" i="15"/>
  <c r="N14" i="15"/>
  <c r="N15" i="15"/>
  <c r="F11" i="14" s="1"/>
  <c r="N16" i="15"/>
  <c r="I12" i="14" s="1"/>
  <c r="N17" i="15"/>
  <c r="N18" i="15"/>
  <c r="I13" i="14" s="1"/>
  <c r="N19" i="15"/>
  <c r="F13" i="14" s="1"/>
  <c r="N20" i="15"/>
  <c r="N21" i="15"/>
  <c r="N22" i="15"/>
  <c r="N23" i="15"/>
  <c r="N24" i="15"/>
  <c r="N25" i="15"/>
  <c r="N26" i="15"/>
  <c r="N27" i="15"/>
  <c r="F17" i="14" s="1"/>
  <c r="N28" i="15"/>
  <c r="N29" i="15"/>
  <c r="N30" i="15"/>
  <c r="I19" i="14" s="1"/>
  <c r="N31" i="15"/>
  <c r="F19" i="14" s="1"/>
  <c r="N32" i="15"/>
  <c r="N33" i="15"/>
  <c r="N34" i="15"/>
  <c r="N35" i="15"/>
  <c r="N36" i="15"/>
  <c r="N37" i="15"/>
  <c r="N38" i="15"/>
  <c r="N39" i="15"/>
  <c r="N40" i="15"/>
  <c r="I24" i="14" s="1"/>
  <c r="N41" i="15"/>
  <c r="N42" i="15"/>
  <c r="I25" i="14" s="1"/>
  <c r="N43" i="15"/>
  <c r="N44" i="15"/>
  <c r="N45" i="15"/>
  <c r="N46" i="15"/>
  <c r="N47" i="15"/>
  <c r="I126" i="22"/>
  <c r="I125" i="22"/>
  <c r="I124" i="22"/>
  <c r="I123" i="22"/>
  <c r="I122" i="22"/>
  <c r="I121" i="22"/>
  <c r="I120" i="22"/>
  <c r="J119" i="22"/>
  <c r="I119" i="22"/>
  <c r="K78" i="19" s="1"/>
  <c r="H119" i="22"/>
  <c r="J118" i="22"/>
  <c r="I118" i="22"/>
  <c r="H118" i="22"/>
  <c r="J117" i="22"/>
  <c r="I117" i="22"/>
  <c r="H117" i="22"/>
  <c r="J116" i="22"/>
  <c r="I116" i="22"/>
  <c r="H116" i="22"/>
  <c r="J115" i="22"/>
  <c r="I115" i="22"/>
  <c r="H115" i="22"/>
  <c r="J114" i="22"/>
  <c r="I114" i="22"/>
  <c r="H114" i="22"/>
  <c r="H318" i="21"/>
  <c r="H315" i="21"/>
  <c r="H314" i="21"/>
  <c r="H310" i="21"/>
  <c r="H309" i="21"/>
  <c r="H305" i="21"/>
  <c r="H304" i="21"/>
  <c r="H300" i="21"/>
  <c r="H299" i="21"/>
  <c r="H295" i="21"/>
  <c r="H294" i="21"/>
  <c r="H290" i="21"/>
  <c r="H289" i="21"/>
  <c r="H285" i="21"/>
  <c r="H284" i="21"/>
  <c r="H280" i="21"/>
  <c r="H279" i="21"/>
  <c r="H275" i="21"/>
  <c r="H272" i="21"/>
  <c r="H269" i="21"/>
  <c r="H266" i="21"/>
  <c r="H263" i="21"/>
  <c r="H260" i="21"/>
  <c r="H257" i="21"/>
  <c r="H254" i="21"/>
  <c r="H251" i="21"/>
  <c r="H248" i="21"/>
  <c r="H245" i="21"/>
  <c r="H242" i="21"/>
  <c r="H241" i="21"/>
  <c r="H237" i="21"/>
  <c r="H236" i="21"/>
  <c r="H232" i="21"/>
  <c r="H229" i="21"/>
  <c r="H228" i="21"/>
  <c r="H224" i="21"/>
  <c r="H221" i="21"/>
  <c r="H220" i="21"/>
  <c r="H216" i="21"/>
  <c r="H215" i="21"/>
  <c r="H211" i="21"/>
  <c r="H210" i="21"/>
  <c r="H206" i="21"/>
  <c r="H203" i="21"/>
  <c r="H200" i="21"/>
  <c r="H199" i="21"/>
  <c r="H195" i="21"/>
  <c r="H192" i="21"/>
  <c r="H189" i="21"/>
  <c r="H186" i="21"/>
  <c r="H183" i="21"/>
  <c r="H180" i="21"/>
  <c r="H177" i="21"/>
  <c r="H174" i="21"/>
  <c r="H171" i="21"/>
  <c r="H168" i="21"/>
  <c r="H165" i="21"/>
  <c r="H162" i="21"/>
  <c r="H159" i="21"/>
  <c r="H156" i="21"/>
  <c r="H153" i="21"/>
  <c r="H150" i="21"/>
  <c r="H147" i="21"/>
  <c r="H144" i="21"/>
  <c r="H141" i="21"/>
  <c r="H138" i="21"/>
  <c r="H135" i="21"/>
  <c r="H132" i="21"/>
  <c r="H129" i="21"/>
  <c r="H126" i="21"/>
  <c r="H123" i="21"/>
  <c r="H120" i="21"/>
  <c r="H117" i="21"/>
  <c r="H114" i="21"/>
  <c r="H113" i="21"/>
  <c r="H109" i="21"/>
  <c r="H108" i="21"/>
  <c r="H104" i="21"/>
  <c r="H103" i="21"/>
  <c r="H99" i="21"/>
  <c r="H98" i="21"/>
  <c r="H94" i="21"/>
  <c r="H91" i="21"/>
  <c r="H88" i="21"/>
  <c r="H85" i="21"/>
  <c r="H84" i="21"/>
  <c r="H80" i="21"/>
  <c r="H79" i="21"/>
  <c r="H75" i="21"/>
  <c r="H72" i="21"/>
  <c r="H69" i="21"/>
  <c r="H66" i="21"/>
  <c r="H63" i="21"/>
  <c r="H60" i="21"/>
  <c r="H57" i="21"/>
  <c r="H54" i="21"/>
  <c r="H51" i="21"/>
  <c r="H48" i="21"/>
  <c r="H45" i="21"/>
  <c r="H42" i="21"/>
  <c r="H39" i="21"/>
  <c r="H38" i="21"/>
  <c r="H34" i="21"/>
  <c r="H31" i="21"/>
  <c r="H30" i="21"/>
  <c r="H26" i="21"/>
  <c r="H25" i="21"/>
  <c r="H21" i="21"/>
  <c r="H20" i="21"/>
  <c r="H19" i="21"/>
  <c r="H12" i="21"/>
  <c r="H9" i="21"/>
  <c r="H6" i="21"/>
  <c r="I691" i="20"/>
  <c r="E691" i="20"/>
  <c r="I687" i="20"/>
  <c r="E687" i="20"/>
  <c r="I685" i="20"/>
  <c r="G685" i="20"/>
  <c r="G684" i="20"/>
  <c r="I680" i="20"/>
  <c r="E680" i="20"/>
  <c r="I678" i="20"/>
  <c r="G678" i="20"/>
  <c r="G677" i="20"/>
  <c r="I673" i="20"/>
  <c r="E673" i="20"/>
  <c r="I671" i="20"/>
  <c r="G671" i="20"/>
  <c r="G670" i="20"/>
  <c r="I657" i="20"/>
  <c r="E657" i="20"/>
  <c r="I655" i="20"/>
  <c r="G655" i="20"/>
  <c r="I650" i="20"/>
  <c r="E650" i="20"/>
  <c r="I649" i="20"/>
  <c r="G649" i="20"/>
  <c r="I645" i="20"/>
  <c r="E645" i="20"/>
  <c r="I641" i="20"/>
  <c r="G641" i="20"/>
  <c r="I637" i="20"/>
  <c r="E637" i="20"/>
  <c r="I633" i="20"/>
  <c r="G633" i="20"/>
  <c r="I628" i="20"/>
  <c r="E628" i="20"/>
  <c r="I627" i="20"/>
  <c r="G627" i="20"/>
  <c r="E627" i="20"/>
  <c r="I622" i="20"/>
  <c r="E622" i="20"/>
  <c r="I621" i="20"/>
  <c r="G621" i="20"/>
  <c r="E621" i="20"/>
  <c r="I616" i="20"/>
  <c r="E616" i="20"/>
  <c r="I615" i="20"/>
  <c r="G615" i="20"/>
  <c r="E615" i="20"/>
  <c r="I610" i="20"/>
  <c r="E610" i="20"/>
  <c r="I609" i="20"/>
  <c r="G609" i="20"/>
  <c r="E609" i="20"/>
  <c r="I604" i="20"/>
  <c r="E604" i="20"/>
  <c r="I603" i="20"/>
  <c r="G603" i="20"/>
  <c r="E603" i="20"/>
  <c r="I598" i="20"/>
  <c r="E598" i="20"/>
  <c r="I597" i="20"/>
  <c r="G597" i="20"/>
  <c r="E597" i="20"/>
  <c r="I592" i="20"/>
  <c r="E592" i="20"/>
  <c r="I591" i="20"/>
  <c r="G591" i="20"/>
  <c r="E591" i="20"/>
  <c r="I586" i="20"/>
  <c r="E586" i="20"/>
  <c r="I585" i="20"/>
  <c r="G585" i="20"/>
  <c r="E585" i="20"/>
  <c r="I581" i="20"/>
  <c r="E581" i="20"/>
  <c r="I579" i="20"/>
  <c r="G579" i="20"/>
  <c r="E579" i="20"/>
  <c r="I574" i="20"/>
  <c r="E574" i="20"/>
  <c r="I573" i="20"/>
  <c r="G573" i="20"/>
  <c r="I568" i="20"/>
  <c r="E568" i="20"/>
  <c r="I567" i="20"/>
  <c r="G567" i="20"/>
  <c r="I562" i="20"/>
  <c r="E562" i="20"/>
  <c r="I561" i="20"/>
  <c r="G561" i="20"/>
  <c r="I556" i="20"/>
  <c r="E556" i="20"/>
  <c r="I555" i="20"/>
  <c r="G555" i="20"/>
  <c r="I550" i="20"/>
  <c r="E550" i="20"/>
  <c r="I549" i="20"/>
  <c r="G549" i="20"/>
  <c r="I544" i="20"/>
  <c r="E544" i="20"/>
  <c r="I543" i="20"/>
  <c r="G543" i="20"/>
  <c r="I538" i="20"/>
  <c r="E538" i="20"/>
  <c r="I537" i="20"/>
  <c r="G537" i="20"/>
  <c r="I536" i="20"/>
  <c r="G536" i="20"/>
  <c r="I531" i="20"/>
  <c r="E531" i="20"/>
  <c r="I530" i="20"/>
  <c r="G530" i="20"/>
  <c r="I529" i="20"/>
  <c r="G529" i="20"/>
  <c r="I524" i="20"/>
  <c r="E524" i="20"/>
  <c r="I523" i="20"/>
  <c r="G523" i="20"/>
  <c r="I522" i="20"/>
  <c r="G522" i="20"/>
  <c r="I518" i="20"/>
  <c r="E518" i="20"/>
  <c r="I514" i="20"/>
  <c r="G514" i="20"/>
  <c r="I510" i="20"/>
  <c r="E510" i="20"/>
  <c r="I508" i="20"/>
  <c r="G508" i="20"/>
  <c r="I503" i="20"/>
  <c r="E503" i="20"/>
  <c r="I502" i="20"/>
  <c r="G502" i="20"/>
  <c r="I497" i="20"/>
  <c r="E497" i="20"/>
  <c r="I496" i="20"/>
  <c r="G496" i="20"/>
  <c r="I492" i="20"/>
  <c r="E492" i="20"/>
  <c r="I489" i="20"/>
  <c r="G489" i="20"/>
  <c r="I484" i="20"/>
  <c r="E484" i="20"/>
  <c r="I483" i="20"/>
  <c r="G483" i="20"/>
  <c r="I478" i="20"/>
  <c r="E478" i="20"/>
  <c r="I477" i="20"/>
  <c r="G477" i="20"/>
  <c r="I476" i="20"/>
  <c r="G476" i="20"/>
  <c r="I471" i="20"/>
  <c r="E471" i="20"/>
  <c r="I468" i="20"/>
  <c r="G468" i="20"/>
  <c r="I463" i="20"/>
  <c r="E463" i="20"/>
  <c r="I462" i="20"/>
  <c r="G462" i="20"/>
  <c r="E462" i="20"/>
  <c r="I457" i="20"/>
  <c r="E457" i="20"/>
  <c r="I456" i="20"/>
  <c r="G456" i="20"/>
  <c r="E456" i="20"/>
  <c r="I451" i="20"/>
  <c r="E451" i="20"/>
  <c r="I450" i="20"/>
  <c r="G450" i="20"/>
  <c r="E450" i="20"/>
  <c r="I445" i="20"/>
  <c r="E445" i="20"/>
  <c r="I444" i="20"/>
  <c r="G444" i="20"/>
  <c r="E444" i="20"/>
  <c r="I439" i="20"/>
  <c r="E439" i="20"/>
  <c r="I438" i="20"/>
  <c r="G438" i="20"/>
  <c r="E438" i="20"/>
  <c r="I433" i="20"/>
  <c r="E433" i="20"/>
  <c r="I432" i="20"/>
  <c r="G432" i="20"/>
  <c r="I427" i="20"/>
  <c r="E427" i="20"/>
  <c r="I426" i="20"/>
  <c r="G426" i="20"/>
  <c r="I422" i="20"/>
  <c r="E422" i="20"/>
  <c r="I419" i="20"/>
  <c r="G419" i="20"/>
  <c r="I414" i="20"/>
  <c r="E414" i="20"/>
  <c r="I412" i="20"/>
  <c r="G412" i="20"/>
  <c r="I407" i="20"/>
  <c r="E407" i="20"/>
  <c r="I405" i="20"/>
  <c r="G405" i="20"/>
  <c r="I400" i="20"/>
  <c r="E400" i="20"/>
  <c r="I397" i="20"/>
  <c r="G397" i="20"/>
  <c r="I393" i="20"/>
  <c r="E393" i="20"/>
  <c r="I389" i="20"/>
  <c r="G389" i="20"/>
  <c r="I385" i="20"/>
  <c r="E385" i="20"/>
  <c r="I381" i="20"/>
  <c r="G381" i="20"/>
  <c r="I376" i="20"/>
  <c r="E376" i="20"/>
  <c r="I375" i="20"/>
  <c r="E375" i="20"/>
  <c r="I374" i="20"/>
  <c r="G374" i="20"/>
  <c r="I370" i="20"/>
  <c r="G370" i="20"/>
  <c r="I368" i="20"/>
  <c r="E368" i="20"/>
  <c r="G367" i="20"/>
  <c r="I366" i="20"/>
  <c r="E366" i="20"/>
  <c r="I361" i="20"/>
  <c r="E361" i="20"/>
  <c r="I360" i="20"/>
  <c r="G360" i="20"/>
  <c r="E360" i="20"/>
  <c r="I356" i="20"/>
  <c r="E356" i="20"/>
  <c r="I354" i="20"/>
  <c r="G354" i="20"/>
  <c r="E354" i="20"/>
  <c r="G353" i="20"/>
  <c r="I349" i="20"/>
  <c r="E349" i="20"/>
  <c r="G347" i="20"/>
  <c r="I346" i="20"/>
  <c r="G346" i="20"/>
  <c r="E346" i="20"/>
  <c r="I342" i="20"/>
  <c r="E342" i="20"/>
  <c r="I340" i="20"/>
  <c r="G340" i="20"/>
  <c r="E340" i="20"/>
  <c r="I336" i="20"/>
  <c r="G336" i="20"/>
  <c r="I334" i="20"/>
  <c r="E334" i="20"/>
  <c r="G333" i="20"/>
  <c r="I332" i="20"/>
  <c r="E332" i="20"/>
  <c r="I328" i="20"/>
  <c r="G328" i="20"/>
  <c r="I327" i="20"/>
  <c r="G327" i="20"/>
  <c r="G326" i="20"/>
  <c r="I322" i="20"/>
  <c r="E322" i="20"/>
  <c r="I320" i="20"/>
  <c r="G320" i="20"/>
  <c r="I319" i="20"/>
  <c r="G319" i="20"/>
  <c r="I317" i="20"/>
  <c r="G317" i="20"/>
  <c r="I313" i="20"/>
  <c r="E313" i="20"/>
  <c r="I311" i="20"/>
  <c r="G311" i="20"/>
  <c r="I310" i="20"/>
  <c r="G310" i="20"/>
  <c r="I308" i="20"/>
  <c r="G308" i="20"/>
  <c r="I304" i="20"/>
  <c r="G304" i="20"/>
  <c r="G302" i="20"/>
  <c r="I301" i="20"/>
  <c r="E301" i="20"/>
  <c r="I300" i="20"/>
  <c r="E300" i="20"/>
  <c r="I296" i="20"/>
  <c r="E296" i="20"/>
  <c r="I294" i="20"/>
  <c r="G294" i="20"/>
  <c r="E294" i="20"/>
  <c r="I290" i="20"/>
  <c r="E290" i="20"/>
  <c r="I288" i="20"/>
  <c r="G288" i="20"/>
  <c r="E288" i="20"/>
  <c r="I284" i="20"/>
  <c r="E284" i="20"/>
  <c r="I282" i="20"/>
  <c r="G282" i="20"/>
  <c r="I277" i="20"/>
  <c r="E277" i="20"/>
  <c r="I276" i="20"/>
  <c r="G276" i="20"/>
  <c r="I272" i="20"/>
  <c r="E272" i="20"/>
  <c r="I269" i="20"/>
  <c r="G269" i="20"/>
  <c r="I264" i="20"/>
  <c r="E264" i="20"/>
  <c r="I262" i="20"/>
  <c r="G262" i="20"/>
  <c r="I257" i="20"/>
  <c r="E257" i="20"/>
  <c r="I256" i="20"/>
  <c r="G256" i="20"/>
  <c r="I251" i="20"/>
  <c r="E251" i="20"/>
  <c r="I250" i="20"/>
  <c r="E250" i="20"/>
  <c r="I249" i="20"/>
  <c r="E249" i="20"/>
  <c r="I248" i="20"/>
  <c r="E248" i="20"/>
  <c r="I247" i="20"/>
  <c r="E247" i="20"/>
  <c r="I246" i="20"/>
  <c r="G246" i="20"/>
  <c r="I245" i="20"/>
  <c r="G245" i="20"/>
  <c r="G244" i="20"/>
  <c r="I243" i="20"/>
  <c r="G243" i="20"/>
  <c r="I242" i="20"/>
  <c r="G242" i="20"/>
  <c r="I241" i="20"/>
  <c r="G241" i="20"/>
  <c r="G234" i="20"/>
  <c r="G230" i="20"/>
  <c r="I226" i="20"/>
  <c r="E226" i="20"/>
  <c r="I224" i="20"/>
  <c r="G224" i="20"/>
  <c r="I220" i="20"/>
  <c r="E220" i="20"/>
  <c r="I218" i="20"/>
  <c r="G218" i="20"/>
  <c r="E218" i="20"/>
  <c r="I213" i="20"/>
  <c r="E213" i="20"/>
  <c r="I212" i="20"/>
  <c r="G212" i="20"/>
  <c r="I208" i="20"/>
  <c r="E208" i="20"/>
  <c r="I206" i="20"/>
  <c r="G206" i="20"/>
  <c r="E206" i="20"/>
  <c r="I202" i="20"/>
  <c r="E202" i="20"/>
  <c r="I200" i="20"/>
  <c r="G200" i="20"/>
  <c r="E200" i="20"/>
  <c r="I196" i="20"/>
  <c r="G196" i="20"/>
  <c r="I195" i="20"/>
  <c r="G195" i="20"/>
  <c r="G194" i="20"/>
  <c r="I189" i="20"/>
  <c r="E189" i="20"/>
  <c r="I188" i="20"/>
  <c r="E188" i="20"/>
  <c r="I185" i="20"/>
  <c r="G185" i="20"/>
  <c r="I180" i="20"/>
  <c r="E180" i="20"/>
  <c r="I179" i="20"/>
  <c r="E179" i="20"/>
  <c r="I176" i="20"/>
  <c r="G176" i="20"/>
  <c r="I172" i="20"/>
  <c r="E172" i="20"/>
  <c r="I171" i="20"/>
  <c r="E171" i="20"/>
  <c r="I167" i="20"/>
  <c r="G167" i="20"/>
  <c r="I162" i="20"/>
  <c r="E162" i="20"/>
  <c r="I161" i="20"/>
  <c r="E161" i="20"/>
  <c r="I158" i="20"/>
  <c r="G158" i="20"/>
  <c r="I153" i="20"/>
  <c r="E153" i="20"/>
  <c r="I152" i="20"/>
  <c r="E152" i="20"/>
  <c r="I149" i="20"/>
  <c r="G149" i="20"/>
  <c r="I145" i="20"/>
  <c r="E145" i="20"/>
  <c r="I143" i="20"/>
  <c r="E143" i="20"/>
  <c r="I142" i="20"/>
  <c r="E142" i="20"/>
  <c r="I141" i="20"/>
  <c r="G141" i="20"/>
  <c r="I139" i="20"/>
  <c r="G139" i="20"/>
  <c r="I138" i="20"/>
  <c r="G138" i="20"/>
  <c r="I137" i="20"/>
  <c r="G137" i="20"/>
  <c r="I132" i="20"/>
  <c r="E132" i="20"/>
  <c r="I131" i="20"/>
  <c r="E131" i="20"/>
  <c r="I130" i="20"/>
  <c r="E130" i="20"/>
  <c r="G128" i="20"/>
  <c r="E128" i="20"/>
  <c r="I124" i="20"/>
  <c r="G124" i="20"/>
  <c r="I123" i="20"/>
  <c r="G123" i="20"/>
  <c r="I118" i="20"/>
  <c r="E118" i="20"/>
  <c r="I117" i="20"/>
  <c r="G117" i="20"/>
  <c r="I112" i="20"/>
  <c r="E112" i="20"/>
  <c r="I111" i="20"/>
  <c r="G111" i="20"/>
  <c r="I107" i="20"/>
  <c r="E107" i="20"/>
  <c r="I105" i="20"/>
  <c r="G105" i="20"/>
  <c r="I100" i="20"/>
  <c r="E100" i="20"/>
  <c r="I99" i="20"/>
  <c r="G99" i="20"/>
  <c r="I94" i="20"/>
  <c r="E94" i="20"/>
  <c r="I93" i="20"/>
  <c r="E93" i="20"/>
  <c r="I92" i="20"/>
  <c r="G92" i="20"/>
  <c r="I88" i="20"/>
  <c r="E88" i="20"/>
  <c r="I85" i="20"/>
  <c r="G85" i="20"/>
  <c r="I81" i="20"/>
  <c r="E81" i="20"/>
  <c r="I78" i="20"/>
  <c r="G78" i="20"/>
  <c r="I73" i="20"/>
  <c r="E73" i="20"/>
  <c r="I71" i="20"/>
  <c r="G71" i="20"/>
  <c r="I67" i="20"/>
  <c r="E67" i="20"/>
  <c r="I66" i="20"/>
  <c r="E66" i="20"/>
  <c r="I63" i="20"/>
  <c r="G63" i="20"/>
  <c r="I59" i="20"/>
  <c r="E59" i="20"/>
  <c r="I58" i="20"/>
  <c r="E58" i="20"/>
  <c r="I55" i="20"/>
  <c r="G55" i="20"/>
  <c r="I51" i="20"/>
  <c r="E51" i="20"/>
  <c r="I48" i="20"/>
  <c r="G48" i="20"/>
  <c r="I44" i="20"/>
  <c r="E44" i="20"/>
  <c r="I41" i="20"/>
  <c r="G41" i="20"/>
  <c r="I37" i="20"/>
  <c r="E37" i="20"/>
  <c r="I34" i="20"/>
  <c r="G34" i="20"/>
  <c r="I29" i="20"/>
  <c r="E29" i="20"/>
  <c r="I27" i="20"/>
  <c r="G27" i="20"/>
  <c r="I22" i="20"/>
  <c r="E22" i="20"/>
  <c r="I20" i="20"/>
  <c r="G20" i="20"/>
  <c r="I16" i="20"/>
  <c r="E16" i="20"/>
  <c r="I14" i="20"/>
  <c r="G14" i="20"/>
  <c r="I13" i="20"/>
  <c r="G13" i="20"/>
  <c r="I9" i="20"/>
  <c r="E9" i="20"/>
  <c r="I5" i="20"/>
  <c r="G5" i="20"/>
  <c r="M683" i="19"/>
  <c r="K683" i="19"/>
  <c r="H683" i="19"/>
  <c r="M681" i="19"/>
  <c r="K681" i="19"/>
  <c r="M676" i="19"/>
  <c r="K676" i="19"/>
  <c r="H676" i="19"/>
  <c r="M675" i="19"/>
  <c r="K675" i="19"/>
  <c r="H675" i="19"/>
  <c r="M672" i="19"/>
  <c r="K672" i="19"/>
  <c r="M667" i="19"/>
  <c r="K667" i="19"/>
  <c r="H667" i="19"/>
  <c r="M666" i="19"/>
  <c r="K666" i="19"/>
  <c r="H666" i="19"/>
  <c r="M663" i="19"/>
  <c r="K663" i="19"/>
  <c r="M658" i="19"/>
  <c r="K658" i="19"/>
  <c r="H658" i="19"/>
  <c r="M657" i="19"/>
  <c r="K657" i="19"/>
  <c r="H657" i="19"/>
  <c r="M655" i="19"/>
  <c r="K655" i="19"/>
  <c r="M650" i="19"/>
  <c r="K650" i="19"/>
  <c r="H650" i="19"/>
  <c r="M649" i="19"/>
  <c r="K649" i="19"/>
  <c r="H649" i="19"/>
  <c r="M647" i="19"/>
  <c r="K647" i="19"/>
  <c r="M642" i="19"/>
  <c r="K642" i="19"/>
  <c r="H642" i="19"/>
  <c r="M641" i="19"/>
  <c r="K641" i="19"/>
  <c r="H641" i="19"/>
  <c r="M639" i="19"/>
  <c r="K639" i="19"/>
  <c r="M634" i="19"/>
  <c r="K634" i="19"/>
  <c r="H634" i="19"/>
  <c r="M633" i="19"/>
  <c r="K633" i="19"/>
  <c r="H633" i="19"/>
  <c r="M631" i="19"/>
  <c r="K631" i="19"/>
  <c r="M626" i="19"/>
  <c r="K626" i="19"/>
  <c r="H626" i="19"/>
  <c r="M625" i="19"/>
  <c r="K625" i="19"/>
  <c r="H625" i="19"/>
  <c r="M622" i="19"/>
  <c r="K622" i="19"/>
  <c r="M617" i="19"/>
  <c r="K617" i="19"/>
  <c r="H617" i="19"/>
  <c r="M616" i="19"/>
  <c r="K616" i="19"/>
  <c r="H616" i="19"/>
  <c r="M614" i="19"/>
  <c r="K614" i="19"/>
  <c r="M610" i="19"/>
  <c r="K610" i="19"/>
  <c r="M605" i="19"/>
  <c r="K605" i="19"/>
  <c r="H605" i="19"/>
  <c r="M604" i="19"/>
  <c r="K604" i="19"/>
  <c r="M599" i="19"/>
  <c r="K599" i="19"/>
  <c r="H599" i="19"/>
  <c r="M598" i="19"/>
  <c r="K598" i="19"/>
  <c r="M593" i="19"/>
  <c r="K593" i="19"/>
  <c r="H593" i="19"/>
  <c r="M592" i="19"/>
  <c r="K592" i="19"/>
  <c r="M587" i="19"/>
  <c r="K587" i="19"/>
  <c r="H587" i="19"/>
  <c r="M586" i="19"/>
  <c r="K586" i="19"/>
  <c r="M581" i="19"/>
  <c r="K581" i="19"/>
  <c r="H581" i="19"/>
  <c r="M580" i="19"/>
  <c r="K580" i="19"/>
  <c r="M575" i="19"/>
  <c r="K575" i="19"/>
  <c r="H575" i="19"/>
  <c r="M574" i="19"/>
  <c r="K574" i="19"/>
  <c r="M569" i="19"/>
  <c r="K569" i="19"/>
  <c r="H569" i="19"/>
  <c r="M568" i="19"/>
  <c r="K568" i="19"/>
  <c r="M563" i="19"/>
  <c r="K563" i="19"/>
  <c r="H563" i="19"/>
  <c r="M562" i="19"/>
  <c r="K562" i="19"/>
  <c r="M557" i="19"/>
  <c r="K557" i="19"/>
  <c r="H557" i="19"/>
  <c r="M556" i="19"/>
  <c r="K556" i="19"/>
  <c r="M551" i="19"/>
  <c r="K551" i="19"/>
  <c r="H551" i="19"/>
  <c r="M550" i="19"/>
  <c r="K550" i="19"/>
  <c r="M545" i="19"/>
  <c r="K545" i="19"/>
  <c r="H545" i="19"/>
  <c r="M544" i="19"/>
  <c r="K544" i="19"/>
  <c r="M539" i="19"/>
  <c r="K539" i="19"/>
  <c r="H539" i="19"/>
  <c r="M538" i="19"/>
  <c r="K538" i="19"/>
  <c r="H538" i="19"/>
  <c r="M535" i="19"/>
  <c r="K535" i="19"/>
  <c r="M530" i="19"/>
  <c r="K530" i="19"/>
  <c r="H530" i="19"/>
  <c r="M529" i="19"/>
  <c r="K529" i="19"/>
  <c r="H529" i="19"/>
  <c r="M526" i="19"/>
  <c r="K526" i="19"/>
  <c r="M521" i="19"/>
  <c r="K521" i="19"/>
  <c r="H521" i="19"/>
  <c r="M519" i="19"/>
  <c r="K519" i="19"/>
  <c r="M514" i="19"/>
  <c r="K514" i="19"/>
  <c r="H514" i="19"/>
  <c r="M513" i="19"/>
  <c r="K513" i="19"/>
  <c r="H513" i="19"/>
  <c r="M511" i="19"/>
  <c r="K511" i="19"/>
  <c r="M506" i="19"/>
  <c r="K506" i="19"/>
  <c r="H506" i="19"/>
  <c r="M504" i="19"/>
  <c r="K504" i="19"/>
  <c r="M499" i="19"/>
  <c r="K499" i="19"/>
  <c r="H499" i="19"/>
  <c r="M498" i="19"/>
  <c r="K498" i="19"/>
  <c r="H498" i="19"/>
  <c r="M496" i="19"/>
  <c r="K496" i="19"/>
  <c r="M491" i="19"/>
  <c r="K491" i="19"/>
  <c r="H491" i="19"/>
  <c r="M490" i="19"/>
  <c r="K490" i="19"/>
  <c r="H490" i="19"/>
  <c r="M488" i="19"/>
  <c r="K488" i="19"/>
  <c r="M483" i="19"/>
  <c r="K483" i="19"/>
  <c r="H483" i="19"/>
  <c r="M482" i="19"/>
  <c r="K482" i="19"/>
  <c r="H482" i="19"/>
  <c r="M480" i="19"/>
  <c r="K480" i="19"/>
  <c r="M475" i="19"/>
  <c r="K475" i="19"/>
  <c r="H475" i="19"/>
  <c r="M474" i="19"/>
  <c r="K474" i="19"/>
  <c r="M469" i="19"/>
  <c r="K469" i="19"/>
  <c r="H469" i="19"/>
  <c r="M468" i="19"/>
  <c r="K468" i="19"/>
  <c r="M463" i="19"/>
  <c r="K463" i="19"/>
  <c r="H463" i="19"/>
  <c r="M462" i="19"/>
  <c r="K462" i="19"/>
  <c r="H462" i="19"/>
  <c r="M461" i="19"/>
  <c r="K461" i="19"/>
  <c r="M456" i="19"/>
  <c r="K456" i="19"/>
  <c r="H456" i="19"/>
  <c r="M455" i="19"/>
  <c r="K455" i="19"/>
  <c r="M450" i="19"/>
  <c r="K450" i="19"/>
  <c r="H450" i="19"/>
  <c r="M449" i="19"/>
  <c r="K449" i="19"/>
  <c r="M444" i="19"/>
  <c r="K444" i="19"/>
  <c r="H444" i="19"/>
  <c r="M443" i="19"/>
  <c r="K443" i="19"/>
  <c r="M438" i="19"/>
  <c r="K438" i="19"/>
  <c r="H438" i="19"/>
  <c r="M437" i="19"/>
  <c r="K437" i="19"/>
  <c r="M432" i="19"/>
  <c r="K432" i="19"/>
  <c r="H432" i="19"/>
  <c r="M431" i="19"/>
  <c r="K431" i="19"/>
  <c r="M426" i="19"/>
  <c r="K426" i="19"/>
  <c r="H426" i="19"/>
  <c r="M425" i="19"/>
  <c r="K425" i="19"/>
  <c r="M420" i="19"/>
  <c r="K420" i="19"/>
  <c r="H420" i="19"/>
  <c r="M419" i="19"/>
  <c r="K419" i="19"/>
  <c r="M414" i="19"/>
  <c r="K414" i="19"/>
  <c r="H414" i="19"/>
  <c r="M413" i="19"/>
  <c r="K413" i="19"/>
  <c r="M408" i="19"/>
  <c r="K408" i="19"/>
  <c r="H408" i="19"/>
  <c r="M407" i="19"/>
  <c r="K407" i="19"/>
  <c r="M402" i="19"/>
  <c r="K402" i="19"/>
  <c r="H402" i="19"/>
  <c r="M401" i="19"/>
  <c r="K401" i="19"/>
  <c r="M396" i="19"/>
  <c r="K396" i="19"/>
  <c r="H396" i="19"/>
  <c r="M394" i="19"/>
  <c r="K394" i="19"/>
  <c r="M389" i="19"/>
  <c r="K389" i="19"/>
  <c r="H389" i="19"/>
  <c r="M387" i="19"/>
  <c r="K387" i="19"/>
  <c r="M382" i="19"/>
  <c r="K382" i="19"/>
  <c r="H382" i="19"/>
  <c r="M380" i="19"/>
  <c r="K380" i="19"/>
  <c r="M375" i="19"/>
  <c r="K375" i="19"/>
  <c r="H375" i="19"/>
  <c r="M373" i="19"/>
  <c r="K373" i="19"/>
  <c r="M368" i="19"/>
  <c r="K368" i="19"/>
  <c r="H368" i="19"/>
  <c r="M366" i="19"/>
  <c r="K366" i="19"/>
  <c r="M361" i="19"/>
  <c r="K361" i="19"/>
  <c r="H361" i="19"/>
  <c r="M359" i="19"/>
  <c r="K359" i="19"/>
  <c r="M354" i="19"/>
  <c r="K354" i="19"/>
  <c r="H354" i="19"/>
  <c r="M352" i="19"/>
  <c r="K352" i="19"/>
  <c r="M347" i="19"/>
  <c r="K347" i="19"/>
  <c r="H347" i="19"/>
  <c r="M345" i="19"/>
  <c r="K345" i="19"/>
  <c r="M340" i="19"/>
  <c r="K340" i="19"/>
  <c r="H340" i="19"/>
  <c r="M339" i="19"/>
  <c r="K339" i="19"/>
  <c r="M334" i="19"/>
  <c r="K334" i="19"/>
  <c r="H334" i="19"/>
  <c r="M333" i="19"/>
  <c r="K333" i="19"/>
  <c r="M328" i="19"/>
  <c r="K328" i="19"/>
  <c r="H328" i="19"/>
  <c r="M327" i="19"/>
  <c r="K327" i="19"/>
  <c r="M322" i="19"/>
  <c r="K322" i="19"/>
  <c r="H322" i="19"/>
  <c r="M321" i="19"/>
  <c r="K321" i="19"/>
  <c r="M316" i="19"/>
  <c r="K316" i="19"/>
  <c r="H316" i="19"/>
  <c r="M315" i="19"/>
  <c r="K315" i="19"/>
  <c r="M311" i="19"/>
  <c r="K311" i="19"/>
  <c r="M307" i="19"/>
  <c r="K307" i="19"/>
  <c r="M303" i="19"/>
  <c r="K303" i="19"/>
  <c r="M298" i="19"/>
  <c r="K298" i="19"/>
  <c r="H298" i="19"/>
  <c r="M297" i="19"/>
  <c r="K297" i="19"/>
  <c r="M292" i="19"/>
  <c r="K292" i="19"/>
  <c r="H292" i="19"/>
  <c r="M291" i="19"/>
  <c r="K291" i="19"/>
  <c r="M286" i="19"/>
  <c r="K286" i="19"/>
  <c r="H286" i="19"/>
  <c r="M285" i="19"/>
  <c r="K285" i="19"/>
  <c r="M280" i="19"/>
  <c r="K280" i="19"/>
  <c r="H280" i="19"/>
  <c r="M279" i="19"/>
  <c r="K279" i="19"/>
  <c r="M275" i="19"/>
  <c r="K275" i="19"/>
  <c r="M271" i="19"/>
  <c r="K271" i="19"/>
  <c r="M267" i="19"/>
  <c r="K267" i="19"/>
  <c r="M263" i="19"/>
  <c r="K263" i="19"/>
  <c r="M259" i="19"/>
  <c r="K259" i="19"/>
  <c r="M254" i="19"/>
  <c r="K254" i="19"/>
  <c r="H254" i="19"/>
  <c r="M253" i="19"/>
  <c r="K253" i="19"/>
  <c r="H253" i="19"/>
  <c r="M252" i="19"/>
  <c r="K252" i="19"/>
  <c r="M247" i="19"/>
  <c r="K247" i="19"/>
  <c r="H247" i="19"/>
  <c r="M246" i="19"/>
  <c r="K246" i="19"/>
  <c r="H246" i="19"/>
  <c r="M245" i="19"/>
  <c r="K245" i="19"/>
  <c r="M240" i="19"/>
  <c r="K240" i="19"/>
  <c r="H240" i="19"/>
  <c r="M239" i="19"/>
  <c r="K239" i="19"/>
  <c r="H239" i="19"/>
  <c r="M238" i="19"/>
  <c r="K238" i="19"/>
  <c r="M233" i="19"/>
  <c r="K233" i="19"/>
  <c r="H233" i="19"/>
  <c r="M232" i="19"/>
  <c r="K232" i="19"/>
  <c r="H232" i="19"/>
  <c r="M231" i="19"/>
  <c r="K231" i="19"/>
  <c r="M227" i="19"/>
  <c r="K227" i="19"/>
  <c r="M223" i="19"/>
  <c r="K223" i="19"/>
  <c r="M218" i="19"/>
  <c r="K218" i="19"/>
  <c r="H218" i="19"/>
  <c r="M215" i="19"/>
  <c r="K215" i="19"/>
  <c r="M210" i="19"/>
  <c r="K210" i="19"/>
  <c r="H210" i="19"/>
  <c r="M207" i="19"/>
  <c r="K207" i="19"/>
  <c r="M202" i="19"/>
  <c r="K202" i="19"/>
  <c r="H202" i="19"/>
  <c r="M199" i="19"/>
  <c r="K199" i="19"/>
  <c r="M194" i="19"/>
  <c r="K194" i="19"/>
  <c r="H194" i="19"/>
  <c r="M193" i="19"/>
  <c r="K193" i="19"/>
  <c r="H193" i="19"/>
  <c r="M190" i="19"/>
  <c r="K190" i="19"/>
  <c r="M185" i="19"/>
  <c r="K185" i="19"/>
  <c r="H185" i="19"/>
  <c r="M184" i="19"/>
  <c r="K184" i="19"/>
  <c r="H184" i="19"/>
  <c r="M181" i="19"/>
  <c r="K181" i="19"/>
  <c r="M176" i="19"/>
  <c r="K176" i="19"/>
  <c r="H176" i="19"/>
  <c r="M173" i="19"/>
  <c r="K173" i="19"/>
  <c r="M168" i="19"/>
  <c r="K168" i="19"/>
  <c r="H168" i="19"/>
  <c r="M165" i="19"/>
  <c r="K165" i="19"/>
  <c r="M160" i="19"/>
  <c r="K160" i="19"/>
  <c r="H160" i="19"/>
  <c r="M157" i="19"/>
  <c r="K157" i="19"/>
  <c r="M152" i="19"/>
  <c r="K152" i="19"/>
  <c r="H152" i="19"/>
  <c r="M149" i="19"/>
  <c r="K149" i="19"/>
  <c r="M144" i="19"/>
  <c r="K144" i="19"/>
  <c r="H144" i="19"/>
  <c r="M141" i="19"/>
  <c r="K141" i="19"/>
  <c r="M136" i="19"/>
  <c r="K136" i="19"/>
  <c r="H136" i="19"/>
  <c r="M133" i="19"/>
  <c r="K133" i="19"/>
  <c r="M128" i="19"/>
  <c r="K128" i="19"/>
  <c r="H128" i="19"/>
  <c r="M125" i="19"/>
  <c r="K125" i="19"/>
  <c r="M120" i="19"/>
  <c r="K120" i="19"/>
  <c r="H120" i="19"/>
  <c r="M117" i="19"/>
  <c r="K117" i="19"/>
  <c r="M112" i="19"/>
  <c r="K112" i="19"/>
  <c r="H112" i="19"/>
  <c r="M109" i="19"/>
  <c r="K109" i="19"/>
  <c r="M104" i="19"/>
  <c r="K104" i="19"/>
  <c r="H104" i="19"/>
  <c r="M101" i="19"/>
  <c r="K101" i="19"/>
  <c r="M96" i="19"/>
  <c r="K96" i="19"/>
  <c r="H96" i="19"/>
  <c r="M93" i="19"/>
  <c r="K93" i="19"/>
  <c r="M88" i="19"/>
  <c r="K88" i="19"/>
  <c r="H88" i="19"/>
  <c r="M85" i="19"/>
  <c r="K85" i="19"/>
  <c r="M80" i="19"/>
  <c r="K80" i="19"/>
  <c r="H80" i="19"/>
  <c r="M79" i="19"/>
  <c r="K79" i="19"/>
  <c r="H79" i="19"/>
  <c r="M78" i="19"/>
  <c r="M77" i="19"/>
  <c r="H77" i="19"/>
  <c r="M76" i="19"/>
  <c r="K76" i="19"/>
  <c r="M71" i="19"/>
  <c r="K71" i="19"/>
  <c r="H71" i="19"/>
  <c r="M70" i="19"/>
  <c r="K70" i="19"/>
  <c r="H70" i="19"/>
  <c r="M65" i="19"/>
  <c r="K65" i="19"/>
  <c r="H65" i="19"/>
  <c r="M64" i="19"/>
  <c r="K64" i="19"/>
  <c r="H64" i="19"/>
  <c r="M63" i="19"/>
  <c r="K63" i="19"/>
  <c r="M62" i="19"/>
  <c r="H62" i="19"/>
  <c r="M61" i="19"/>
  <c r="K61" i="19"/>
  <c r="M56" i="19"/>
  <c r="K56" i="19"/>
  <c r="H56" i="19"/>
  <c r="M55" i="19"/>
  <c r="K55" i="19"/>
  <c r="H55" i="19"/>
  <c r="M54" i="19"/>
  <c r="K54" i="19"/>
  <c r="M53" i="19"/>
  <c r="M52" i="19"/>
  <c r="H52" i="19"/>
  <c r="M51" i="19"/>
  <c r="K51" i="19"/>
  <c r="M50" i="19"/>
  <c r="K50" i="19"/>
  <c r="M45" i="19"/>
  <c r="K45" i="19"/>
  <c r="H45" i="19"/>
  <c r="M44" i="19"/>
  <c r="K44" i="19"/>
  <c r="H44" i="19"/>
  <c r="M43" i="19"/>
  <c r="K43" i="19"/>
  <c r="H43" i="19"/>
  <c r="M41" i="19"/>
  <c r="K41" i="19"/>
  <c r="H41" i="19"/>
  <c r="M40" i="19"/>
  <c r="M39" i="19"/>
  <c r="H39" i="19"/>
  <c r="M38" i="19"/>
  <c r="K38" i="19"/>
  <c r="M37" i="19"/>
  <c r="K37" i="19"/>
  <c r="M36" i="19"/>
  <c r="K36" i="19"/>
  <c r="M35" i="19"/>
  <c r="K35" i="19"/>
  <c r="M30" i="19"/>
  <c r="K30" i="19"/>
  <c r="H30" i="19"/>
  <c r="M29" i="19"/>
  <c r="K29" i="19"/>
  <c r="M28" i="19"/>
  <c r="K28" i="19"/>
  <c r="M27" i="19"/>
  <c r="K27" i="19"/>
  <c r="M26" i="19"/>
  <c r="K26" i="19"/>
  <c r="M25" i="19"/>
  <c r="K25" i="19"/>
  <c r="M20" i="19"/>
  <c r="K20" i="19"/>
  <c r="H20" i="19"/>
  <c r="M19" i="19"/>
  <c r="K19" i="19"/>
  <c r="M18" i="19"/>
  <c r="K18" i="19"/>
  <c r="M17" i="19"/>
  <c r="K17" i="19"/>
  <c r="M16" i="19"/>
  <c r="K16" i="19"/>
  <c r="M15" i="19"/>
  <c r="K15" i="19"/>
  <c r="M10" i="19"/>
  <c r="K10" i="19"/>
  <c r="H10" i="19"/>
  <c r="M9" i="19"/>
  <c r="K9" i="19"/>
  <c r="M8" i="19"/>
  <c r="K8" i="19"/>
  <c r="M7" i="19"/>
  <c r="K7" i="19"/>
  <c r="M6" i="19"/>
  <c r="K6" i="19"/>
  <c r="M5" i="19"/>
  <c r="K5" i="19"/>
  <c r="I270" i="16"/>
  <c r="G270" i="16"/>
  <c r="I261" i="16"/>
  <c r="G261" i="16"/>
  <c r="I260" i="16"/>
  <c r="G260" i="16"/>
  <c r="I259" i="16"/>
  <c r="G259" i="16"/>
  <c r="I258" i="16"/>
  <c r="G258" i="16"/>
  <c r="I257" i="16"/>
  <c r="G257" i="16"/>
  <c r="I256" i="16"/>
  <c r="G256" i="16"/>
  <c r="I255" i="16"/>
  <c r="G255" i="16"/>
  <c r="I254" i="16"/>
  <c r="G254" i="16"/>
  <c r="I253" i="16"/>
  <c r="G253" i="16"/>
  <c r="I252" i="16"/>
  <c r="G252" i="16"/>
  <c r="I251" i="16"/>
  <c r="G251" i="16"/>
  <c r="I250" i="16"/>
  <c r="G250" i="16"/>
  <c r="I249" i="16"/>
  <c r="G249" i="16"/>
  <c r="I248" i="16"/>
  <c r="G248" i="16"/>
  <c r="I247" i="16"/>
  <c r="G247" i="16"/>
  <c r="I246" i="16"/>
  <c r="G246" i="16"/>
  <c r="I228" i="16"/>
  <c r="G228" i="16"/>
  <c r="I227" i="16"/>
  <c r="G227" i="16"/>
  <c r="I226" i="16"/>
  <c r="G226" i="16"/>
  <c r="I225" i="16"/>
  <c r="G225" i="16"/>
  <c r="I224" i="16"/>
  <c r="G224" i="16"/>
  <c r="I223" i="16"/>
  <c r="G223" i="16"/>
  <c r="I222" i="16"/>
  <c r="G222" i="16"/>
  <c r="I221" i="16"/>
  <c r="G221" i="16"/>
  <c r="G208" i="16"/>
  <c r="E208" i="16"/>
  <c r="I203" i="16"/>
  <c r="G203" i="16"/>
  <c r="I202" i="16"/>
  <c r="L560" i="15" s="1"/>
  <c r="G202" i="16"/>
  <c r="J560" i="15" s="1"/>
  <c r="I201" i="16"/>
  <c r="G201" i="16"/>
  <c r="G198" i="16"/>
  <c r="J552" i="15" s="1"/>
  <c r="E198" i="16"/>
  <c r="H552" i="15" s="1"/>
  <c r="G166" i="16"/>
  <c r="E166" i="16"/>
  <c r="I162" i="16"/>
  <c r="G162" i="16"/>
  <c r="I161" i="16"/>
  <c r="L426" i="15" s="1"/>
  <c r="G161" i="16"/>
  <c r="J426" i="15" s="1"/>
  <c r="G158" i="16"/>
  <c r="E158" i="16"/>
  <c r="G157" i="16"/>
  <c r="E157" i="16"/>
  <c r="G156" i="16"/>
  <c r="E156" i="16"/>
  <c r="G155" i="16"/>
  <c r="E155" i="16"/>
  <c r="I151" i="16"/>
  <c r="G151" i="16"/>
  <c r="G150" i="16"/>
  <c r="E150" i="16"/>
  <c r="G132" i="16"/>
  <c r="E132" i="16"/>
  <c r="G131" i="16"/>
  <c r="E131" i="16"/>
  <c r="G128" i="16"/>
  <c r="E128" i="16"/>
  <c r="E125" i="16"/>
  <c r="G116" i="16"/>
  <c r="E116" i="16"/>
  <c r="G110" i="16"/>
  <c r="E110" i="16"/>
  <c r="G109" i="16"/>
  <c r="E109" i="16"/>
  <c r="G105" i="16"/>
  <c r="E105" i="16"/>
  <c r="G103" i="16"/>
  <c r="E103" i="16"/>
  <c r="E101" i="16"/>
  <c r="G61" i="16"/>
  <c r="E61" i="16"/>
  <c r="G60" i="16"/>
  <c r="E60" i="16"/>
  <c r="G57" i="16"/>
  <c r="E57" i="16"/>
  <c r="G55" i="16"/>
  <c r="E55" i="16"/>
  <c r="G25" i="16"/>
  <c r="E25" i="16"/>
  <c r="G24" i="16"/>
  <c r="E24" i="16"/>
  <c r="I23" i="16"/>
  <c r="G23" i="16"/>
  <c r="E23" i="16"/>
  <c r="G15" i="16"/>
  <c r="E15" i="16"/>
  <c r="G8" i="16"/>
  <c r="E8" i="16"/>
  <c r="L744" i="15"/>
  <c r="J744" i="15"/>
  <c r="L742" i="15"/>
  <c r="J742" i="15"/>
  <c r="L740" i="15"/>
  <c r="J740" i="15"/>
  <c r="L738" i="15"/>
  <c r="J738" i="15"/>
  <c r="L736" i="15"/>
  <c r="J736" i="15"/>
  <c r="L734" i="15"/>
  <c r="J734" i="15"/>
  <c r="L732" i="15"/>
  <c r="J732" i="15"/>
  <c r="L730" i="15"/>
  <c r="J730" i="15"/>
  <c r="L728" i="15"/>
  <c r="J728" i="15"/>
  <c r="L683" i="15"/>
  <c r="J683" i="15"/>
  <c r="L681" i="15"/>
  <c r="J681" i="15"/>
  <c r="L679" i="15"/>
  <c r="J679" i="15"/>
  <c r="L677" i="15"/>
  <c r="J677" i="15"/>
  <c r="L656" i="15"/>
  <c r="J656" i="15"/>
  <c r="L654" i="15"/>
  <c r="J654" i="15"/>
  <c r="L652" i="15"/>
  <c r="J652" i="15"/>
  <c r="G582" i="15"/>
  <c r="R581" i="15"/>
  <c r="F581" i="15"/>
  <c r="E581" i="15"/>
  <c r="D581" i="15"/>
  <c r="G580" i="15"/>
  <c r="R579" i="15"/>
  <c r="F579" i="15"/>
  <c r="E579" i="15"/>
  <c r="D579" i="15"/>
  <c r="G578" i="15"/>
  <c r="R577" i="15"/>
  <c r="F577" i="15"/>
  <c r="E577" i="15"/>
  <c r="D577" i="15"/>
  <c r="G576" i="15"/>
  <c r="R575" i="15"/>
  <c r="F575" i="15"/>
  <c r="E575" i="15"/>
  <c r="D575" i="15"/>
  <c r="G574" i="15"/>
  <c r="R573" i="15"/>
  <c r="F573" i="15"/>
  <c r="E573" i="15"/>
  <c r="D573" i="15"/>
  <c r="J572" i="15"/>
  <c r="H572" i="15"/>
  <c r="G572" i="15"/>
  <c r="R571" i="15"/>
  <c r="F571" i="15"/>
  <c r="E571" i="15"/>
  <c r="D571" i="15"/>
  <c r="G570" i="15"/>
  <c r="R569" i="15"/>
  <c r="F569" i="15"/>
  <c r="E569" i="15"/>
  <c r="D569" i="15"/>
  <c r="G568" i="15"/>
  <c r="R567" i="15"/>
  <c r="F567" i="15"/>
  <c r="E567" i="15"/>
  <c r="D567" i="15"/>
  <c r="G566" i="15"/>
  <c r="R565" i="15"/>
  <c r="F565" i="15"/>
  <c r="E565" i="15"/>
  <c r="D565" i="15"/>
  <c r="G564" i="15"/>
  <c r="R563" i="15"/>
  <c r="F563" i="15"/>
  <c r="E563" i="15"/>
  <c r="D563" i="15"/>
  <c r="L562" i="15"/>
  <c r="J562" i="15"/>
  <c r="G562" i="15"/>
  <c r="R561" i="15"/>
  <c r="F561" i="15"/>
  <c r="E561" i="15"/>
  <c r="D561" i="15"/>
  <c r="G560" i="15"/>
  <c r="R559" i="15"/>
  <c r="F559" i="15"/>
  <c r="E559" i="15"/>
  <c r="D559" i="15"/>
  <c r="L558" i="15"/>
  <c r="J558" i="15"/>
  <c r="G558" i="15"/>
  <c r="R557" i="15"/>
  <c r="F557" i="15"/>
  <c r="E557" i="15"/>
  <c r="D557" i="15"/>
  <c r="G556" i="15"/>
  <c r="R555" i="15"/>
  <c r="F555" i="15"/>
  <c r="E555" i="15"/>
  <c r="D555" i="15"/>
  <c r="G554" i="15"/>
  <c r="R553" i="15"/>
  <c r="F553" i="15"/>
  <c r="E553" i="15"/>
  <c r="D553" i="15"/>
  <c r="G552" i="15"/>
  <c r="R551" i="15"/>
  <c r="F551" i="15"/>
  <c r="E551" i="15"/>
  <c r="D551" i="15"/>
  <c r="G550" i="15"/>
  <c r="R549" i="15"/>
  <c r="F549" i="15"/>
  <c r="E549" i="15"/>
  <c r="D549" i="15"/>
  <c r="G493" i="15"/>
  <c r="R492" i="15"/>
  <c r="F492" i="15"/>
  <c r="E492" i="15"/>
  <c r="D492" i="15"/>
  <c r="J491" i="15"/>
  <c r="H491" i="15"/>
  <c r="G491" i="15"/>
  <c r="R490" i="15"/>
  <c r="F490" i="15"/>
  <c r="E490" i="15"/>
  <c r="D490" i="15"/>
  <c r="J489" i="15"/>
  <c r="H489" i="15"/>
  <c r="G489" i="15"/>
  <c r="R488" i="15"/>
  <c r="F488" i="15"/>
  <c r="E488" i="15"/>
  <c r="D488" i="15"/>
  <c r="G487" i="15"/>
  <c r="R486" i="15"/>
  <c r="F486" i="15"/>
  <c r="E486" i="15"/>
  <c r="D486" i="15"/>
  <c r="G485" i="15"/>
  <c r="R484" i="15"/>
  <c r="F484" i="15"/>
  <c r="E484" i="15"/>
  <c r="D484" i="15"/>
  <c r="J483" i="15"/>
  <c r="H483" i="15"/>
  <c r="G483" i="15"/>
  <c r="R482" i="15"/>
  <c r="F482" i="15"/>
  <c r="E482" i="15"/>
  <c r="D482" i="15"/>
  <c r="G481" i="15"/>
  <c r="R480" i="15"/>
  <c r="F480" i="15"/>
  <c r="E480" i="15"/>
  <c r="D480" i="15"/>
  <c r="G479" i="15"/>
  <c r="R478" i="15"/>
  <c r="F478" i="15"/>
  <c r="E478" i="15"/>
  <c r="D478" i="15"/>
  <c r="H477" i="15"/>
  <c r="G477" i="15"/>
  <c r="R476" i="15"/>
  <c r="F476" i="15"/>
  <c r="E476" i="15"/>
  <c r="D476" i="15"/>
  <c r="G446" i="15"/>
  <c r="R445" i="15"/>
  <c r="F445" i="15"/>
  <c r="E445" i="15"/>
  <c r="D445" i="15"/>
  <c r="G444" i="15"/>
  <c r="R443" i="15"/>
  <c r="F443" i="15"/>
  <c r="E443" i="15"/>
  <c r="D443" i="15"/>
  <c r="G442" i="15"/>
  <c r="R441" i="15"/>
  <c r="F441" i="15"/>
  <c r="E441" i="15"/>
  <c r="D441" i="15"/>
  <c r="G440" i="15"/>
  <c r="R439" i="15"/>
  <c r="F439" i="15"/>
  <c r="E439" i="15"/>
  <c r="D439" i="15"/>
  <c r="G438" i="15"/>
  <c r="R437" i="15"/>
  <c r="F437" i="15"/>
  <c r="E437" i="15"/>
  <c r="D437" i="15"/>
  <c r="J436" i="15"/>
  <c r="H436" i="15"/>
  <c r="G436" i="15"/>
  <c r="R435" i="15"/>
  <c r="F435" i="15"/>
  <c r="E435" i="15"/>
  <c r="D435" i="15"/>
  <c r="G434" i="15"/>
  <c r="R433" i="15"/>
  <c r="F433" i="15"/>
  <c r="E433" i="15"/>
  <c r="D433" i="15"/>
  <c r="G432" i="15"/>
  <c r="R431" i="15"/>
  <c r="F431" i="15"/>
  <c r="E431" i="15"/>
  <c r="D431" i="15"/>
  <c r="G430" i="15"/>
  <c r="R429" i="15"/>
  <c r="F429" i="15"/>
  <c r="E429" i="15"/>
  <c r="D429" i="15"/>
  <c r="L428" i="15"/>
  <c r="J428" i="15"/>
  <c r="G428" i="15"/>
  <c r="R427" i="15"/>
  <c r="F427" i="15"/>
  <c r="E427" i="15"/>
  <c r="D427" i="15"/>
  <c r="G426" i="15"/>
  <c r="R425" i="15"/>
  <c r="F425" i="15"/>
  <c r="E425" i="15"/>
  <c r="D425" i="15"/>
  <c r="G424" i="15"/>
  <c r="R423" i="15"/>
  <c r="F423" i="15"/>
  <c r="E423" i="15"/>
  <c r="D423" i="15"/>
  <c r="G422" i="15"/>
  <c r="R421" i="15"/>
  <c r="F421" i="15"/>
  <c r="E421" i="15"/>
  <c r="D421" i="15"/>
  <c r="J420" i="15"/>
  <c r="H420" i="15"/>
  <c r="G420" i="15"/>
  <c r="R419" i="15"/>
  <c r="F419" i="15"/>
  <c r="E419" i="15"/>
  <c r="D419" i="15"/>
  <c r="J418" i="15"/>
  <c r="H418" i="15"/>
  <c r="G418" i="15"/>
  <c r="R417" i="15"/>
  <c r="F417" i="15"/>
  <c r="E417" i="15"/>
  <c r="D417" i="15"/>
  <c r="J416" i="15"/>
  <c r="H416" i="15"/>
  <c r="G416" i="15"/>
  <c r="R415" i="15"/>
  <c r="F415" i="15"/>
  <c r="E415" i="15"/>
  <c r="D415" i="15"/>
  <c r="J414" i="15"/>
  <c r="H414" i="15"/>
  <c r="G414" i="15"/>
  <c r="R413" i="15"/>
  <c r="F413" i="15"/>
  <c r="E413" i="15"/>
  <c r="D413" i="15"/>
  <c r="G412" i="15"/>
  <c r="R411" i="15"/>
  <c r="F411" i="15"/>
  <c r="E411" i="15"/>
  <c r="D411" i="15"/>
  <c r="G410" i="15"/>
  <c r="R409" i="15"/>
  <c r="F409" i="15"/>
  <c r="E409" i="15"/>
  <c r="D409" i="15"/>
  <c r="G408" i="15"/>
  <c r="R407" i="15"/>
  <c r="F407" i="15"/>
  <c r="E407" i="15"/>
  <c r="D407" i="15"/>
  <c r="L406" i="15"/>
  <c r="J406" i="15"/>
  <c r="G406" i="15"/>
  <c r="R405" i="15"/>
  <c r="F405" i="15"/>
  <c r="E405" i="15"/>
  <c r="D405" i="15"/>
  <c r="J404" i="15"/>
  <c r="H404" i="15"/>
  <c r="G404" i="15"/>
  <c r="R403" i="15"/>
  <c r="F403" i="15"/>
  <c r="E403" i="15"/>
  <c r="D403" i="15"/>
  <c r="G402" i="15"/>
  <c r="R401" i="15"/>
  <c r="F401" i="15"/>
  <c r="E401" i="15"/>
  <c r="D401" i="15"/>
  <c r="G314" i="15"/>
  <c r="R313" i="15"/>
  <c r="F313" i="15"/>
  <c r="E313" i="15"/>
  <c r="D313" i="15"/>
  <c r="G312" i="15"/>
  <c r="R311" i="15"/>
  <c r="F311" i="15"/>
  <c r="E311" i="15"/>
  <c r="D311" i="15"/>
  <c r="G310" i="15"/>
  <c r="R309" i="15"/>
  <c r="F309" i="15"/>
  <c r="E309" i="15"/>
  <c r="D309" i="15"/>
  <c r="G308" i="15"/>
  <c r="R307" i="15"/>
  <c r="F307" i="15"/>
  <c r="E307" i="15"/>
  <c r="D307" i="15"/>
  <c r="G306" i="15"/>
  <c r="R305" i="15"/>
  <c r="F305" i="15"/>
  <c r="E305" i="15"/>
  <c r="D305" i="15"/>
  <c r="J304" i="15"/>
  <c r="H304" i="15"/>
  <c r="G304" i="15"/>
  <c r="R303" i="15"/>
  <c r="F303" i="15"/>
  <c r="E303" i="15"/>
  <c r="D303" i="15"/>
  <c r="G302" i="15"/>
  <c r="R301" i="15"/>
  <c r="F301" i="15"/>
  <c r="E301" i="15"/>
  <c r="D301" i="15"/>
  <c r="G300" i="15"/>
  <c r="R299" i="15"/>
  <c r="F299" i="15"/>
  <c r="E299" i="15"/>
  <c r="D299" i="15"/>
  <c r="G298" i="15"/>
  <c r="R297" i="15"/>
  <c r="F297" i="15"/>
  <c r="E297" i="15"/>
  <c r="D297" i="15"/>
  <c r="G296" i="15"/>
  <c r="R295" i="15"/>
  <c r="F295" i="15"/>
  <c r="E295" i="15"/>
  <c r="D295" i="15"/>
  <c r="G294" i="15"/>
  <c r="R293" i="15"/>
  <c r="F293" i="15"/>
  <c r="E293" i="15"/>
  <c r="D293" i="15"/>
  <c r="J292" i="15"/>
  <c r="H292" i="15"/>
  <c r="G292" i="15"/>
  <c r="R291" i="15"/>
  <c r="F291" i="15"/>
  <c r="E291" i="15"/>
  <c r="D291" i="15"/>
  <c r="J290" i="15"/>
  <c r="H290" i="15"/>
  <c r="G290" i="15"/>
  <c r="R289" i="15"/>
  <c r="F289" i="15"/>
  <c r="E289" i="15"/>
  <c r="D289" i="15"/>
  <c r="G288" i="15"/>
  <c r="R287" i="15"/>
  <c r="F287" i="15"/>
  <c r="E287" i="15"/>
  <c r="D287" i="15"/>
  <c r="G286" i="15"/>
  <c r="R285" i="15"/>
  <c r="F285" i="15"/>
  <c r="E285" i="15"/>
  <c r="D285" i="15"/>
  <c r="G284" i="15"/>
  <c r="R283" i="15"/>
  <c r="F283" i="15"/>
  <c r="E283" i="15"/>
  <c r="D283" i="15"/>
  <c r="J282" i="15"/>
  <c r="H282" i="15"/>
  <c r="G282" i="15"/>
  <c r="R281" i="15"/>
  <c r="F281" i="15"/>
  <c r="E281" i="15"/>
  <c r="D281" i="15"/>
  <c r="G280" i="15"/>
  <c r="R279" i="15"/>
  <c r="F279" i="15"/>
  <c r="E279" i="15"/>
  <c r="D279" i="15"/>
  <c r="J278" i="15"/>
  <c r="H278" i="15"/>
  <c r="G278" i="15"/>
  <c r="R277" i="15"/>
  <c r="F277" i="15"/>
  <c r="E277" i="15"/>
  <c r="D277" i="15"/>
  <c r="G276" i="15"/>
  <c r="R275" i="15"/>
  <c r="F275" i="15"/>
  <c r="E275" i="15"/>
  <c r="D275" i="15"/>
  <c r="H274" i="15"/>
  <c r="G274" i="15"/>
  <c r="R273" i="15"/>
  <c r="F273" i="15"/>
  <c r="E273" i="15"/>
  <c r="D273" i="15"/>
  <c r="G211" i="15"/>
  <c r="R210" i="15"/>
  <c r="F210" i="15"/>
  <c r="E210" i="15"/>
  <c r="D210" i="15"/>
  <c r="G209" i="15"/>
  <c r="R208" i="15"/>
  <c r="F208" i="15"/>
  <c r="E208" i="15"/>
  <c r="D208" i="15"/>
  <c r="G207" i="15"/>
  <c r="R206" i="15"/>
  <c r="F206" i="15"/>
  <c r="E206" i="15"/>
  <c r="D206" i="15"/>
  <c r="G205" i="15"/>
  <c r="R204" i="15"/>
  <c r="F204" i="15"/>
  <c r="E204" i="15"/>
  <c r="D204" i="15"/>
  <c r="G203" i="15"/>
  <c r="R202" i="15"/>
  <c r="F202" i="15"/>
  <c r="E202" i="15"/>
  <c r="D202" i="15"/>
  <c r="G201" i="15"/>
  <c r="R200" i="15"/>
  <c r="F200" i="15"/>
  <c r="E200" i="15"/>
  <c r="D200" i="15"/>
  <c r="G199" i="15"/>
  <c r="R198" i="15"/>
  <c r="F198" i="15"/>
  <c r="E198" i="15"/>
  <c r="D198" i="15"/>
  <c r="G197" i="15"/>
  <c r="R196" i="15"/>
  <c r="F196" i="15"/>
  <c r="E196" i="15"/>
  <c r="D196" i="15"/>
  <c r="G195" i="15"/>
  <c r="R194" i="15"/>
  <c r="F194" i="15"/>
  <c r="E194" i="15"/>
  <c r="D194" i="15"/>
  <c r="G193" i="15"/>
  <c r="R192" i="15"/>
  <c r="F192" i="15"/>
  <c r="E192" i="15"/>
  <c r="D192" i="15"/>
  <c r="G191" i="15"/>
  <c r="R190" i="15"/>
  <c r="F190" i="15"/>
  <c r="E190" i="15"/>
  <c r="D190" i="15"/>
  <c r="G189" i="15"/>
  <c r="R188" i="15"/>
  <c r="F188" i="15"/>
  <c r="E188" i="15"/>
  <c r="D188" i="15"/>
  <c r="J187" i="15"/>
  <c r="H187" i="15"/>
  <c r="G187" i="15"/>
  <c r="R186" i="15"/>
  <c r="F186" i="15"/>
  <c r="E186" i="15"/>
  <c r="D186" i="15"/>
  <c r="J185" i="15"/>
  <c r="H185" i="15"/>
  <c r="G185" i="15"/>
  <c r="R184" i="15"/>
  <c r="F184" i="15"/>
  <c r="E184" i="15"/>
  <c r="D184" i="15"/>
  <c r="L183" i="15"/>
  <c r="J183" i="15"/>
  <c r="H183" i="15"/>
  <c r="G183" i="15"/>
  <c r="R182" i="15"/>
  <c r="F182" i="15"/>
  <c r="E182" i="15"/>
  <c r="D182" i="15"/>
  <c r="G181" i="15"/>
  <c r="R180" i="15"/>
  <c r="F180" i="15"/>
  <c r="E180" i="15"/>
  <c r="D180" i="15"/>
  <c r="G179" i="15"/>
  <c r="R178" i="15"/>
  <c r="F178" i="15"/>
  <c r="E178" i="15"/>
  <c r="D178" i="15"/>
  <c r="G177" i="15"/>
  <c r="R176" i="15"/>
  <c r="F176" i="15"/>
  <c r="E176" i="15"/>
  <c r="D176" i="15"/>
  <c r="G175" i="15"/>
  <c r="R174" i="15"/>
  <c r="F174" i="15"/>
  <c r="E174" i="15"/>
  <c r="D174" i="15"/>
  <c r="G173" i="15"/>
  <c r="R172" i="15"/>
  <c r="F172" i="15"/>
  <c r="E172" i="15"/>
  <c r="D172" i="15"/>
  <c r="G171" i="15"/>
  <c r="R170" i="15"/>
  <c r="F170" i="15"/>
  <c r="E170" i="15"/>
  <c r="D170" i="15"/>
  <c r="G169" i="15"/>
  <c r="R168" i="15"/>
  <c r="F168" i="15"/>
  <c r="E168" i="15"/>
  <c r="D168" i="15"/>
  <c r="G167" i="15"/>
  <c r="R166" i="15"/>
  <c r="F166" i="15"/>
  <c r="E166" i="15"/>
  <c r="D166" i="15"/>
  <c r="G165" i="15"/>
  <c r="F164" i="15"/>
  <c r="E164" i="15"/>
  <c r="D164" i="15"/>
  <c r="G163" i="15"/>
  <c r="R162" i="15"/>
  <c r="F162" i="15"/>
  <c r="E162" i="15"/>
  <c r="D162" i="15"/>
  <c r="G161" i="15"/>
  <c r="R160" i="15"/>
  <c r="F160" i="15"/>
  <c r="E160" i="15"/>
  <c r="D160" i="15"/>
  <c r="G159" i="15"/>
  <c r="R158" i="15"/>
  <c r="F158" i="15"/>
  <c r="E158" i="15"/>
  <c r="D158" i="15"/>
  <c r="G157" i="15"/>
  <c r="R156" i="15"/>
  <c r="F156" i="15"/>
  <c r="E156" i="15"/>
  <c r="D156" i="15"/>
  <c r="G155" i="15"/>
  <c r="R154" i="15"/>
  <c r="F154" i="15"/>
  <c r="E154" i="15"/>
  <c r="D154" i="15"/>
  <c r="G153" i="15"/>
  <c r="R152" i="15"/>
  <c r="F152" i="15"/>
  <c r="E152" i="15"/>
  <c r="D152" i="15"/>
  <c r="G151" i="15"/>
  <c r="R150" i="15"/>
  <c r="F150" i="15"/>
  <c r="E150" i="15"/>
  <c r="D150" i="15"/>
  <c r="G149" i="15"/>
  <c r="R148" i="15"/>
  <c r="F148" i="15"/>
  <c r="E148" i="15"/>
  <c r="D148" i="15"/>
  <c r="G147" i="15"/>
  <c r="R146" i="15"/>
  <c r="F146" i="15"/>
  <c r="E146" i="15"/>
  <c r="D146" i="15"/>
  <c r="G145" i="15"/>
  <c r="R144" i="15"/>
  <c r="F144" i="15"/>
  <c r="E144" i="15"/>
  <c r="D144" i="15"/>
  <c r="G100" i="15"/>
  <c r="F99" i="15"/>
  <c r="E99" i="15"/>
  <c r="D99" i="15"/>
  <c r="G98" i="15"/>
  <c r="J53" i="14" s="1"/>
  <c r="F97" i="15"/>
  <c r="E97" i="15"/>
  <c r="D97" i="15"/>
  <c r="G96" i="15"/>
  <c r="F95" i="15"/>
  <c r="E95" i="15"/>
  <c r="D95" i="15"/>
  <c r="G94" i="15"/>
  <c r="J51" i="14" s="1"/>
  <c r="F93" i="15"/>
  <c r="E93" i="15"/>
  <c r="D93" i="15"/>
  <c r="G92" i="15"/>
  <c r="J50" i="14" s="1"/>
  <c r="F91" i="15"/>
  <c r="E91" i="15"/>
  <c r="D91" i="15"/>
  <c r="G90" i="15"/>
  <c r="F89" i="15"/>
  <c r="E89" i="15"/>
  <c r="D89" i="15"/>
  <c r="G88" i="15"/>
  <c r="F87" i="15"/>
  <c r="E87" i="15"/>
  <c r="D87" i="15"/>
  <c r="G86" i="15"/>
  <c r="F85" i="15"/>
  <c r="E85" i="15"/>
  <c r="D85" i="15"/>
  <c r="G84" i="15"/>
  <c r="F83" i="15"/>
  <c r="E83" i="15"/>
  <c r="D83" i="15"/>
  <c r="G82" i="15"/>
  <c r="F81" i="15"/>
  <c r="E81" i="15"/>
  <c r="D81" i="15"/>
  <c r="G80" i="15"/>
  <c r="F79" i="15"/>
  <c r="E79" i="15"/>
  <c r="D79" i="15"/>
  <c r="G78" i="15"/>
  <c r="F77" i="15"/>
  <c r="E77" i="15"/>
  <c r="D77" i="15"/>
  <c r="G76" i="15"/>
  <c r="F75" i="15"/>
  <c r="E75" i="15"/>
  <c r="D75" i="15"/>
  <c r="G74" i="15"/>
  <c r="F73" i="15"/>
  <c r="E73" i="15"/>
  <c r="D73" i="15"/>
  <c r="G72" i="15"/>
  <c r="F71" i="15"/>
  <c r="E71" i="15"/>
  <c r="D71" i="15"/>
  <c r="G70" i="15"/>
  <c r="F69" i="15"/>
  <c r="E69" i="15"/>
  <c r="D69" i="15"/>
  <c r="G68" i="15"/>
  <c r="J38" i="14" s="1"/>
  <c r="F67" i="15"/>
  <c r="E67" i="15"/>
  <c r="D67" i="15"/>
  <c r="J66" i="15"/>
  <c r="H66" i="15"/>
  <c r="G66" i="15"/>
  <c r="F65" i="15"/>
  <c r="E65" i="15"/>
  <c r="D65" i="15"/>
  <c r="J64" i="15"/>
  <c r="H64" i="15"/>
  <c r="G64" i="15"/>
  <c r="F63" i="15"/>
  <c r="E63" i="15"/>
  <c r="D63" i="15"/>
  <c r="G62" i="15"/>
  <c r="F61" i="15"/>
  <c r="E61" i="15"/>
  <c r="D61" i="15"/>
  <c r="G60" i="15"/>
  <c r="F59" i="15"/>
  <c r="E59" i="15"/>
  <c r="D59" i="15"/>
  <c r="J58" i="15"/>
  <c r="H58" i="15"/>
  <c r="G58" i="15"/>
  <c r="F57" i="15"/>
  <c r="E57" i="15"/>
  <c r="D57" i="15"/>
  <c r="G56" i="15"/>
  <c r="F55" i="15"/>
  <c r="E55" i="15"/>
  <c r="D55" i="15"/>
  <c r="J54" i="15"/>
  <c r="H54" i="15"/>
  <c r="G54" i="15"/>
  <c r="F53" i="15"/>
  <c r="E53" i="15"/>
  <c r="D53" i="15"/>
  <c r="G52" i="15"/>
  <c r="F51" i="15"/>
  <c r="E51" i="15"/>
  <c r="D51" i="15"/>
  <c r="G50" i="15"/>
  <c r="F49" i="15"/>
  <c r="E49" i="15"/>
  <c r="D49" i="15"/>
  <c r="AF3" i="15"/>
  <c r="AE3" i="15"/>
  <c r="K384" i="14"/>
  <c r="J384" i="14"/>
  <c r="H384" i="14"/>
  <c r="G384" i="14"/>
  <c r="K383" i="14"/>
  <c r="N383" i="14" s="1"/>
  <c r="J383" i="14"/>
  <c r="M383" i="14" s="1"/>
  <c r="H383" i="14"/>
  <c r="G383" i="14"/>
  <c r="K382" i="14"/>
  <c r="J382" i="14"/>
  <c r="H382" i="14"/>
  <c r="G382" i="14"/>
  <c r="K381" i="14"/>
  <c r="J381" i="14"/>
  <c r="H381" i="14"/>
  <c r="G381" i="14"/>
  <c r="J380" i="14"/>
  <c r="H380" i="14"/>
  <c r="G380" i="14"/>
  <c r="C380" i="14"/>
  <c r="B380" i="14"/>
  <c r="J379" i="14"/>
  <c r="H379" i="14"/>
  <c r="G379" i="14"/>
  <c r="F379" i="14"/>
  <c r="C379" i="14"/>
  <c r="B379" i="14"/>
  <c r="J378" i="14"/>
  <c r="H378" i="14"/>
  <c r="G378" i="14"/>
  <c r="M378" i="14" s="1"/>
  <c r="F378" i="14"/>
  <c r="C378" i="14"/>
  <c r="B378" i="14"/>
  <c r="J377" i="14"/>
  <c r="H377" i="14"/>
  <c r="G377" i="14"/>
  <c r="F377" i="14"/>
  <c r="C377" i="14"/>
  <c r="B377" i="14"/>
  <c r="J376" i="14"/>
  <c r="H376" i="14"/>
  <c r="G376" i="14"/>
  <c r="M376" i="14" s="1"/>
  <c r="F376" i="14"/>
  <c r="C376" i="14"/>
  <c r="B376" i="14"/>
  <c r="J375" i="14"/>
  <c r="H375" i="14"/>
  <c r="G375" i="14"/>
  <c r="F375" i="14"/>
  <c r="C375" i="14"/>
  <c r="B375" i="14"/>
  <c r="J374" i="14"/>
  <c r="H374" i="14"/>
  <c r="G374" i="14"/>
  <c r="M374" i="14" s="1"/>
  <c r="F374" i="14"/>
  <c r="C374" i="14"/>
  <c r="B374" i="14"/>
  <c r="J373" i="14"/>
  <c r="H373" i="14"/>
  <c r="G373" i="14"/>
  <c r="F373" i="14"/>
  <c r="C373" i="14"/>
  <c r="B373" i="14"/>
  <c r="J372" i="14"/>
  <c r="H372" i="14"/>
  <c r="G372" i="14"/>
  <c r="M372" i="14" s="1"/>
  <c r="F372" i="14"/>
  <c r="C372" i="14"/>
  <c r="B372" i="14"/>
  <c r="J371" i="14"/>
  <c r="H371" i="14"/>
  <c r="G371" i="14"/>
  <c r="F371" i="14"/>
  <c r="C371" i="14"/>
  <c r="B371" i="14"/>
  <c r="J370" i="14"/>
  <c r="G370" i="14"/>
  <c r="M370" i="14" s="1"/>
  <c r="J369" i="14"/>
  <c r="G369" i="14"/>
  <c r="J368" i="14"/>
  <c r="G368" i="14"/>
  <c r="J367" i="14"/>
  <c r="G367" i="14"/>
  <c r="J366" i="14"/>
  <c r="G366" i="14"/>
  <c r="J365" i="14"/>
  <c r="G365" i="14"/>
  <c r="J364" i="14"/>
  <c r="G364" i="14"/>
  <c r="M364" i="14" s="1"/>
  <c r="J363" i="14"/>
  <c r="M363" i="14" s="1"/>
  <c r="G363" i="14"/>
  <c r="J362" i="14"/>
  <c r="G362" i="14"/>
  <c r="K361" i="14"/>
  <c r="J361" i="14"/>
  <c r="G361" i="14"/>
  <c r="J360" i="14"/>
  <c r="G360" i="14"/>
  <c r="K359" i="14"/>
  <c r="J359" i="14"/>
  <c r="H359" i="14"/>
  <c r="N359" i="14" s="1"/>
  <c r="G359" i="14"/>
  <c r="M359" i="14" s="1"/>
  <c r="K358" i="14"/>
  <c r="J358" i="14"/>
  <c r="H358" i="14"/>
  <c r="G358" i="14"/>
  <c r="J351" i="14"/>
  <c r="J350" i="14"/>
  <c r="J349" i="14"/>
  <c r="J348" i="14"/>
  <c r="J347" i="14"/>
  <c r="J346" i="14"/>
  <c r="J345" i="14"/>
  <c r="M345" i="14" s="1"/>
  <c r="H345" i="14"/>
  <c r="G345" i="14"/>
  <c r="J344" i="14"/>
  <c r="G344" i="14"/>
  <c r="G343" i="14"/>
  <c r="G342" i="14"/>
  <c r="G341" i="14"/>
  <c r="G340" i="14"/>
  <c r="J338" i="14"/>
  <c r="G338" i="14"/>
  <c r="J335" i="14"/>
  <c r="H335" i="14"/>
  <c r="G335" i="14"/>
  <c r="M335" i="14" s="1"/>
  <c r="J334" i="14"/>
  <c r="G334" i="14"/>
  <c r="J333" i="14"/>
  <c r="G333" i="14"/>
  <c r="K332" i="14"/>
  <c r="J332" i="14"/>
  <c r="G332" i="14"/>
  <c r="J331" i="14"/>
  <c r="G331" i="14"/>
  <c r="K330" i="14"/>
  <c r="J330" i="14"/>
  <c r="M330" i="14" s="1"/>
  <c r="H330" i="14"/>
  <c r="G330" i="14"/>
  <c r="K329" i="14"/>
  <c r="J329" i="14"/>
  <c r="H329" i="14"/>
  <c r="G329" i="14"/>
  <c r="K328" i="14"/>
  <c r="J328" i="14"/>
  <c r="H328" i="14"/>
  <c r="G328" i="14"/>
  <c r="K327" i="14"/>
  <c r="J327" i="14"/>
  <c r="M327" i="14" s="1"/>
  <c r="H327" i="14"/>
  <c r="N327" i="14" s="1"/>
  <c r="G327" i="14"/>
  <c r="K326" i="14"/>
  <c r="J326" i="14"/>
  <c r="H326" i="14"/>
  <c r="G326" i="14"/>
  <c r="K325" i="14"/>
  <c r="J325" i="14"/>
  <c r="H325" i="14"/>
  <c r="G325" i="14"/>
  <c r="K324" i="14"/>
  <c r="J324" i="14"/>
  <c r="M324" i="14" s="1"/>
  <c r="H324" i="14"/>
  <c r="N324" i="14" s="1"/>
  <c r="G324" i="14"/>
  <c r="K323" i="14"/>
  <c r="J323" i="14"/>
  <c r="H323" i="14"/>
  <c r="G323" i="14"/>
  <c r="K322" i="14"/>
  <c r="J322" i="14"/>
  <c r="H322" i="14"/>
  <c r="G322" i="14"/>
  <c r="K321" i="14"/>
  <c r="J321" i="14"/>
  <c r="M321" i="14" s="1"/>
  <c r="H321" i="14"/>
  <c r="N321" i="14" s="1"/>
  <c r="G321" i="14"/>
  <c r="K320" i="14"/>
  <c r="J320" i="14"/>
  <c r="H320" i="14"/>
  <c r="G320" i="14"/>
  <c r="K319" i="14"/>
  <c r="J319" i="14"/>
  <c r="H319" i="14"/>
  <c r="G319" i="14"/>
  <c r="K318" i="14"/>
  <c r="J318" i="14"/>
  <c r="M318" i="14" s="1"/>
  <c r="H318" i="14"/>
  <c r="N318" i="14" s="1"/>
  <c r="G318" i="14"/>
  <c r="K317" i="14"/>
  <c r="J317" i="14"/>
  <c r="H317" i="14"/>
  <c r="G317" i="14"/>
  <c r="K316" i="14"/>
  <c r="J316" i="14"/>
  <c r="H316" i="14"/>
  <c r="G316" i="14"/>
  <c r="K315" i="14"/>
  <c r="J315" i="14"/>
  <c r="M315" i="14" s="1"/>
  <c r="H315" i="14"/>
  <c r="N315" i="14" s="1"/>
  <c r="G315" i="14"/>
  <c r="K314" i="14"/>
  <c r="J314" i="14"/>
  <c r="H314" i="14"/>
  <c r="G314" i="14"/>
  <c r="K313" i="14"/>
  <c r="J313" i="14"/>
  <c r="H313" i="14"/>
  <c r="G313" i="14"/>
  <c r="K312" i="14"/>
  <c r="J312" i="14"/>
  <c r="M312" i="14" s="1"/>
  <c r="H312" i="14"/>
  <c r="N312" i="14" s="1"/>
  <c r="G312" i="14"/>
  <c r="K311" i="14"/>
  <c r="J311" i="14"/>
  <c r="H311" i="14"/>
  <c r="G311" i="14"/>
  <c r="K310" i="14"/>
  <c r="J310" i="14"/>
  <c r="H310" i="14"/>
  <c r="G310" i="14"/>
  <c r="K309" i="14"/>
  <c r="J309" i="14"/>
  <c r="M309" i="14" s="1"/>
  <c r="H309" i="14"/>
  <c r="N309" i="14" s="1"/>
  <c r="G309" i="14"/>
  <c r="K308" i="14"/>
  <c r="J308" i="14"/>
  <c r="H308" i="14"/>
  <c r="G308" i="14"/>
  <c r="K307" i="14"/>
  <c r="J307" i="14"/>
  <c r="H307" i="14"/>
  <c r="G307" i="14"/>
  <c r="J305" i="14"/>
  <c r="G305" i="14"/>
  <c r="M305" i="14" s="1"/>
  <c r="K304" i="14"/>
  <c r="N304" i="14" s="1"/>
  <c r="J304" i="14"/>
  <c r="H304" i="14"/>
  <c r="G304" i="14"/>
  <c r="K303" i="14"/>
  <c r="J303" i="14"/>
  <c r="H303" i="14"/>
  <c r="G303" i="14"/>
  <c r="K302" i="14"/>
  <c r="J302" i="14"/>
  <c r="H302" i="14"/>
  <c r="G302" i="14"/>
  <c r="M302" i="14" s="1"/>
  <c r="K301" i="14"/>
  <c r="N301" i="14" s="1"/>
  <c r="J301" i="14"/>
  <c r="H301" i="14"/>
  <c r="G301" i="14"/>
  <c r="K300" i="14"/>
  <c r="J300" i="14"/>
  <c r="H300" i="14"/>
  <c r="G300" i="14"/>
  <c r="K299" i="14"/>
  <c r="J299" i="14"/>
  <c r="H299" i="14"/>
  <c r="G299" i="14"/>
  <c r="M299" i="14" s="1"/>
  <c r="J298" i="14"/>
  <c r="M298" i="14" s="1"/>
  <c r="H298" i="14"/>
  <c r="G298" i="14"/>
  <c r="J297" i="14"/>
  <c r="H297" i="14"/>
  <c r="G297" i="14"/>
  <c r="J296" i="14"/>
  <c r="H296" i="14"/>
  <c r="G296" i="14"/>
  <c r="J295" i="14"/>
  <c r="H295" i="14"/>
  <c r="G295" i="14"/>
  <c r="M295" i="14" s="1"/>
  <c r="J294" i="14"/>
  <c r="M294" i="14" s="1"/>
  <c r="H294" i="14"/>
  <c r="G294" i="14"/>
  <c r="J293" i="14"/>
  <c r="H293" i="14"/>
  <c r="G293" i="14"/>
  <c r="J292" i="14"/>
  <c r="H292" i="14"/>
  <c r="G292" i="14"/>
  <c r="J291" i="14"/>
  <c r="H291" i="14"/>
  <c r="G291" i="14"/>
  <c r="M291" i="14" s="1"/>
  <c r="J290" i="14"/>
  <c r="M290" i="14" s="1"/>
  <c r="H290" i="14"/>
  <c r="G290" i="14"/>
  <c r="J289" i="14"/>
  <c r="H289" i="14"/>
  <c r="G289" i="14"/>
  <c r="J288" i="14"/>
  <c r="H288" i="14"/>
  <c r="G288" i="14"/>
  <c r="J287" i="14"/>
  <c r="H287" i="14"/>
  <c r="G287" i="14"/>
  <c r="M287" i="14" s="1"/>
  <c r="J286" i="14"/>
  <c r="M286" i="14" s="1"/>
  <c r="H286" i="14"/>
  <c r="G286" i="14"/>
  <c r="J285" i="14"/>
  <c r="H285" i="14"/>
  <c r="G285" i="14"/>
  <c r="J284" i="14"/>
  <c r="H284" i="14"/>
  <c r="G284" i="14"/>
  <c r="J283" i="14"/>
  <c r="H283" i="14"/>
  <c r="G283" i="14"/>
  <c r="M283" i="14" s="1"/>
  <c r="J282" i="14"/>
  <c r="M282" i="14" s="1"/>
  <c r="H282" i="14"/>
  <c r="G282" i="14"/>
  <c r="K281" i="14"/>
  <c r="J281" i="14"/>
  <c r="H281" i="14"/>
  <c r="G281" i="14"/>
  <c r="K280" i="14"/>
  <c r="N280" i="14" s="1"/>
  <c r="J280" i="14"/>
  <c r="H280" i="14"/>
  <c r="G280" i="14"/>
  <c r="K279" i="14"/>
  <c r="N279" i="14" s="1"/>
  <c r="J279" i="14"/>
  <c r="M279" i="14" s="1"/>
  <c r="H279" i="14"/>
  <c r="G279" i="14"/>
  <c r="K278" i="14"/>
  <c r="J278" i="14"/>
  <c r="H278" i="14"/>
  <c r="G278" i="14"/>
  <c r="K277" i="14"/>
  <c r="J277" i="14"/>
  <c r="H277" i="14"/>
  <c r="G277" i="14"/>
  <c r="K276" i="14"/>
  <c r="J276" i="14"/>
  <c r="M276" i="14" s="1"/>
  <c r="H276" i="14"/>
  <c r="G276" i="14"/>
  <c r="K275" i="14"/>
  <c r="J275" i="14"/>
  <c r="H275" i="14"/>
  <c r="G275" i="14"/>
  <c r="K274" i="14"/>
  <c r="N274" i="14" s="1"/>
  <c r="J274" i="14"/>
  <c r="H274" i="14"/>
  <c r="G274" i="14"/>
  <c r="K273" i="14"/>
  <c r="N273" i="14" s="1"/>
  <c r="J273" i="14"/>
  <c r="M273" i="14" s="1"/>
  <c r="H273" i="14"/>
  <c r="G273" i="14"/>
  <c r="K272" i="14"/>
  <c r="J272" i="14"/>
  <c r="H272" i="14"/>
  <c r="G272" i="14"/>
  <c r="K271" i="14"/>
  <c r="N271" i="14" s="1"/>
  <c r="J271" i="14"/>
  <c r="H271" i="14"/>
  <c r="G271" i="14"/>
  <c r="K270" i="14"/>
  <c r="N270" i="14" s="1"/>
  <c r="J270" i="14"/>
  <c r="M270" i="14" s="1"/>
  <c r="H270" i="14"/>
  <c r="G270" i="14"/>
  <c r="K269" i="14"/>
  <c r="J269" i="14"/>
  <c r="H269" i="14"/>
  <c r="G269" i="14"/>
  <c r="K268" i="14"/>
  <c r="J268" i="14"/>
  <c r="H268" i="14"/>
  <c r="G268" i="14"/>
  <c r="K267" i="14"/>
  <c r="N267" i="14" s="1"/>
  <c r="J267" i="14"/>
  <c r="M267" i="14" s="1"/>
  <c r="H267" i="14"/>
  <c r="G267" i="14"/>
  <c r="K266" i="14"/>
  <c r="J266" i="14"/>
  <c r="H266" i="14"/>
  <c r="G266" i="14"/>
  <c r="M266" i="14" s="1"/>
  <c r="K265" i="14"/>
  <c r="N265" i="14" s="1"/>
  <c r="J265" i="14"/>
  <c r="H265" i="14"/>
  <c r="G265" i="14"/>
  <c r="K264" i="14"/>
  <c r="N264" i="14" s="1"/>
  <c r="J264" i="14"/>
  <c r="M264" i="14" s="1"/>
  <c r="H264" i="14"/>
  <c r="G264" i="14"/>
  <c r="K263" i="14"/>
  <c r="J263" i="14"/>
  <c r="H263" i="14"/>
  <c r="G263" i="14"/>
  <c r="K262" i="14"/>
  <c r="N262" i="14" s="1"/>
  <c r="J262" i="14"/>
  <c r="H262" i="14"/>
  <c r="G262" i="14"/>
  <c r="K261" i="14"/>
  <c r="J261" i="14"/>
  <c r="H261" i="14"/>
  <c r="G261" i="14"/>
  <c r="K260" i="14"/>
  <c r="J260" i="14"/>
  <c r="H260" i="14"/>
  <c r="G260" i="14"/>
  <c r="J258" i="14"/>
  <c r="G258" i="14"/>
  <c r="K257" i="14"/>
  <c r="J257" i="14"/>
  <c r="H257" i="14"/>
  <c r="N257" i="14" s="1"/>
  <c r="G257" i="14"/>
  <c r="M257" i="14" s="1"/>
  <c r="K256" i="14"/>
  <c r="J256" i="14"/>
  <c r="H256" i="14"/>
  <c r="G256" i="14"/>
  <c r="K255" i="14"/>
  <c r="J255" i="14"/>
  <c r="H255" i="14"/>
  <c r="G255" i="14"/>
  <c r="K254" i="14"/>
  <c r="J254" i="14"/>
  <c r="H254" i="14"/>
  <c r="N254" i="14" s="1"/>
  <c r="G254" i="14"/>
  <c r="M254" i="14" s="1"/>
  <c r="K253" i="14"/>
  <c r="J253" i="14"/>
  <c r="H253" i="14"/>
  <c r="G253" i="14"/>
  <c r="K252" i="14"/>
  <c r="J252" i="14"/>
  <c r="G252" i="14"/>
  <c r="K251" i="14"/>
  <c r="J251" i="14"/>
  <c r="G251" i="14"/>
  <c r="K250" i="14"/>
  <c r="N250" i="14" s="1"/>
  <c r="J250" i="14"/>
  <c r="M250" i="14" s="1"/>
  <c r="G250" i="14"/>
  <c r="K249" i="14"/>
  <c r="J249" i="14"/>
  <c r="G249" i="14"/>
  <c r="K248" i="14"/>
  <c r="J248" i="14"/>
  <c r="G248" i="14"/>
  <c r="K247" i="14"/>
  <c r="J247" i="14"/>
  <c r="G247" i="14"/>
  <c r="K246" i="14"/>
  <c r="J246" i="14"/>
  <c r="M246" i="14" s="1"/>
  <c r="G246" i="14"/>
  <c r="K245" i="14"/>
  <c r="J245" i="14"/>
  <c r="G245" i="14"/>
  <c r="K244" i="14"/>
  <c r="J244" i="14"/>
  <c r="G244" i="14"/>
  <c r="K243" i="14"/>
  <c r="J243" i="14"/>
  <c r="H243" i="14"/>
  <c r="G243" i="14"/>
  <c r="M243" i="14" s="1"/>
  <c r="K242" i="14"/>
  <c r="N242" i="14" s="1"/>
  <c r="J242" i="14"/>
  <c r="H242" i="14"/>
  <c r="G242" i="14"/>
  <c r="K241" i="14"/>
  <c r="J241" i="14"/>
  <c r="M241" i="14" s="1"/>
  <c r="H241" i="14"/>
  <c r="G241" i="14"/>
  <c r="K240" i="14"/>
  <c r="J240" i="14"/>
  <c r="H240" i="14"/>
  <c r="G240" i="14"/>
  <c r="M240" i="14" s="1"/>
  <c r="K239" i="14"/>
  <c r="N239" i="14" s="1"/>
  <c r="J239" i="14"/>
  <c r="H239" i="14"/>
  <c r="G239" i="14"/>
  <c r="K238" i="14"/>
  <c r="J238" i="14"/>
  <c r="M238" i="14" s="1"/>
  <c r="H238" i="14"/>
  <c r="G238" i="14"/>
  <c r="K237" i="14"/>
  <c r="J237" i="14"/>
  <c r="H237" i="14"/>
  <c r="G237" i="14"/>
  <c r="M237" i="14" s="1"/>
  <c r="K236" i="14"/>
  <c r="J236" i="14"/>
  <c r="H236" i="14"/>
  <c r="G236" i="14"/>
  <c r="K235" i="14"/>
  <c r="J235" i="14"/>
  <c r="M235" i="14" s="1"/>
  <c r="H235" i="14"/>
  <c r="G235" i="14"/>
  <c r="K234" i="14"/>
  <c r="J234" i="14"/>
  <c r="H234" i="14"/>
  <c r="G234" i="14"/>
  <c r="M234" i="14" s="1"/>
  <c r="J232" i="14"/>
  <c r="M232" i="14" s="1"/>
  <c r="G232" i="14"/>
  <c r="K231" i="14"/>
  <c r="J231" i="14"/>
  <c r="H231" i="14"/>
  <c r="G231" i="14"/>
  <c r="K230" i="14"/>
  <c r="J230" i="14"/>
  <c r="H230" i="14"/>
  <c r="G230" i="14"/>
  <c r="J229" i="14"/>
  <c r="H229" i="14"/>
  <c r="G229" i="14"/>
  <c r="M229" i="14" s="1"/>
  <c r="J228" i="14"/>
  <c r="H228" i="14"/>
  <c r="G228" i="14"/>
  <c r="J227" i="14"/>
  <c r="H227" i="14"/>
  <c r="G227" i="14"/>
  <c r="J226" i="14"/>
  <c r="H226" i="14"/>
  <c r="G226" i="14"/>
  <c r="J225" i="14"/>
  <c r="H225" i="14"/>
  <c r="G225" i="14"/>
  <c r="M225" i="14" s="1"/>
  <c r="J224" i="14"/>
  <c r="H224" i="14"/>
  <c r="G224" i="14"/>
  <c r="J223" i="14"/>
  <c r="H223" i="14"/>
  <c r="G223" i="14"/>
  <c r="J222" i="14"/>
  <c r="H222" i="14"/>
  <c r="G222" i="14"/>
  <c r="J221" i="14"/>
  <c r="H221" i="14"/>
  <c r="G221" i="14"/>
  <c r="M221" i="14" s="1"/>
  <c r="J220" i="14"/>
  <c r="H220" i="14"/>
  <c r="G220" i="14"/>
  <c r="J219" i="14"/>
  <c r="H219" i="14"/>
  <c r="G219" i="14"/>
  <c r="J218" i="14"/>
  <c r="H218" i="14"/>
  <c r="G218" i="14"/>
  <c r="J217" i="14"/>
  <c r="H217" i="14"/>
  <c r="G217" i="14"/>
  <c r="M217" i="14" s="1"/>
  <c r="J216" i="14"/>
  <c r="H216" i="14"/>
  <c r="G216" i="14"/>
  <c r="J215" i="14"/>
  <c r="H215" i="14"/>
  <c r="G215" i="14"/>
  <c r="J214" i="14"/>
  <c r="H214" i="14"/>
  <c r="G214" i="14"/>
  <c r="J213" i="14"/>
  <c r="H213" i="14"/>
  <c r="G213" i="14"/>
  <c r="M213" i="14" s="1"/>
  <c r="J212" i="14"/>
  <c r="H212" i="14"/>
  <c r="G212" i="14"/>
  <c r="J211" i="14"/>
  <c r="H211" i="14"/>
  <c r="G211" i="14"/>
  <c r="J210" i="14"/>
  <c r="H210" i="14"/>
  <c r="G210" i="14"/>
  <c r="J209" i="14"/>
  <c r="H209" i="14"/>
  <c r="G209" i="14"/>
  <c r="M209" i="14" s="1"/>
  <c r="J208" i="14"/>
  <c r="H208" i="14"/>
  <c r="G208" i="14"/>
  <c r="J207" i="14"/>
  <c r="H207" i="14"/>
  <c r="G207" i="14"/>
  <c r="K206" i="14"/>
  <c r="J206" i="14"/>
  <c r="H206" i="14"/>
  <c r="G206" i="14"/>
  <c r="K205" i="14"/>
  <c r="N205" i="14" s="1"/>
  <c r="J205" i="14"/>
  <c r="M205" i="14" s="1"/>
  <c r="H205" i="14"/>
  <c r="G205" i="14"/>
  <c r="K204" i="14"/>
  <c r="J204" i="14"/>
  <c r="H204" i="14"/>
  <c r="G204" i="14"/>
  <c r="K203" i="14"/>
  <c r="J203" i="14"/>
  <c r="H203" i="14"/>
  <c r="G203" i="14"/>
  <c r="K202" i="14"/>
  <c r="N202" i="14" s="1"/>
  <c r="J202" i="14"/>
  <c r="M202" i="14" s="1"/>
  <c r="H202" i="14"/>
  <c r="G202" i="14"/>
  <c r="K201" i="14"/>
  <c r="J201" i="14"/>
  <c r="H201" i="14"/>
  <c r="G201" i="14"/>
  <c r="K200" i="14"/>
  <c r="J200" i="14"/>
  <c r="H200" i="14"/>
  <c r="G200" i="14"/>
  <c r="K199" i="14"/>
  <c r="N199" i="14" s="1"/>
  <c r="J199" i="14"/>
  <c r="M199" i="14" s="1"/>
  <c r="H199" i="14"/>
  <c r="G199" i="14"/>
  <c r="K198" i="14"/>
  <c r="J198" i="14"/>
  <c r="H198" i="14"/>
  <c r="G198" i="14"/>
  <c r="K197" i="14"/>
  <c r="J197" i="14"/>
  <c r="H197" i="14"/>
  <c r="G197" i="14"/>
  <c r="K196" i="14"/>
  <c r="N196" i="14" s="1"/>
  <c r="J196" i="14"/>
  <c r="M196" i="14" s="1"/>
  <c r="H196" i="14"/>
  <c r="G196" i="14"/>
  <c r="K195" i="14"/>
  <c r="J195" i="14"/>
  <c r="H195" i="14"/>
  <c r="G195" i="14"/>
  <c r="K194" i="14"/>
  <c r="J194" i="14"/>
  <c r="H194" i="14"/>
  <c r="G194" i="14"/>
  <c r="K193" i="14"/>
  <c r="N193" i="14" s="1"/>
  <c r="J193" i="14"/>
  <c r="M193" i="14" s="1"/>
  <c r="H193" i="14"/>
  <c r="G193" i="14"/>
  <c r="K192" i="14"/>
  <c r="J192" i="14"/>
  <c r="H192" i="14"/>
  <c r="G192" i="14"/>
  <c r="K191" i="14"/>
  <c r="J191" i="14"/>
  <c r="H191" i="14"/>
  <c r="G191" i="14"/>
  <c r="K190" i="14"/>
  <c r="N190" i="14" s="1"/>
  <c r="J190" i="14"/>
  <c r="M190" i="14" s="1"/>
  <c r="H190" i="14"/>
  <c r="G190" i="14"/>
  <c r="K189" i="14"/>
  <c r="J189" i="14"/>
  <c r="H189" i="14"/>
  <c r="G189" i="14"/>
  <c r="K188" i="14"/>
  <c r="J188" i="14"/>
  <c r="H188" i="14"/>
  <c r="G188" i="14"/>
  <c r="K187" i="14"/>
  <c r="N187" i="14" s="1"/>
  <c r="J187" i="14"/>
  <c r="M187" i="14" s="1"/>
  <c r="H187" i="14"/>
  <c r="G187" i="14"/>
  <c r="K186" i="14"/>
  <c r="J186" i="14"/>
  <c r="H186" i="14"/>
  <c r="G186" i="14"/>
  <c r="K185" i="14"/>
  <c r="J185" i="14"/>
  <c r="H185" i="14"/>
  <c r="G185" i="14"/>
  <c r="K184" i="14"/>
  <c r="N184" i="14" s="1"/>
  <c r="J184" i="14"/>
  <c r="M184" i="14" s="1"/>
  <c r="H184" i="14"/>
  <c r="G184" i="14"/>
  <c r="K183" i="14"/>
  <c r="J183" i="14"/>
  <c r="H183" i="14"/>
  <c r="G183" i="14"/>
  <c r="K182" i="14"/>
  <c r="J182" i="14"/>
  <c r="H182" i="14"/>
  <c r="G182" i="14"/>
  <c r="K181" i="14"/>
  <c r="N181" i="14" s="1"/>
  <c r="J181" i="14"/>
  <c r="M181" i="14" s="1"/>
  <c r="H181" i="14"/>
  <c r="G181" i="14"/>
  <c r="J179" i="14"/>
  <c r="G179" i="14"/>
  <c r="K178" i="14"/>
  <c r="J178" i="14"/>
  <c r="H178" i="14"/>
  <c r="G178" i="14"/>
  <c r="K177" i="14"/>
  <c r="J177" i="14"/>
  <c r="H177" i="14"/>
  <c r="G177" i="14"/>
  <c r="M177" i="14" s="1"/>
  <c r="K176" i="14"/>
  <c r="J176" i="14"/>
  <c r="H176" i="14"/>
  <c r="G176" i="14"/>
  <c r="K175" i="14"/>
  <c r="J175" i="14"/>
  <c r="H175" i="14"/>
  <c r="G175" i="14"/>
  <c r="K174" i="14"/>
  <c r="J174" i="14"/>
  <c r="H174" i="14"/>
  <c r="N174" i="14" s="1"/>
  <c r="G174" i="14"/>
  <c r="M174" i="14" s="1"/>
  <c r="K173" i="14"/>
  <c r="J173" i="14"/>
  <c r="H173" i="14"/>
  <c r="G173" i="14"/>
  <c r="K172" i="14"/>
  <c r="J172" i="14"/>
  <c r="H172" i="14"/>
  <c r="G172" i="14"/>
  <c r="K171" i="14"/>
  <c r="J171" i="14"/>
  <c r="H171" i="14"/>
  <c r="N171" i="14" s="1"/>
  <c r="G171" i="14"/>
  <c r="M171" i="14" s="1"/>
  <c r="K170" i="14"/>
  <c r="J170" i="14"/>
  <c r="H170" i="14"/>
  <c r="G170" i="14"/>
  <c r="K169" i="14"/>
  <c r="J169" i="14"/>
  <c r="H169" i="14"/>
  <c r="G169" i="14"/>
  <c r="J167" i="14"/>
  <c r="G167" i="14"/>
  <c r="K166" i="14"/>
  <c r="N166" i="14" s="1"/>
  <c r="J166" i="14"/>
  <c r="M166" i="14" s="1"/>
  <c r="H166" i="14"/>
  <c r="G166" i="14"/>
  <c r="K165" i="14"/>
  <c r="J165" i="14"/>
  <c r="H165" i="14"/>
  <c r="G165" i="14"/>
  <c r="K164" i="14"/>
  <c r="J164" i="14"/>
  <c r="H164" i="14"/>
  <c r="G164" i="14"/>
  <c r="K163" i="14"/>
  <c r="J163" i="14"/>
  <c r="H163" i="14"/>
  <c r="G163" i="14"/>
  <c r="J162" i="14"/>
  <c r="H162" i="14"/>
  <c r="G162" i="14"/>
  <c r="J161" i="14"/>
  <c r="H161" i="14"/>
  <c r="G161" i="14"/>
  <c r="J160" i="14"/>
  <c r="H160" i="14"/>
  <c r="G160" i="14"/>
  <c r="M160" i="14" s="1"/>
  <c r="J159" i="14"/>
  <c r="M159" i="14" s="1"/>
  <c r="H159" i="14"/>
  <c r="G159" i="14"/>
  <c r="J158" i="14"/>
  <c r="H158" i="14"/>
  <c r="G158" i="14"/>
  <c r="J157" i="14"/>
  <c r="H157" i="14"/>
  <c r="G157" i="14"/>
  <c r="J156" i="14"/>
  <c r="H156" i="14"/>
  <c r="G156" i="14"/>
  <c r="M156" i="14" s="1"/>
  <c r="J155" i="14"/>
  <c r="M155" i="14" s="1"/>
  <c r="H155" i="14"/>
  <c r="G155" i="14"/>
  <c r="J154" i="14"/>
  <c r="H154" i="14"/>
  <c r="G154" i="14"/>
  <c r="J153" i="14"/>
  <c r="H153" i="14"/>
  <c r="G153" i="14"/>
  <c r="J152" i="14"/>
  <c r="H152" i="14"/>
  <c r="G152" i="14"/>
  <c r="M152" i="14" s="1"/>
  <c r="J151" i="14"/>
  <c r="M151" i="14" s="1"/>
  <c r="H151" i="14"/>
  <c r="G151" i="14"/>
  <c r="J150" i="14"/>
  <c r="H150" i="14"/>
  <c r="G150" i="14"/>
  <c r="J149" i="14"/>
  <c r="H149" i="14"/>
  <c r="G149" i="14"/>
  <c r="J148" i="14"/>
  <c r="H148" i="14"/>
  <c r="G148" i="14"/>
  <c r="M148" i="14" s="1"/>
  <c r="J147" i="14"/>
  <c r="M147" i="14" s="1"/>
  <c r="H147" i="14"/>
  <c r="G147" i="14"/>
  <c r="J146" i="14"/>
  <c r="H146" i="14"/>
  <c r="G146" i="14"/>
  <c r="J145" i="14"/>
  <c r="H145" i="14"/>
  <c r="G145" i="14"/>
  <c r="J144" i="14"/>
  <c r="H144" i="14"/>
  <c r="G144" i="14"/>
  <c r="M144" i="14" s="1"/>
  <c r="J143" i="14"/>
  <c r="M143" i="14" s="1"/>
  <c r="H143" i="14"/>
  <c r="G143" i="14"/>
  <c r="J142" i="14"/>
  <c r="H142" i="14"/>
  <c r="G142" i="14"/>
  <c r="K141" i="14"/>
  <c r="J141" i="14"/>
  <c r="H141" i="14"/>
  <c r="G141" i="14"/>
  <c r="K140" i="14"/>
  <c r="J140" i="14"/>
  <c r="H140" i="14"/>
  <c r="N140" i="14" s="1"/>
  <c r="G140" i="14"/>
  <c r="K139" i="14"/>
  <c r="J139" i="14"/>
  <c r="H139" i="14"/>
  <c r="G139" i="14"/>
  <c r="K138" i="14"/>
  <c r="J138" i="14"/>
  <c r="H138" i="14"/>
  <c r="G138" i="14"/>
  <c r="K137" i="14"/>
  <c r="J137" i="14"/>
  <c r="M137" i="14" s="1"/>
  <c r="H137" i="14"/>
  <c r="N137" i="14" s="1"/>
  <c r="G137" i="14"/>
  <c r="K136" i="14"/>
  <c r="J136" i="14"/>
  <c r="H136" i="14"/>
  <c r="G136" i="14"/>
  <c r="K135" i="14"/>
  <c r="J135" i="14"/>
  <c r="H135" i="14"/>
  <c r="G135" i="14"/>
  <c r="K134" i="14"/>
  <c r="J134" i="14"/>
  <c r="M134" i="14" s="1"/>
  <c r="H134" i="14"/>
  <c r="N134" i="14" s="1"/>
  <c r="G134" i="14"/>
  <c r="K133" i="14"/>
  <c r="J133" i="14"/>
  <c r="H133" i="14"/>
  <c r="G133" i="14"/>
  <c r="K132" i="14"/>
  <c r="J132" i="14"/>
  <c r="H132" i="14"/>
  <c r="G132" i="14"/>
  <c r="K131" i="14"/>
  <c r="J131" i="14"/>
  <c r="M131" i="14" s="1"/>
  <c r="H131" i="14"/>
  <c r="G131" i="14"/>
  <c r="K130" i="14"/>
  <c r="J130" i="14"/>
  <c r="H130" i="14"/>
  <c r="G130" i="14"/>
  <c r="K129" i="14"/>
  <c r="J129" i="14"/>
  <c r="H129" i="14"/>
  <c r="G129" i="14"/>
  <c r="K128" i="14"/>
  <c r="J128" i="14"/>
  <c r="M128" i="14" s="1"/>
  <c r="H128" i="14"/>
  <c r="N128" i="14" s="1"/>
  <c r="G128" i="14"/>
  <c r="K127" i="14"/>
  <c r="J127" i="14"/>
  <c r="H127" i="14"/>
  <c r="G127" i="14"/>
  <c r="K126" i="14"/>
  <c r="J126" i="14"/>
  <c r="H126" i="14"/>
  <c r="G126" i="14"/>
  <c r="K125" i="14"/>
  <c r="J125" i="14"/>
  <c r="M125" i="14" s="1"/>
  <c r="H125" i="14"/>
  <c r="N125" i="14" s="1"/>
  <c r="G125" i="14"/>
  <c r="K124" i="14"/>
  <c r="J124" i="14"/>
  <c r="H124" i="14"/>
  <c r="G124" i="14"/>
  <c r="K123" i="14"/>
  <c r="J123" i="14"/>
  <c r="H123" i="14"/>
  <c r="G123" i="14"/>
  <c r="K122" i="14"/>
  <c r="J122" i="14"/>
  <c r="M122" i="14" s="1"/>
  <c r="H122" i="14"/>
  <c r="N122" i="14" s="1"/>
  <c r="G122" i="14"/>
  <c r="K121" i="14"/>
  <c r="J121" i="14"/>
  <c r="H121" i="14"/>
  <c r="G121" i="14"/>
  <c r="K120" i="14"/>
  <c r="J120" i="14"/>
  <c r="H120" i="14"/>
  <c r="G120" i="14"/>
  <c r="K119" i="14"/>
  <c r="J119" i="14"/>
  <c r="M119" i="14" s="1"/>
  <c r="H119" i="14"/>
  <c r="N119" i="14" s="1"/>
  <c r="G119" i="14"/>
  <c r="K118" i="14"/>
  <c r="J118" i="14"/>
  <c r="H118" i="14"/>
  <c r="G118" i="14"/>
  <c r="K117" i="14"/>
  <c r="J117" i="14"/>
  <c r="H117" i="14"/>
  <c r="G117" i="14"/>
  <c r="K116" i="14"/>
  <c r="J116" i="14"/>
  <c r="M116" i="14" s="1"/>
  <c r="H116" i="14"/>
  <c r="N116" i="14" s="1"/>
  <c r="G116" i="14"/>
  <c r="K115" i="14"/>
  <c r="J115" i="14"/>
  <c r="H115" i="14"/>
  <c r="G115" i="14"/>
  <c r="K114" i="14"/>
  <c r="J114" i="14"/>
  <c r="H114" i="14"/>
  <c r="G114" i="14"/>
  <c r="J112" i="14"/>
  <c r="G112" i="14"/>
  <c r="M112" i="14" s="1"/>
  <c r="K111" i="14"/>
  <c r="N111" i="14" s="1"/>
  <c r="J111" i="14"/>
  <c r="H111" i="14"/>
  <c r="G111" i="14"/>
  <c r="K110" i="14"/>
  <c r="J110" i="14"/>
  <c r="H110" i="14"/>
  <c r="G110" i="14"/>
  <c r="K109" i="14"/>
  <c r="J109" i="14"/>
  <c r="G109" i="14"/>
  <c r="K108" i="14"/>
  <c r="J108" i="14"/>
  <c r="M108" i="14" s="1"/>
  <c r="G108" i="14"/>
  <c r="K107" i="14"/>
  <c r="J107" i="14"/>
  <c r="G107" i="14"/>
  <c r="K106" i="14"/>
  <c r="J106" i="14"/>
  <c r="G106" i="14"/>
  <c r="K105" i="14"/>
  <c r="J105" i="14"/>
  <c r="G105" i="14"/>
  <c r="K104" i="14"/>
  <c r="J104" i="14"/>
  <c r="M104" i="14" s="1"/>
  <c r="G104" i="14"/>
  <c r="K103" i="14"/>
  <c r="J103" i="14"/>
  <c r="G103" i="14"/>
  <c r="K102" i="14"/>
  <c r="J102" i="14"/>
  <c r="G102" i="14"/>
  <c r="K101" i="14"/>
  <c r="J101" i="14"/>
  <c r="G101" i="14"/>
  <c r="K100" i="14"/>
  <c r="J100" i="14"/>
  <c r="M100" i="14" s="1"/>
  <c r="G100" i="14"/>
  <c r="K99" i="14"/>
  <c r="J99" i="14"/>
  <c r="G99" i="14"/>
  <c r="K98" i="14"/>
  <c r="J98" i="14"/>
  <c r="G98" i="14"/>
  <c r="K97" i="14"/>
  <c r="J97" i="14"/>
  <c r="G97" i="14"/>
  <c r="K96" i="14"/>
  <c r="J96" i="14"/>
  <c r="G96" i="14"/>
  <c r="K95" i="14"/>
  <c r="J95" i="14"/>
  <c r="G95" i="14"/>
  <c r="K94" i="14"/>
  <c r="J94" i="14"/>
  <c r="G94" i="14"/>
  <c r="K93" i="14"/>
  <c r="J93" i="14"/>
  <c r="G93" i="14"/>
  <c r="K92" i="14"/>
  <c r="J92" i="14"/>
  <c r="M92" i="14" s="1"/>
  <c r="G92" i="14"/>
  <c r="K91" i="14"/>
  <c r="J91" i="14"/>
  <c r="G91" i="14"/>
  <c r="K90" i="14"/>
  <c r="J90" i="14"/>
  <c r="G90" i="14"/>
  <c r="K89" i="14"/>
  <c r="J89" i="14"/>
  <c r="G89" i="14"/>
  <c r="J88" i="14"/>
  <c r="G88" i="14"/>
  <c r="M88" i="14" s="1"/>
  <c r="J87" i="14"/>
  <c r="G87" i="14"/>
  <c r="J86" i="14"/>
  <c r="G86" i="14"/>
  <c r="J85" i="14"/>
  <c r="G85" i="14"/>
  <c r="J84" i="14"/>
  <c r="G84" i="14"/>
  <c r="J83" i="14"/>
  <c r="G83" i="14"/>
  <c r="J82" i="14"/>
  <c r="M82" i="14" s="1"/>
  <c r="G82" i="14"/>
  <c r="J81" i="14"/>
  <c r="G81" i="14"/>
  <c r="J80" i="14"/>
  <c r="G80" i="14"/>
  <c r="J79" i="14"/>
  <c r="G79" i="14"/>
  <c r="J78" i="14"/>
  <c r="G78" i="14"/>
  <c r="J77" i="14"/>
  <c r="G77" i="14"/>
  <c r="J76" i="14"/>
  <c r="G76" i="14"/>
  <c r="M76" i="14" s="1"/>
  <c r="J75" i="14"/>
  <c r="H75" i="14"/>
  <c r="G75" i="14"/>
  <c r="J74" i="14"/>
  <c r="H74" i="14"/>
  <c r="G74" i="14"/>
  <c r="J73" i="14"/>
  <c r="H73" i="14"/>
  <c r="G73" i="14"/>
  <c r="J72" i="14"/>
  <c r="H72" i="14"/>
  <c r="G72" i="14"/>
  <c r="M72" i="14" s="1"/>
  <c r="J71" i="14"/>
  <c r="H71" i="14"/>
  <c r="G71" i="14"/>
  <c r="J70" i="14"/>
  <c r="H70" i="14"/>
  <c r="G70" i="14"/>
  <c r="J69" i="14"/>
  <c r="H69" i="14"/>
  <c r="G69" i="14"/>
  <c r="J68" i="14"/>
  <c r="H68" i="14"/>
  <c r="G68" i="14"/>
  <c r="M68" i="14" s="1"/>
  <c r="J67" i="14"/>
  <c r="H67" i="14"/>
  <c r="G67" i="14"/>
  <c r="J66" i="14"/>
  <c r="H66" i="14"/>
  <c r="G66" i="14"/>
  <c r="J65" i="14"/>
  <c r="H65" i="14"/>
  <c r="G65" i="14"/>
  <c r="J64" i="14"/>
  <c r="H64" i="14"/>
  <c r="G64" i="14"/>
  <c r="M64" i="14" s="1"/>
  <c r="J63" i="14"/>
  <c r="H63" i="14"/>
  <c r="G63" i="14"/>
  <c r="J62" i="14"/>
  <c r="H62" i="14"/>
  <c r="G62" i="14"/>
  <c r="J60" i="14"/>
  <c r="I60" i="14"/>
  <c r="G60" i="14"/>
  <c r="F60" i="14"/>
  <c r="K59" i="14"/>
  <c r="N59" i="14" s="1"/>
  <c r="J59" i="14"/>
  <c r="M59" i="14" s="1"/>
  <c r="I59" i="14"/>
  <c r="H59" i="14"/>
  <c r="G59" i="14"/>
  <c r="F59" i="14"/>
  <c r="K58" i="14"/>
  <c r="J58" i="14"/>
  <c r="I58" i="14"/>
  <c r="H58" i="14"/>
  <c r="G58" i="14"/>
  <c r="F58" i="14"/>
  <c r="K57" i="14"/>
  <c r="N57" i="14" s="1"/>
  <c r="J57" i="14"/>
  <c r="M57" i="14" s="1"/>
  <c r="I57" i="14"/>
  <c r="H57" i="14"/>
  <c r="G57" i="14"/>
  <c r="F57" i="14"/>
  <c r="K56" i="14"/>
  <c r="J56" i="14"/>
  <c r="I56" i="14"/>
  <c r="H56" i="14"/>
  <c r="G56" i="14"/>
  <c r="F56" i="14"/>
  <c r="K55" i="14"/>
  <c r="N55" i="14" s="1"/>
  <c r="J55" i="14"/>
  <c r="M55" i="14" s="1"/>
  <c r="I55" i="14"/>
  <c r="H55" i="14"/>
  <c r="G55" i="14"/>
  <c r="F55" i="14"/>
  <c r="J54" i="14"/>
  <c r="H54" i="14"/>
  <c r="G54" i="14"/>
  <c r="F54" i="14"/>
  <c r="H53" i="14"/>
  <c r="G53" i="14"/>
  <c r="J52" i="14"/>
  <c r="M52" i="14" s="1"/>
  <c r="H52" i="14"/>
  <c r="G52" i="14"/>
  <c r="H51" i="14"/>
  <c r="G51" i="14"/>
  <c r="H50" i="14"/>
  <c r="G50" i="14"/>
  <c r="J49" i="14"/>
  <c r="H49" i="14"/>
  <c r="G49" i="14"/>
  <c r="J48" i="14"/>
  <c r="H48" i="14"/>
  <c r="G48" i="14"/>
  <c r="M48" i="14" s="1"/>
  <c r="J47" i="14"/>
  <c r="M47" i="14" s="1"/>
  <c r="H47" i="14"/>
  <c r="G47" i="14"/>
  <c r="J46" i="14"/>
  <c r="H46" i="14"/>
  <c r="G46" i="14"/>
  <c r="J45" i="14"/>
  <c r="H45" i="14"/>
  <c r="G45" i="14"/>
  <c r="J44" i="14"/>
  <c r="H44" i="14"/>
  <c r="G44" i="14"/>
  <c r="M44" i="14" s="1"/>
  <c r="J43" i="14"/>
  <c r="M43" i="14" s="1"/>
  <c r="H43" i="14"/>
  <c r="G43" i="14"/>
  <c r="J42" i="14"/>
  <c r="H42" i="14"/>
  <c r="G42" i="14"/>
  <c r="J41" i="14"/>
  <c r="H41" i="14"/>
  <c r="G41" i="14"/>
  <c r="J40" i="14"/>
  <c r="H40" i="14"/>
  <c r="G40" i="14"/>
  <c r="M40" i="14" s="1"/>
  <c r="J39" i="14"/>
  <c r="M39" i="14" s="1"/>
  <c r="H39" i="14"/>
  <c r="G39" i="14"/>
  <c r="H38" i="14"/>
  <c r="G38" i="14"/>
  <c r="J37" i="14"/>
  <c r="H37" i="14"/>
  <c r="G37" i="14"/>
  <c r="J36" i="14"/>
  <c r="H36" i="14"/>
  <c r="G36" i="14"/>
  <c r="J35" i="14"/>
  <c r="M35" i="14" s="1"/>
  <c r="H35" i="14"/>
  <c r="G35" i="14"/>
  <c r="J34" i="14"/>
  <c r="H34" i="14"/>
  <c r="G34" i="14"/>
  <c r="J33" i="14"/>
  <c r="H33" i="14"/>
  <c r="G33" i="14"/>
  <c r="J32" i="14"/>
  <c r="H32" i="14"/>
  <c r="G32" i="14"/>
  <c r="J31" i="14"/>
  <c r="H31" i="14"/>
  <c r="N31" i="14" s="1"/>
  <c r="G31" i="14"/>
  <c r="J30" i="14"/>
  <c r="H30" i="14"/>
  <c r="G30" i="14"/>
  <c r="J29" i="14"/>
  <c r="H29" i="14"/>
  <c r="G29" i="14"/>
  <c r="K28" i="14"/>
  <c r="J28" i="14"/>
  <c r="H28" i="14"/>
  <c r="G28" i="14"/>
  <c r="M28" i="14" s="1"/>
  <c r="K27" i="14"/>
  <c r="N27" i="14" s="1"/>
  <c r="J27" i="14"/>
  <c r="M27" i="14" s="1"/>
  <c r="H27" i="14"/>
  <c r="G27" i="14"/>
  <c r="K26" i="14"/>
  <c r="J26" i="14"/>
  <c r="H26" i="14"/>
  <c r="G26" i="14"/>
  <c r="K25" i="14"/>
  <c r="J25" i="14"/>
  <c r="H25" i="14"/>
  <c r="G25" i="14"/>
  <c r="K24" i="14"/>
  <c r="N24" i="14" s="1"/>
  <c r="J24" i="14"/>
  <c r="M24" i="14" s="1"/>
  <c r="H24" i="14"/>
  <c r="G24" i="14"/>
  <c r="K23" i="14"/>
  <c r="J23" i="14"/>
  <c r="H23" i="14"/>
  <c r="G23" i="14"/>
  <c r="M23" i="14" s="1"/>
  <c r="K22" i="14"/>
  <c r="J22" i="14"/>
  <c r="H22" i="14"/>
  <c r="G22" i="14"/>
  <c r="M22" i="14" s="1"/>
  <c r="K21" i="14"/>
  <c r="N21" i="14" s="1"/>
  <c r="J21" i="14"/>
  <c r="M21" i="14" s="1"/>
  <c r="H21" i="14"/>
  <c r="G21" i="14"/>
  <c r="K20" i="14"/>
  <c r="J20" i="14"/>
  <c r="H20" i="14"/>
  <c r="G20" i="14"/>
  <c r="M20" i="14" s="1"/>
  <c r="K19" i="14"/>
  <c r="J19" i="14"/>
  <c r="H19" i="14"/>
  <c r="N19" i="14" s="1"/>
  <c r="G19" i="14"/>
  <c r="M19" i="14" s="1"/>
  <c r="K18" i="14"/>
  <c r="N18" i="14" s="1"/>
  <c r="J18" i="14"/>
  <c r="M18" i="14" s="1"/>
  <c r="H18" i="14"/>
  <c r="G18" i="14"/>
  <c r="K17" i="14"/>
  <c r="J17" i="14"/>
  <c r="H17" i="14"/>
  <c r="G17" i="14"/>
  <c r="M17" i="14" s="1"/>
  <c r="K16" i="14"/>
  <c r="J16" i="14"/>
  <c r="H16" i="14"/>
  <c r="G16" i="14"/>
  <c r="M16" i="14" s="1"/>
  <c r="K15" i="14"/>
  <c r="N15" i="14" s="1"/>
  <c r="J15" i="14"/>
  <c r="M15" i="14" s="1"/>
  <c r="H15" i="14"/>
  <c r="G15" i="14"/>
  <c r="K14" i="14"/>
  <c r="J14" i="14"/>
  <c r="H14" i="14"/>
  <c r="G14" i="14"/>
  <c r="M14" i="14" s="1"/>
  <c r="K13" i="14"/>
  <c r="J13" i="14"/>
  <c r="H13" i="14"/>
  <c r="G13" i="14"/>
  <c r="M13" i="14" s="1"/>
  <c r="K12" i="14"/>
  <c r="N12" i="14" s="1"/>
  <c r="J12" i="14"/>
  <c r="M12" i="14" s="1"/>
  <c r="H12" i="14"/>
  <c r="G12" i="14"/>
  <c r="K11" i="14"/>
  <c r="J11" i="14"/>
  <c r="H11" i="14"/>
  <c r="G11" i="14"/>
  <c r="M11" i="14" s="1"/>
  <c r="K10" i="14"/>
  <c r="J10" i="14"/>
  <c r="H10" i="14"/>
  <c r="G10" i="14"/>
  <c r="M10" i="14" s="1"/>
  <c r="K9" i="14"/>
  <c r="N9" i="14" s="1"/>
  <c r="J9" i="14"/>
  <c r="I9" i="14"/>
  <c r="H9" i="14"/>
  <c r="G9" i="14"/>
  <c r="K8" i="14"/>
  <c r="J8" i="14"/>
  <c r="I8" i="14"/>
  <c r="H8" i="14"/>
  <c r="N8" i="14" s="1"/>
  <c r="G8" i="14"/>
  <c r="K7" i="14"/>
  <c r="J7" i="14"/>
  <c r="M7" i="14" s="1"/>
  <c r="I7" i="14"/>
  <c r="H7" i="14"/>
  <c r="G7" i="14"/>
  <c r="K6" i="14"/>
  <c r="J6" i="14"/>
  <c r="I6" i="14"/>
  <c r="H6" i="14"/>
  <c r="G6" i="14"/>
  <c r="M31" i="13"/>
  <c r="K31" i="13"/>
  <c r="M29" i="13"/>
  <c r="K29" i="13"/>
  <c r="C15" i="10"/>
  <c r="B15" i="10"/>
  <c r="C14" i="10"/>
  <c r="B14" i="10"/>
  <c r="C13" i="10"/>
  <c r="B13" i="10"/>
  <c r="C12" i="10"/>
  <c r="B12" i="10"/>
  <c r="C11" i="10"/>
  <c r="B11" i="10"/>
  <c r="D11" i="10" s="1"/>
  <c r="A7" i="3"/>
  <c r="C9" i="1"/>
  <c r="D25" i="27"/>
  <c r="B25" i="27"/>
  <c r="B24" i="27"/>
  <c r="D24" i="27" s="1"/>
  <c r="D23" i="27"/>
  <c r="B23" i="27"/>
  <c r="B22" i="27"/>
  <c r="D22" i="27" s="1"/>
  <c r="D21" i="27"/>
  <c r="B21" i="27"/>
  <c r="D13" i="27"/>
  <c r="D12" i="27"/>
  <c r="D11" i="27"/>
  <c r="F8" i="27"/>
  <c r="F7" i="27"/>
  <c r="F6" i="27"/>
  <c r="F5" i="27"/>
  <c r="D4" i="27"/>
  <c r="C4" i="27"/>
  <c r="B4" i="27"/>
  <c r="F4" i="27" s="1"/>
  <c r="F3" i="27"/>
  <c r="D3" i="27"/>
  <c r="C3" i="27"/>
  <c r="B3" i="27"/>
  <c r="D2" i="27"/>
  <c r="C2" i="27"/>
  <c r="B2" i="27"/>
  <c r="F2" i="27" s="1"/>
  <c r="D22" i="25"/>
  <c r="B22" i="25"/>
  <c r="H22" i="25" s="1"/>
  <c r="L22" i="25" s="1"/>
  <c r="J19" i="25"/>
  <c r="F19" i="25"/>
  <c r="F12" i="25"/>
  <c r="J12" i="25" s="1"/>
  <c r="F5" i="25"/>
  <c r="J5" i="25" s="1"/>
  <c r="N5" i="25" s="1"/>
  <c r="M312" i="24"/>
  <c r="N312" i="24" s="1"/>
  <c r="Z312" i="24" s="1"/>
  <c r="F313" i="24" s="1"/>
  <c r="K313" i="24" s="1"/>
  <c r="D657" i="20" s="1"/>
  <c r="M309" i="24"/>
  <c r="N309" i="24" s="1"/>
  <c r="V309" i="24" s="1"/>
  <c r="F310" i="24" s="1"/>
  <c r="K310" i="24" s="1"/>
  <c r="D650" i="20" s="1"/>
  <c r="M306" i="24"/>
  <c r="N306" i="24" s="1"/>
  <c r="V306" i="24" s="1"/>
  <c r="F307" i="24" s="1"/>
  <c r="K307" i="24" s="1"/>
  <c r="D645" i="20" s="1"/>
  <c r="K304" i="24"/>
  <c r="D637" i="20" s="1"/>
  <c r="J637" i="20" s="1"/>
  <c r="J638" i="20" s="1"/>
  <c r="G94" i="18" s="1"/>
  <c r="I199" i="16" s="1"/>
  <c r="F304" i="24"/>
  <c r="V303" i="24"/>
  <c r="N303" i="24"/>
  <c r="M303" i="24"/>
  <c r="N300" i="24"/>
  <c r="V300" i="24" s="1"/>
  <c r="F301" i="24" s="1"/>
  <c r="K301" i="24" s="1"/>
  <c r="D628" i="20" s="1"/>
  <c r="F628" i="20" s="1"/>
  <c r="M300" i="24"/>
  <c r="N297" i="24"/>
  <c r="V297" i="24" s="1"/>
  <c r="F298" i="24" s="1"/>
  <c r="K298" i="24" s="1"/>
  <c r="D622" i="20" s="1"/>
  <c r="J622" i="20" s="1"/>
  <c r="M297" i="24"/>
  <c r="M294" i="24"/>
  <c r="N294" i="24" s="1"/>
  <c r="V294" i="24" s="1"/>
  <c r="F295" i="24" s="1"/>
  <c r="K295" i="24" s="1"/>
  <c r="D616" i="20" s="1"/>
  <c r="M291" i="24"/>
  <c r="N291" i="24" s="1"/>
  <c r="V291" i="24" s="1"/>
  <c r="F292" i="24" s="1"/>
  <c r="K292" i="24" s="1"/>
  <c r="D610" i="20" s="1"/>
  <c r="K289" i="24"/>
  <c r="D604" i="20" s="1"/>
  <c r="M288" i="24"/>
  <c r="N288" i="24" s="1"/>
  <c r="V288" i="24" s="1"/>
  <c r="F289" i="24" s="1"/>
  <c r="F286" i="24"/>
  <c r="K286" i="24" s="1"/>
  <c r="D598" i="20" s="1"/>
  <c r="V285" i="24"/>
  <c r="N285" i="24"/>
  <c r="M285" i="24"/>
  <c r="F283" i="24"/>
  <c r="K283" i="24" s="1"/>
  <c r="D592" i="20" s="1"/>
  <c r="V282" i="24"/>
  <c r="N282" i="24"/>
  <c r="M282" i="24"/>
  <c r="M279" i="24"/>
  <c r="N279" i="24" s="1"/>
  <c r="V279" i="24" s="1"/>
  <c r="F280" i="24" s="1"/>
  <c r="K280" i="24" s="1"/>
  <c r="D586" i="20" s="1"/>
  <c r="N276" i="24"/>
  <c r="V276" i="24" s="1"/>
  <c r="F277" i="24" s="1"/>
  <c r="K277" i="24" s="1"/>
  <c r="D581" i="20" s="1"/>
  <c r="M276" i="24"/>
  <c r="M273" i="24"/>
  <c r="N273" i="24" s="1"/>
  <c r="V273" i="24" s="1"/>
  <c r="F274" i="24" s="1"/>
  <c r="K274" i="24" s="1"/>
  <c r="D574" i="20" s="1"/>
  <c r="J574" i="20" s="1"/>
  <c r="J576" i="20" s="1"/>
  <c r="G84" i="18" s="1"/>
  <c r="I160" i="16" s="1"/>
  <c r="M270" i="24"/>
  <c r="N270" i="24" s="1"/>
  <c r="V270" i="24" s="1"/>
  <c r="F271" i="24" s="1"/>
  <c r="K271" i="24" s="1"/>
  <c r="D568" i="20" s="1"/>
  <c r="K268" i="24"/>
  <c r="D562" i="20" s="1"/>
  <c r="J562" i="20" s="1"/>
  <c r="J564" i="20" s="1"/>
  <c r="G82" i="18" s="1"/>
  <c r="F268" i="24"/>
  <c r="V267" i="24"/>
  <c r="N267" i="24"/>
  <c r="M267" i="24"/>
  <c r="N264" i="24"/>
  <c r="V264" i="24" s="1"/>
  <c r="F265" i="24" s="1"/>
  <c r="K265" i="24" s="1"/>
  <c r="D556" i="20" s="1"/>
  <c r="M264" i="24"/>
  <c r="N261" i="24"/>
  <c r="V261" i="24" s="1"/>
  <c r="F262" i="24" s="1"/>
  <c r="K262" i="24" s="1"/>
  <c r="D550" i="20" s="1"/>
  <c r="J550" i="20" s="1"/>
  <c r="M261" i="24"/>
  <c r="M258" i="24"/>
  <c r="N258" i="24" s="1"/>
  <c r="V258" i="24" s="1"/>
  <c r="F259" i="24" s="1"/>
  <c r="K259" i="24" s="1"/>
  <c r="D544" i="20" s="1"/>
  <c r="M255" i="24"/>
  <c r="N255" i="24" s="1"/>
  <c r="V255" i="24" s="1"/>
  <c r="F256" i="24" s="1"/>
  <c r="K256" i="24" s="1"/>
  <c r="D538" i="20" s="1"/>
  <c r="H538" i="20" s="1"/>
  <c r="K253" i="24"/>
  <c r="D531" i="20" s="1"/>
  <c r="N252" i="24"/>
  <c r="V252" i="24" s="1"/>
  <c r="F253" i="24" s="1"/>
  <c r="N249" i="24"/>
  <c r="V249" i="24" s="1"/>
  <c r="F250" i="24" s="1"/>
  <c r="K250" i="24" s="1"/>
  <c r="D524" i="20" s="1"/>
  <c r="N246" i="24"/>
  <c r="V246" i="24" s="1"/>
  <c r="F247" i="24" s="1"/>
  <c r="K247" i="24" s="1"/>
  <c r="D518" i="20" s="1"/>
  <c r="H518" i="20" s="1"/>
  <c r="M246" i="24"/>
  <c r="M243" i="24"/>
  <c r="N243" i="24" s="1"/>
  <c r="V243" i="24" s="1"/>
  <c r="F244" i="24" s="1"/>
  <c r="K244" i="24" s="1"/>
  <c r="D510" i="20" s="1"/>
  <c r="M240" i="24"/>
  <c r="N240" i="24" s="1"/>
  <c r="V240" i="24" s="1"/>
  <c r="F241" i="24" s="1"/>
  <c r="K241" i="24" s="1"/>
  <c r="D503" i="20" s="1"/>
  <c r="F238" i="24"/>
  <c r="K238" i="24" s="1"/>
  <c r="D497" i="20" s="1"/>
  <c r="M237" i="24"/>
  <c r="N237" i="24" s="1"/>
  <c r="V237" i="24" s="1"/>
  <c r="N234" i="24"/>
  <c r="Z234" i="24" s="1"/>
  <c r="F235" i="24" s="1"/>
  <c r="K235" i="24" s="1"/>
  <c r="D492" i="20" s="1"/>
  <c r="M234" i="24"/>
  <c r="V231" i="24"/>
  <c r="F232" i="24" s="1"/>
  <c r="K232" i="24" s="1"/>
  <c r="D484" i="20" s="1"/>
  <c r="N231" i="24"/>
  <c r="M231" i="24"/>
  <c r="M228" i="24"/>
  <c r="N228" i="24" s="1"/>
  <c r="V228" i="24" s="1"/>
  <c r="F229" i="24" s="1"/>
  <c r="K229" i="24" s="1"/>
  <c r="D478" i="20" s="1"/>
  <c r="M225" i="24"/>
  <c r="N225" i="24" s="1"/>
  <c r="V225" i="24" s="1"/>
  <c r="F226" i="24" s="1"/>
  <c r="K226" i="24" s="1"/>
  <c r="D471" i="20" s="1"/>
  <c r="J471" i="20" s="1"/>
  <c r="M222" i="24"/>
  <c r="N222" i="24" s="1"/>
  <c r="V222" i="24" s="1"/>
  <c r="F223" i="24" s="1"/>
  <c r="K223" i="24" s="1"/>
  <c r="D463" i="20" s="1"/>
  <c r="F220" i="24"/>
  <c r="K220" i="24" s="1"/>
  <c r="D457" i="20" s="1"/>
  <c r="V219" i="24"/>
  <c r="N219" i="24"/>
  <c r="M219" i="24"/>
  <c r="V216" i="24"/>
  <c r="F217" i="24" s="1"/>
  <c r="K217" i="24" s="1"/>
  <c r="D451" i="20" s="1"/>
  <c r="N216" i="24"/>
  <c r="M216" i="24"/>
  <c r="N213" i="24"/>
  <c r="V213" i="24" s="1"/>
  <c r="F214" i="24" s="1"/>
  <c r="K214" i="24" s="1"/>
  <c r="D445" i="20" s="1"/>
  <c r="M213" i="24"/>
  <c r="M210" i="24"/>
  <c r="N210" i="24" s="1"/>
  <c r="V210" i="24" s="1"/>
  <c r="F211" i="24" s="1"/>
  <c r="K211" i="24" s="1"/>
  <c r="D439" i="20" s="1"/>
  <c r="M207" i="24"/>
  <c r="N207" i="24" s="1"/>
  <c r="Z207" i="24" s="1"/>
  <c r="F208" i="24" s="1"/>
  <c r="K208" i="24" s="1"/>
  <c r="D433" i="20" s="1"/>
  <c r="J433" i="20" s="1"/>
  <c r="M204" i="24"/>
  <c r="N204" i="24" s="1"/>
  <c r="Z204" i="24" s="1"/>
  <c r="F205" i="24" s="1"/>
  <c r="K205" i="24" s="1"/>
  <c r="D427" i="20" s="1"/>
  <c r="K202" i="24"/>
  <c r="D422" i="20" s="1"/>
  <c r="F202" i="24"/>
  <c r="M201" i="24"/>
  <c r="N201" i="24" s="1"/>
  <c r="Z201" i="24" s="1"/>
  <c r="Z198" i="24"/>
  <c r="F199" i="24" s="1"/>
  <c r="K199" i="24" s="1"/>
  <c r="D414" i="20" s="1"/>
  <c r="N198" i="24"/>
  <c r="M198" i="24"/>
  <c r="V195" i="24"/>
  <c r="F196" i="24" s="1"/>
  <c r="K196" i="24" s="1"/>
  <c r="D407" i="20" s="1"/>
  <c r="J407" i="20" s="1"/>
  <c r="J409" i="20" s="1"/>
  <c r="G58" i="18" s="1"/>
  <c r="I107" i="16" s="1"/>
  <c r="L286" i="15" s="1"/>
  <c r="N195" i="24"/>
  <c r="M195" i="24"/>
  <c r="M192" i="24"/>
  <c r="N192" i="24" s="1"/>
  <c r="V192" i="24" s="1"/>
  <c r="F193" i="24" s="1"/>
  <c r="K193" i="24" s="1"/>
  <c r="D400" i="20" s="1"/>
  <c r="M189" i="24"/>
  <c r="N189" i="24" s="1"/>
  <c r="V189" i="24" s="1"/>
  <c r="F190" i="24" s="1"/>
  <c r="K190" i="24" s="1"/>
  <c r="D393" i="20" s="1"/>
  <c r="J393" i="20" s="1"/>
  <c r="J394" i="20" s="1"/>
  <c r="G56" i="18" s="1"/>
  <c r="I102" i="16" s="1"/>
  <c r="K187" i="24"/>
  <c r="D385" i="20" s="1"/>
  <c r="M186" i="24"/>
  <c r="N186" i="24" s="1"/>
  <c r="V186" i="24" s="1"/>
  <c r="F187" i="24" s="1"/>
  <c r="M182" i="24"/>
  <c r="N182" i="24" s="1"/>
  <c r="V182" i="24" s="1"/>
  <c r="F184" i="24" s="1"/>
  <c r="K184" i="24" s="1"/>
  <c r="D376" i="20" s="1"/>
  <c r="X181" i="24"/>
  <c r="F183" i="24" s="1"/>
  <c r="K183" i="24" s="1"/>
  <c r="D375" i="20" s="1"/>
  <c r="N181" i="24"/>
  <c r="M181" i="24"/>
  <c r="N177" i="24"/>
  <c r="V177" i="24" s="1"/>
  <c r="F179" i="24" s="1"/>
  <c r="K179" i="24" s="1"/>
  <c r="D368" i="20" s="1"/>
  <c r="M177" i="24"/>
  <c r="M176" i="24"/>
  <c r="N176" i="24" s="1"/>
  <c r="X176" i="24" s="1"/>
  <c r="F178" i="24" s="1"/>
  <c r="K178" i="24" s="1"/>
  <c r="D366" i="20" s="1"/>
  <c r="M173" i="24"/>
  <c r="N173" i="24" s="1"/>
  <c r="V173" i="24" s="1"/>
  <c r="F174" i="24" s="1"/>
  <c r="K174" i="24" s="1"/>
  <c r="D361" i="20" s="1"/>
  <c r="M170" i="24"/>
  <c r="N170" i="24" s="1"/>
  <c r="V170" i="24" s="1"/>
  <c r="F171" i="24" s="1"/>
  <c r="K171" i="24" s="1"/>
  <c r="D356" i="20" s="1"/>
  <c r="K168" i="24"/>
  <c r="D349" i="20" s="1"/>
  <c r="J349" i="20" s="1"/>
  <c r="F168" i="24"/>
  <c r="M167" i="24"/>
  <c r="N167" i="24" s="1"/>
  <c r="V167" i="24" s="1"/>
  <c r="M164" i="24"/>
  <c r="N164" i="24" s="1"/>
  <c r="V164" i="24" s="1"/>
  <c r="F165" i="24" s="1"/>
  <c r="K165" i="24" s="1"/>
  <c r="D342" i="20" s="1"/>
  <c r="V161" i="24"/>
  <c r="N161" i="24"/>
  <c r="M161" i="24"/>
  <c r="M160" i="24"/>
  <c r="N160" i="24" s="1"/>
  <c r="V160" i="24" s="1"/>
  <c r="N157" i="24"/>
  <c r="V157" i="24" s="1"/>
  <c r="M157" i="24"/>
  <c r="N156" i="24"/>
  <c r="V156" i="24" s="1"/>
  <c r="F158" i="24" s="1"/>
  <c r="K158" i="24" s="1"/>
  <c r="D313" i="20" s="1"/>
  <c r="M156" i="24"/>
  <c r="N152" i="24"/>
  <c r="V152" i="24" s="1"/>
  <c r="F154" i="24" s="1"/>
  <c r="K154" i="24" s="1"/>
  <c r="D301" i="20" s="1"/>
  <c r="J301" i="20" s="1"/>
  <c r="M152" i="24"/>
  <c r="M151" i="24"/>
  <c r="N151" i="24" s="1"/>
  <c r="X151" i="24" s="1"/>
  <c r="F153" i="24" s="1"/>
  <c r="K153" i="24" s="1"/>
  <c r="D300" i="20" s="1"/>
  <c r="K149" i="24"/>
  <c r="D296" i="20" s="1"/>
  <c r="F149" i="24"/>
  <c r="M148" i="24"/>
  <c r="N148" i="24" s="1"/>
  <c r="V148" i="24" s="1"/>
  <c r="M145" i="24"/>
  <c r="N145" i="24" s="1"/>
  <c r="V145" i="24" s="1"/>
  <c r="F146" i="24" s="1"/>
  <c r="K146" i="24" s="1"/>
  <c r="D290" i="20" s="1"/>
  <c r="V142" i="24"/>
  <c r="F143" i="24" s="1"/>
  <c r="K143" i="24" s="1"/>
  <c r="D284" i="20" s="1"/>
  <c r="N142" i="24"/>
  <c r="M142" i="24"/>
  <c r="M139" i="24"/>
  <c r="N139" i="24" s="1"/>
  <c r="V139" i="24" s="1"/>
  <c r="F140" i="24" s="1"/>
  <c r="K140" i="24" s="1"/>
  <c r="D277" i="20" s="1"/>
  <c r="M136" i="24"/>
  <c r="N136" i="24" s="1"/>
  <c r="Z136" i="24" s="1"/>
  <c r="F137" i="24" s="1"/>
  <c r="K137" i="24" s="1"/>
  <c r="D272" i="20" s="1"/>
  <c r="K134" i="24"/>
  <c r="D264" i="20" s="1"/>
  <c r="J264" i="20" s="1"/>
  <c r="M133" i="24"/>
  <c r="N133" i="24" s="1"/>
  <c r="V133" i="24" s="1"/>
  <c r="F134" i="24" s="1"/>
  <c r="N130" i="24"/>
  <c r="V130" i="24" s="1"/>
  <c r="F131" i="24" s="1"/>
  <c r="K131" i="24" s="1"/>
  <c r="D257" i="20" s="1"/>
  <c r="M130" i="24"/>
  <c r="M123" i="24"/>
  <c r="N123" i="24" s="1"/>
  <c r="Z123" i="24" s="1"/>
  <c r="X122" i="24"/>
  <c r="N122" i="24"/>
  <c r="M122" i="24"/>
  <c r="M121" i="24"/>
  <c r="N121" i="24" s="1"/>
  <c r="Z121" i="24" s="1"/>
  <c r="F128" i="24" s="1"/>
  <c r="K128" i="24" s="1"/>
  <c r="D251" i="20" s="1"/>
  <c r="N120" i="24"/>
  <c r="X120" i="24" s="1"/>
  <c r="M120" i="24"/>
  <c r="M119" i="24"/>
  <c r="N119" i="24" s="1"/>
  <c r="AD119" i="24" s="1"/>
  <c r="F127" i="24" s="1"/>
  <c r="K127" i="24" s="1"/>
  <c r="D250" i="20" s="1"/>
  <c r="AC118" i="24"/>
  <c r="F126" i="24" s="1"/>
  <c r="K126" i="24" s="1"/>
  <c r="D249" i="20" s="1"/>
  <c r="F249" i="20" s="1"/>
  <c r="N118" i="24"/>
  <c r="M118" i="24"/>
  <c r="M117" i="24"/>
  <c r="N117" i="24" s="1"/>
  <c r="AB117" i="24" s="1"/>
  <c r="F124" i="24" s="1"/>
  <c r="K124" i="24" s="1"/>
  <c r="D247" i="20" s="1"/>
  <c r="N116" i="24"/>
  <c r="Z116" i="24" s="1"/>
  <c r="M116" i="24"/>
  <c r="M115" i="24"/>
  <c r="N115" i="24" s="1"/>
  <c r="X115" i="24" s="1"/>
  <c r="F113" i="24"/>
  <c r="K113" i="24" s="1"/>
  <c r="D226" i="20" s="1"/>
  <c r="M112" i="24"/>
  <c r="N112" i="24" s="1"/>
  <c r="V112" i="24" s="1"/>
  <c r="V109" i="24"/>
  <c r="F110" i="24" s="1"/>
  <c r="K110" i="24" s="1"/>
  <c r="D220" i="20" s="1"/>
  <c r="N109" i="24"/>
  <c r="M109" i="24"/>
  <c r="V106" i="24"/>
  <c r="F107" i="24" s="1"/>
  <c r="K107" i="24" s="1"/>
  <c r="D213" i="20" s="1"/>
  <c r="J213" i="20" s="1"/>
  <c r="N106" i="24"/>
  <c r="M106" i="24"/>
  <c r="M103" i="24"/>
  <c r="N103" i="24" s="1"/>
  <c r="V103" i="24" s="1"/>
  <c r="F104" i="24" s="1"/>
  <c r="K104" i="24" s="1"/>
  <c r="D208" i="20" s="1"/>
  <c r="M100" i="24"/>
  <c r="N100" i="24" s="1"/>
  <c r="V100" i="24" s="1"/>
  <c r="F101" i="24" s="1"/>
  <c r="K101" i="24" s="1"/>
  <c r="D202" i="20" s="1"/>
  <c r="M96" i="24"/>
  <c r="N96" i="24" s="1"/>
  <c r="AE96" i="24" s="1"/>
  <c r="F98" i="24" s="1"/>
  <c r="K98" i="24" s="1"/>
  <c r="D189" i="20" s="1"/>
  <c r="M95" i="24"/>
  <c r="N95" i="24" s="1"/>
  <c r="X95" i="24" s="1"/>
  <c r="F97" i="24" s="1"/>
  <c r="K97" i="24" s="1"/>
  <c r="D188" i="20" s="1"/>
  <c r="F93" i="24"/>
  <c r="K93" i="24" s="1"/>
  <c r="D180" i="20" s="1"/>
  <c r="K92" i="24"/>
  <c r="D179" i="20" s="1"/>
  <c r="M91" i="24"/>
  <c r="N91" i="24" s="1"/>
  <c r="AE91" i="24" s="1"/>
  <c r="N90" i="24"/>
  <c r="X90" i="24" s="1"/>
  <c r="F92" i="24" s="1"/>
  <c r="M90" i="24"/>
  <c r="F87" i="24"/>
  <c r="K87" i="24" s="1"/>
  <c r="D171" i="20" s="1"/>
  <c r="J171" i="20" s="1"/>
  <c r="AE86" i="24"/>
  <c r="F88" i="24" s="1"/>
  <c r="K88" i="24" s="1"/>
  <c r="D172" i="20" s="1"/>
  <c r="N86" i="24"/>
  <c r="M86" i="24"/>
  <c r="N85" i="24"/>
  <c r="X85" i="24" s="1"/>
  <c r="M85" i="24"/>
  <c r="N81" i="24"/>
  <c r="AE81" i="24" s="1"/>
  <c r="F83" i="24" s="1"/>
  <c r="K83" i="24" s="1"/>
  <c r="D162" i="20" s="1"/>
  <c r="M81" i="24"/>
  <c r="M80" i="24"/>
  <c r="N80" i="24" s="1"/>
  <c r="X80" i="24" s="1"/>
  <c r="F82" i="24" s="1"/>
  <c r="K82" i="24" s="1"/>
  <c r="D161" i="20" s="1"/>
  <c r="J161" i="20" s="1"/>
  <c r="M76" i="24"/>
  <c r="N76" i="24" s="1"/>
  <c r="AE76" i="24" s="1"/>
  <c r="F78" i="24" s="1"/>
  <c r="K78" i="24" s="1"/>
  <c r="D153" i="20" s="1"/>
  <c r="X75" i="24"/>
  <c r="F77" i="24" s="1"/>
  <c r="K77" i="24" s="1"/>
  <c r="D152" i="20" s="1"/>
  <c r="J152" i="20" s="1"/>
  <c r="N75" i="24"/>
  <c r="M75" i="24"/>
  <c r="V71" i="24"/>
  <c r="N71" i="24"/>
  <c r="M71" i="24"/>
  <c r="M70" i="24"/>
  <c r="N70" i="24" s="1"/>
  <c r="V70" i="24" s="1"/>
  <c r="F73" i="24" s="1"/>
  <c r="K73" i="24" s="1"/>
  <c r="D143" i="20" s="1"/>
  <c r="X69" i="24"/>
  <c r="F72" i="24" s="1"/>
  <c r="K72" i="24" s="1"/>
  <c r="D142" i="20" s="1"/>
  <c r="N69" i="24"/>
  <c r="M69" i="24"/>
  <c r="M64" i="24"/>
  <c r="N64" i="24" s="1"/>
  <c r="AD64" i="24" s="1"/>
  <c r="F67" i="24" s="1"/>
  <c r="K67" i="24" s="1"/>
  <c r="D132" i="20" s="1"/>
  <c r="F132" i="20" s="1"/>
  <c r="AC63" i="24"/>
  <c r="F66" i="24" s="1"/>
  <c r="K66" i="24" s="1"/>
  <c r="D131" i="20" s="1"/>
  <c r="N63" i="24"/>
  <c r="M63" i="24"/>
  <c r="N62" i="24"/>
  <c r="AB62" i="24" s="1"/>
  <c r="F65" i="24" s="1"/>
  <c r="K65" i="24" s="1"/>
  <c r="D130" i="20" s="1"/>
  <c r="J130" i="20" s="1"/>
  <c r="M62" i="24"/>
  <c r="M59" i="24"/>
  <c r="N59" i="24" s="1"/>
  <c r="Z59" i="24" s="1"/>
  <c r="F60" i="24" s="1"/>
  <c r="K60" i="24" s="1"/>
  <c r="D118" i="20" s="1"/>
  <c r="M56" i="24"/>
  <c r="N56" i="24" s="1"/>
  <c r="Z56" i="24" s="1"/>
  <c r="F57" i="24" s="1"/>
  <c r="K57" i="24" s="1"/>
  <c r="D112" i="20" s="1"/>
  <c r="Z53" i="24"/>
  <c r="F54" i="24" s="1"/>
  <c r="K54" i="24" s="1"/>
  <c r="D107" i="20" s="1"/>
  <c r="N53" i="24"/>
  <c r="M53" i="24"/>
  <c r="N50" i="24"/>
  <c r="Z50" i="24" s="1"/>
  <c r="F51" i="24" s="1"/>
  <c r="K51" i="24" s="1"/>
  <c r="D100" i="20" s="1"/>
  <c r="M50" i="24"/>
  <c r="Z46" i="24"/>
  <c r="F48" i="24" s="1"/>
  <c r="K48" i="24" s="1"/>
  <c r="D94" i="20" s="1"/>
  <c r="N46" i="24"/>
  <c r="M46" i="24"/>
  <c r="M45" i="24"/>
  <c r="N45" i="24" s="1"/>
  <c r="X45" i="24" s="1"/>
  <c r="F47" i="24" s="1"/>
  <c r="K47" i="24" s="1"/>
  <c r="D93" i="20" s="1"/>
  <c r="J93" i="20" s="1"/>
  <c r="M42" i="24"/>
  <c r="N42" i="24" s="1"/>
  <c r="Z42" i="24" s="1"/>
  <c r="F43" i="24" s="1"/>
  <c r="K43" i="24" s="1"/>
  <c r="D88" i="20" s="1"/>
  <c r="F40" i="24"/>
  <c r="K40" i="24" s="1"/>
  <c r="D81" i="20" s="1"/>
  <c r="Z39" i="24"/>
  <c r="N39" i="24"/>
  <c r="M39" i="24"/>
  <c r="F37" i="24"/>
  <c r="K37" i="24" s="1"/>
  <c r="D73" i="20" s="1"/>
  <c r="Z36" i="24"/>
  <c r="N36" i="24"/>
  <c r="M36" i="24"/>
  <c r="M32" i="24"/>
  <c r="N32" i="24" s="1"/>
  <c r="Z32" i="24" s="1"/>
  <c r="F34" i="24" s="1"/>
  <c r="K34" i="24" s="1"/>
  <c r="D67" i="20" s="1"/>
  <c r="J67" i="20" s="1"/>
  <c r="N31" i="24"/>
  <c r="X31" i="24" s="1"/>
  <c r="F33" i="24" s="1"/>
  <c r="K33" i="24" s="1"/>
  <c r="D66" i="20" s="1"/>
  <c r="M31" i="24"/>
  <c r="N27" i="24"/>
  <c r="Z27" i="24" s="1"/>
  <c r="F29" i="24" s="1"/>
  <c r="K29" i="24" s="1"/>
  <c r="D59" i="20" s="1"/>
  <c r="M27" i="24"/>
  <c r="M26" i="24"/>
  <c r="N26" i="24" s="1"/>
  <c r="X26" i="24" s="1"/>
  <c r="F28" i="24" s="1"/>
  <c r="K28" i="24" s="1"/>
  <c r="D58" i="20" s="1"/>
  <c r="M23" i="24"/>
  <c r="N23" i="24" s="1"/>
  <c r="V23" i="24" s="1"/>
  <c r="F24" i="24" s="1"/>
  <c r="K24" i="24" s="1"/>
  <c r="D51" i="20" s="1"/>
  <c r="V20" i="24"/>
  <c r="F21" i="24" s="1"/>
  <c r="K21" i="24" s="1"/>
  <c r="D44" i="20" s="1"/>
  <c r="N20" i="24"/>
  <c r="M20" i="24"/>
  <c r="N17" i="24"/>
  <c r="V17" i="24" s="1"/>
  <c r="F18" i="24" s="1"/>
  <c r="K18" i="24" s="1"/>
  <c r="D37" i="20" s="1"/>
  <c r="J37" i="20" s="1"/>
  <c r="J38" i="20" s="1"/>
  <c r="G8" i="18" s="1"/>
  <c r="M17" i="24"/>
  <c r="M14" i="24"/>
  <c r="N14" i="24" s="1"/>
  <c r="V14" i="24" s="1"/>
  <c r="F15" i="24" s="1"/>
  <c r="K15" i="24" s="1"/>
  <c r="D29" i="20" s="1"/>
  <c r="J29" i="20" s="1"/>
  <c r="J31" i="20" s="1"/>
  <c r="G7" i="18" s="1"/>
  <c r="H7" i="18" s="1"/>
  <c r="M11" i="24"/>
  <c r="N11" i="24" s="1"/>
  <c r="V11" i="24" s="1"/>
  <c r="F12" i="24" s="1"/>
  <c r="K12" i="24" s="1"/>
  <c r="D22" i="20" s="1"/>
  <c r="M8" i="24"/>
  <c r="N8" i="24" s="1"/>
  <c r="V8" i="24" s="1"/>
  <c r="F9" i="24" s="1"/>
  <c r="K9" i="24" s="1"/>
  <c r="D16" i="20" s="1"/>
  <c r="F6" i="24"/>
  <c r="K6" i="24" s="1"/>
  <c r="D9" i="20" s="1"/>
  <c r="V5" i="24"/>
  <c r="N5" i="24"/>
  <c r="M5" i="24"/>
  <c r="P156" i="23"/>
  <c r="P155" i="23"/>
  <c r="P154" i="23"/>
  <c r="P153" i="23"/>
  <c r="G687" i="20" s="1"/>
  <c r="P152" i="23"/>
  <c r="G673" i="20" s="1"/>
  <c r="P151" i="23"/>
  <c r="G680" i="20" s="1"/>
  <c r="P150" i="23"/>
  <c r="P149" i="23"/>
  <c r="P148" i="23"/>
  <c r="P147" i="23"/>
  <c r="V146" i="23"/>
  <c r="I128" i="20" s="1"/>
  <c r="O145" i="23"/>
  <c r="O144" i="23"/>
  <c r="E161" i="16" s="1"/>
  <c r="H426" i="15" s="1"/>
  <c r="O143" i="23"/>
  <c r="E162" i="16" s="1"/>
  <c r="H428" i="15" s="1"/>
  <c r="O142" i="23"/>
  <c r="E203" i="16" s="1"/>
  <c r="H562" i="15" s="1"/>
  <c r="O141" i="23"/>
  <c r="E202" i="16" s="1"/>
  <c r="H560" i="15" s="1"/>
  <c r="O140" i="23"/>
  <c r="O139" i="23"/>
  <c r="E633" i="20" s="1"/>
  <c r="O138" i="23"/>
  <c r="E641" i="20" s="1"/>
  <c r="O137" i="23"/>
  <c r="E514" i="20" s="1"/>
  <c r="O136" i="23"/>
  <c r="E468" i="20" s="1"/>
  <c r="O135" i="23"/>
  <c r="E185" i="20" s="1"/>
  <c r="O134" i="23"/>
  <c r="E176" i="20" s="1"/>
  <c r="O133" i="23"/>
  <c r="E167" i="20" s="1"/>
  <c r="O132" i="23"/>
  <c r="E158" i="20" s="1"/>
  <c r="O131" i="23"/>
  <c r="E149" i="20" s="1"/>
  <c r="O130" i="23"/>
  <c r="O129" i="23"/>
  <c r="E389" i="20" s="1"/>
  <c r="O128" i="23"/>
  <c r="E381" i="20" s="1"/>
  <c r="O127" i="23"/>
  <c r="E282" i="20" s="1"/>
  <c r="O126" i="23"/>
  <c r="E14" i="20" s="1"/>
  <c r="O125" i="23"/>
  <c r="E13" i="20" s="1"/>
  <c r="O113" i="23"/>
  <c r="E567" i="20" s="1"/>
  <c r="O112" i="23"/>
  <c r="E561" i="20" s="1"/>
  <c r="O111" i="23"/>
  <c r="E555" i="20" s="1"/>
  <c r="O110" i="23"/>
  <c r="E549" i="20" s="1"/>
  <c r="O109" i="23"/>
  <c r="E246" i="20" s="1"/>
  <c r="O108" i="23"/>
  <c r="E92" i="20" s="1"/>
  <c r="O107" i="23"/>
  <c r="E243" i="20" s="1"/>
  <c r="O106" i="23"/>
  <c r="E245" i="20" s="1"/>
  <c r="O105" i="23"/>
  <c r="E141" i="20" s="1"/>
  <c r="O104" i="23"/>
  <c r="E138" i="20" s="1"/>
  <c r="O103" i="23"/>
  <c r="E276" i="20" s="1"/>
  <c r="O102" i="23"/>
  <c r="E374" i="20" s="1"/>
  <c r="O101" i="23"/>
  <c r="E137" i="20" s="1"/>
  <c r="O100" i="23"/>
  <c r="E117" i="20" s="1"/>
  <c r="O99" i="23"/>
  <c r="E432" i="20" s="1"/>
  <c r="O98" i="23"/>
  <c r="E426" i="20" s="1"/>
  <c r="O97" i="23"/>
  <c r="E111" i="20" s="1"/>
  <c r="O96" i="23"/>
  <c r="E105" i="20" s="1"/>
  <c r="O95" i="23"/>
  <c r="E99" i="20" s="1"/>
  <c r="O94" i="23"/>
  <c r="E508" i="20" s="1"/>
  <c r="O93" i="23"/>
  <c r="E502" i="20" s="1"/>
  <c r="O92" i="23"/>
  <c r="E496" i="20" s="1"/>
  <c r="O91" i="23"/>
  <c r="E537" i="20" s="1"/>
  <c r="O90" i="23"/>
  <c r="O89" i="23"/>
  <c r="E523" i="20" s="1"/>
  <c r="O88" i="23"/>
  <c r="E476" i="20" s="1"/>
  <c r="O87" i="23"/>
  <c r="E529" i="20" s="1"/>
  <c r="O86" i="23"/>
  <c r="E522" i="20" s="1"/>
  <c r="O85" i="23"/>
  <c r="E536" i="20" s="1"/>
  <c r="O84" i="23"/>
  <c r="E256" i="20" s="1"/>
  <c r="O78" i="23"/>
  <c r="E212" i="20" s="1"/>
  <c r="O77" i="23"/>
  <c r="E319" i="20" s="1"/>
  <c r="O76" i="23"/>
  <c r="O75" i="23"/>
  <c r="E370" i="20" s="1"/>
  <c r="O74" i="23"/>
  <c r="O73" i="23"/>
  <c r="E310" i="20" s="1"/>
  <c r="O72" i="23"/>
  <c r="O71" i="23"/>
  <c r="E304" i="20" s="1"/>
  <c r="O67" i="23"/>
  <c r="O66" i="23"/>
  <c r="O65" i="23"/>
  <c r="O64" i="23"/>
  <c r="O63" i="23"/>
  <c r="O62" i="23"/>
  <c r="O61" i="23"/>
  <c r="O60" i="23"/>
  <c r="E336" i="20" s="1"/>
  <c r="O58" i="23"/>
  <c r="O57" i="23"/>
  <c r="O56" i="23"/>
  <c r="O55" i="23"/>
  <c r="V53" i="23"/>
  <c r="O53" i="23"/>
  <c r="O52" i="23"/>
  <c r="O51" i="23"/>
  <c r="O50" i="23"/>
  <c r="O49" i="23"/>
  <c r="O48" i="23"/>
  <c r="O47" i="23"/>
  <c r="O46" i="23"/>
  <c r="O44" i="23"/>
  <c r="O43" i="23"/>
  <c r="O42" i="23"/>
  <c r="O41" i="23"/>
  <c r="O40" i="23"/>
  <c r="O39" i="23"/>
  <c r="E224" i="20" s="1"/>
  <c r="V38" i="23"/>
  <c r="I234" i="20" s="1"/>
  <c r="O38" i="23"/>
  <c r="E234" i="20" s="1"/>
  <c r="V37" i="23"/>
  <c r="I230" i="20" s="1"/>
  <c r="O37" i="23"/>
  <c r="E230" i="20" s="1"/>
  <c r="V36" i="23"/>
  <c r="O36" i="23"/>
  <c r="V35" i="23"/>
  <c r="I244" i="20" s="1"/>
  <c r="O35" i="23"/>
  <c r="E244" i="20" s="1"/>
  <c r="O33" i="23"/>
  <c r="E573" i="20" s="1"/>
  <c r="O32" i="23"/>
  <c r="O31" i="23"/>
  <c r="E241" i="20" s="1"/>
  <c r="O30" i="23"/>
  <c r="E124" i="20" s="1"/>
  <c r="O29" i="23"/>
  <c r="E123" i="20" s="1"/>
  <c r="O28" i="23"/>
  <c r="E242" i="20" s="1"/>
  <c r="O27" i="23"/>
  <c r="O26" i="23"/>
  <c r="O25" i="23"/>
  <c r="E543" i="20" s="1"/>
  <c r="O24" i="23"/>
  <c r="E419" i="20" s="1"/>
  <c r="O23" i="23"/>
  <c r="E85" i="20" s="1"/>
  <c r="O22" i="23"/>
  <c r="E78" i="20" s="1"/>
  <c r="O21" i="23"/>
  <c r="E489" i="20" s="1"/>
  <c r="O20" i="23"/>
  <c r="E269" i="20" s="1"/>
  <c r="O19" i="23"/>
  <c r="E71" i="20" s="1"/>
  <c r="O18" i="23"/>
  <c r="E63" i="20" s="1"/>
  <c r="O17" i="23"/>
  <c r="E412" i="20" s="1"/>
  <c r="O16" i="23"/>
  <c r="E55" i="20" s="1"/>
  <c r="O15" i="23"/>
  <c r="E41" i="20" s="1"/>
  <c r="O14" i="23"/>
  <c r="O13" i="23"/>
  <c r="E405" i="20" s="1"/>
  <c r="O12" i="23"/>
  <c r="O11" i="23"/>
  <c r="E27" i="20" s="1"/>
  <c r="O10" i="23"/>
  <c r="O9" i="23"/>
  <c r="E685" i="20" s="1"/>
  <c r="O8" i="23"/>
  <c r="V7" i="23"/>
  <c r="I670" i="20" s="1"/>
  <c r="O7" i="23"/>
  <c r="E670" i="20" s="1"/>
  <c r="V6" i="23"/>
  <c r="I684" i="20" s="1"/>
  <c r="J684" i="20" s="1"/>
  <c r="J688" i="20" s="1"/>
  <c r="G102" i="18" s="1"/>
  <c r="O6" i="23"/>
  <c r="E684" i="20" s="1"/>
  <c r="V5" i="23"/>
  <c r="I677" i="20" s="1"/>
  <c r="O5" i="23"/>
  <c r="E677" i="20" s="1"/>
  <c r="L126" i="22"/>
  <c r="L125" i="22"/>
  <c r="L124" i="22"/>
  <c r="L123" i="22"/>
  <c r="L122" i="22"/>
  <c r="L121" i="22"/>
  <c r="L120" i="22"/>
  <c r="L119" i="22"/>
  <c r="L118" i="22"/>
  <c r="L117" i="22"/>
  <c r="L116" i="22"/>
  <c r="L115" i="22"/>
  <c r="Q318" i="21"/>
  <c r="AE317" i="21"/>
  <c r="Q317" i="21"/>
  <c r="O317" i="21"/>
  <c r="H317" i="21"/>
  <c r="Q315" i="21"/>
  <c r="Q314" i="21"/>
  <c r="AF313" i="21"/>
  <c r="Q313" i="21"/>
  <c r="O313" i="21"/>
  <c r="H313" i="21"/>
  <c r="AD312" i="21"/>
  <c r="Q312" i="21"/>
  <c r="O312" i="21"/>
  <c r="H312" i="21"/>
  <c r="Q310" i="21"/>
  <c r="Q309" i="21"/>
  <c r="O309" i="21"/>
  <c r="AF308" i="21"/>
  <c r="Q308" i="21"/>
  <c r="O308" i="21"/>
  <c r="H308" i="21"/>
  <c r="Q307" i="21"/>
  <c r="O307" i="21"/>
  <c r="AD307" i="21" s="1"/>
  <c r="I309" i="21" s="1"/>
  <c r="H307" i="21"/>
  <c r="Q305" i="21"/>
  <c r="AB304" i="21"/>
  <c r="Q304" i="21"/>
  <c r="Q303" i="21"/>
  <c r="O303" i="21"/>
  <c r="AF303" i="21" s="1"/>
  <c r="AF304" i="21" s="1"/>
  <c r="H303" i="21"/>
  <c r="AB302" i="21"/>
  <c r="I304" i="21" s="1"/>
  <c r="Q302" i="21"/>
  <c r="O302" i="21"/>
  <c r="H302" i="21"/>
  <c r="Q300" i="21"/>
  <c r="Q299" i="21"/>
  <c r="Q298" i="21"/>
  <c r="O298" i="21"/>
  <c r="AF298" i="21" s="1"/>
  <c r="H298" i="21"/>
  <c r="AB297" i="21"/>
  <c r="Q297" i="21"/>
  <c r="O297" i="21"/>
  <c r="H297" i="21"/>
  <c r="Q295" i="21"/>
  <c r="Q294" i="21"/>
  <c r="I294" i="21"/>
  <c r="O294" i="21" s="1"/>
  <c r="AF293" i="21"/>
  <c r="Q293" i="21"/>
  <c r="O293" i="21"/>
  <c r="H293" i="21"/>
  <c r="Q292" i="21"/>
  <c r="O292" i="21"/>
  <c r="AB292" i="21" s="1"/>
  <c r="AB294" i="21" s="1"/>
  <c r="H292" i="21"/>
  <c r="Q290" i="21"/>
  <c r="AB289" i="21"/>
  <c r="Q289" i="21"/>
  <c r="Q288" i="21"/>
  <c r="O288" i="21"/>
  <c r="AF288" i="21" s="1"/>
  <c r="H288" i="21"/>
  <c r="AB287" i="21"/>
  <c r="I289" i="21" s="1"/>
  <c r="Q287" i="21"/>
  <c r="O287" i="21"/>
  <c r="H287" i="21"/>
  <c r="Q285" i="21"/>
  <c r="AD284" i="21"/>
  <c r="Q284" i="21"/>
  <c r="I284" i="21"/>
  <c r="G284" i="21" s="1"/>
  <c r="G625" i="19" s="1"/>
  <c r="AF283" i="21"/>
  <c r="Q283" i="21"/>
  <c r="O283" i="21"/>
  <c r="H283" i="21"/>
  <c r="AD282" i="21"/>
  <c r="Q282" i="21"/>
  <c r="O282" i="21"/>
  <c r="H282" i="21"/>
  <c r="Q280" i="21"/>
  <c r="AF279" i="21"/>
  <c r="AB279" i="21"/>
  <c r="Q279" i="21"/>
  <c r="AF278" i="21"/>
  <c r="I280" i="21" s="1"/>
  <c r="O280" i="21" s="1"/>
  <c r="Q278" i="21"/>
  <c r="O278" i="21"/>
  <c r="H278" i="21"/>
  <c r="AB277" i="21"/>
  <c r="I279" i="21" s="1"/>
  <c r="O279" i="21" s="1"/>
  <c r="Q277" i="21"/>
  <c r="O277" i="21"/>
  <c r="H277" i="21"/>
  <c r="AA275" i="21"/>
  <c r="Q275" i="21"/>
  <c r="AA274" i="21"/>
  <c r="I275" i="21" s="1"/>
  <c r="Q274" i="21"/>
  <c r="O274" i="21"/>
  <c r="H274" i="21"/>
  <c r="Q272" i="21"/>
  <c r="AA271" i="21"/>
  <c r="Q271" i="21"/>
  <c r="O271" i="21"/>
  <c r="H271" i="21"/>
  <c r="Q269" i="21"/>
  <c r="Q268" i="21"/>
  <c r="O268" i="21"/>
  <c r="AA268" i="21" s="1"/>
  <c r="H268" i="21"/>
  <c r="AA266" i="21"/>
  <c r="Q266" i="21"/>
  <c r="I266" i="21"/>
  <c r="O266" i="21" s="1"/>
  <c r="AA265" i="21"/>
  <c r="Q265" i="21"/>
  <c r="O265" i="21"/>
  <c r="H265" i="21"/>
  <c r="Q263" i="21"/>
  <c r="AA262" i="21"/>
  <c r="AA263" i="21" s="1"/>
  <c r="Q262" i="21"/>
  <c r="O262" i="21"/>
  <c r="H262" i="21"/>
  <c r="Q260" i="21"/>
  <c r="Q259" i="21"/>
  <c r="O259" i="21"/>
  <c r="AA259" i="21" s="1"/>
  <c r="H259" i="21"/>
  <c r="Q257" i="21"/>
  <c r="AA256" i="21"/>
  <c r="AA257" i="21" s="1"/>
  <c r="Q256" i="21"/>
  <c r="O256" i="21"/>
  <c r="H256" i="21"/>
  <c r="Q254" i="21"/>
  <c r="Q253" i="21"/>
  <c r="O253" i="21"/>
  <c r="AA253" i="21" s="1"/>
  <c r="H253" i="21"/>
  <c r="AA251" i="21"/>
  <c r="Q251" i="21"/>
  <c r="I251" i="21"/>
  <c r="AA250" i="21"/>
  <c r="Q250" i="21"/>
  <c r="O250" i="21"/>
  <c r="H250" i="21"/>
  <c r="AA248" i="21"/>
  <c r="Q248" i="21"/>
  <c r="I248" i="21"/>
  <c r="AA247" i="21"/>
  <c r="Q247" i="21"/>
  <c r="O247" i="21"/>
  <c r="H247" i="21"/>
  <c r="Q245" i="21"/>
  <c r="AA244" i="21"/>
  <c r="AA245" i="21" s="1"/>
  <c r="Q244" i="21"/>
  <c r="O244" i="21"/>
  <c r="H244" i="21"/>
  <c r="Q242" i="21"/>
  <c r="Q241" i="21"/>
  <c r="Q240" i="21"/>
  <c r="O240" i="21"/>
  <c r="AF240" i="21" s="1"/>
  <c r="H240" i="21"/>
  <c r="AD239" i="21"/>
  <c r="AD241" i="21" s="1"/>
  <c r="Q239" i="21"/>
  <c r="O239" i="21"/>
  <c r="H239" i="21"/>
  <c r="Q237" i="21"/>
  <c r="Q236" i="21"/>
  <c r="AF235" i="21"/>
  <c r="I237" i="21" s="1"/>
  <c r="Q235" i="21"/>
  <c r="O235" i="21"/>
  <c r="H235" i="21"/>
  <c r="AD234" i="21"/>
  <c r="AD236" i="21" s="1"/>
  <c r="Q234" i="21"/>
  <c r="O234" i="21"/>
  <c r="H234" i="21"/>
  <c r="Q232" i="21"/>
  <c r="AA231" i="21"/>
  <c r="AA232" i="21" s="1"/>
  <c r="Q231" i="21"/>
  <c r="O231" i="21"/>
  <c r="H231" i="21"/>
  <c r="Q229" i="21"/>
  <c r="Q228" i="21"/>
  <c r="AF227" i="21"/>
  <c r="I229" i="21" s="1"/>
  <c r="O229" i="21" s="1"/>
  <c r="Q227" i="21"/>
  <c r="O227" i="21"/>
  <c r="H227" i="21"/>
  <c r="AB226" i="21"/>
  <c r="AB228" i="21" s="1"/>
  <c r="Q226" i="21"/>
  <c r="O226" i="21"/>
  <c r="H226" i="21"/>
  <c r="Q224" i="21"/>
  <c r="AA223" i="21"/>
  <c r="AA224" i="21" s="1"/>
  <c r="Q223" i="21"/>
  <c r="O223" i="21"/>
  <c r="H223" i="21"/>
  <c r="Q221" i="21"/>
  <c r="Q220" i="21"/>
  <c r="AF219" i="21"/>
  <c r="I221" i="21" s="1"/>
  <c r="Q219" i="21"/>
  <c r="O219" i="21"/>
  <c r="H219" i="21"/>
  <c r="AB218" i="21"/>
  <c r="AB220" i="21" s="1"/>
  <c r="Q218" i="21"/>
  <c r="O218" i="21"/>
  <c r="H218" i="21"/>
  <c r="Q216" i="21"/>
  <c r="I216" i="21"/>
  <c r="O216" i="21" s="1"/>
  <c r="Q215" i="21"/>
  <c r="AF214" i="21"/>
  <c r="AF215" i="21" s="1"/>
  <c r="Q214" i="21"/>
  <c r="O214" i="21"/>
  <c r="H214" i="21"/>
  <c r="Q213" i="21"/>
  <c r="O213" i="21"/>
  <c r="AB213" i="21" s="1"/>
  <c r="H213" i="21"/>
  <c r="Q211" i="21"/>
  <c r="Q210" i="21"/>
  <c r="Q209" i="21"/>
  <c r="O209" i="21"/>
  <c r="AF209" i="21" s="1"/>
  <c r="H209" i="21"/>
  <c r="AB208" i="21"/>
  <c r="AB210" i="21" s="1"/>
  <c r="Q208" i="21"/>
  <c r="O208" i="21"/>
  <c r="H208" i="21"/>
  <c r="Q206" i="21"/>
  <c r="Q205" i="21"/>
  <c r="O205" i="21"/>
  <c r="AA205" i="21" s="1"/>
  <c r="H205" i="21"/>
  <c r="AA203" i="21"/>
  <c r="Q203" i="21"/>
  <c r="I203" i="21"/>
  <c r="G203" i="21" s="1"/>
  <c r="G469" i="19" s="1"/>
  <c r="AA202" i="21"/>
  <c r="Q202" i="21"/>
  <c r="O202" i="21"/>
  <c r="H202" i="21"/>
  <c r="Q200" i="21"/>
  <c r="I200" i="21"/>
  <c r="G200" i="21" s="1"/>
  <c r="G463" i="19" s="1"/>
  <c r="Q199" i="21"/>
  <c r="AF198" i="21"/>
  <c r="AF199" i="21" s="1"/>
  <c r="Q198" i="21"/>
  <c r="O198" i="21"/>
  <c r="H198" i="21"/>
  <c r="Q197" i="21"/>
  <c r="O197" i="21"/>
  <c r="AB197" i="21" s="1"/>
  <c r="H197" i="21"/>
  <c r="Q195" i="21"/>
  <c r="Q194" i="21"/>
  <c r="O194" i="21"/>
  <c r="AB194" i="21" s="1"/>
  <c r="H194" i="21"/>
  <c r="Q192" i="21"/>
  <c r="AB191" i="21"/>
  <c r="AB192" i="21" s="1"/>
  <c r="Q191" i="21"/>
  <c r="O191" i="21"/>
  <c r="H191" i="21"/>
  <c r="Q189" i="21"/>
  <c r="Q188" i="21"/>
  <c r="O188" i="21"/>
  <c r="AB188" i="21" s="1"/>
  <c r="H188" i="21"/>
  <c r="Q186" i="21"/>
  <c r="Q185" i="21"/>
  <c r="O185" i="21"/>
  <c r="AB185" i="21" s="1"/>
  <c r="H185" i="21"/>
  <c r="Q183" i="21"/>
  <c r="AB182" i="21"/>
  <c r="AB183" i="21" s="1"/>
  <c r="Q182" i="21"/>
  <c r="O182" i="21"/>
  <c r="H182" i="21"/>
  <c r="Q180" i="21"/>
  <c r="Q179" i="21"/>
  <c r="O179" i="21"/>
  <c r="AA179" i="21" s="1"/>
  <c r="H179" i="21"/>
  <c r="Q177" i="21"/>
  <c r="Q176" i="21"/>
  <c r="O176" i="21"/>
  <c r="AA176" i="21" s="1"/>
  <c r="H176" i="21"/>
  <c r="Q174" i="21"/>
  <c r="AA173" i="21"/>
  <c r="AA174" i="21" s="1"/>
  <c r="Q173" i="21"/>
  <c r="O173" i="21"/>
  <c r="H173" i="21"/>
  <c r="Q171" i="21"/>
  <c r="Q170" i="21"/>
  <c r="O170" i="21"/>
  <c r="AA170" i="21" s="1"/>
  <c r="H170" i="21"/>
  <c r="Q168" i="21"/>
  <c r="Q167" i="21"/>
  <c r="O167" i="21"/>
  <c r="AA167" i="21" s="1"/>
  <c r="H167" i="21"/>
  <c r="Q165" i="21"/>
  <c r="AB164" i="21"/>
  <c r="AB165" i="21" s="1"/>
  <c r="Q164" i="21"/>
  <c r="O164" i="21"/>
  <c r="H164" i="21"/>
  <c r="Q162" i="21"/>
  <c r="Q161" i="21"/>
  <c r="O161" i="21"/>
  <c r="AB161" i="21" s="1"/>
  <c r="H161" i="21"/>
  <c r="Q159" i="21"/>
  <c r="Q158" i="21"/>
  <c r="O158" i="21"/>
  <c r="AB158" i="21" s="1"/>
  <c r="H158" i="21"/>
  <c r="Q156" i="21"/>
  <c r="AA155" i="21"/>
  <c r="AA156" i="21" s="1"/>
  <c r="Q155" i="21"/>
  <c r="O155" i="21"/>
  <c r="H155" i="21"/>
  <c r="Q153" i="21"/>
  <c r="Q152" i="21"/>
  <c r="O152" i="21"/>
  <c r="AA152" i="21" s="1"/>
  <c r="H152" i="21"/>
  <c r="Q150" i="21"/>
  <c r="Q149" i="21"/>
  <c r="O149" i="21"/>
  <c r="AA149" i="21" s="1"/>
  <c r="H149" i="21"/>
  <c r="Q147" i="21"/>
  <c r="AA146" i="21"/>
  <c r="AA147" i="21" s="1"/>
  <c r="Q146" i="21"/>
  <c r="O146" i="21"/>
  <c r="H146" i="21"/>
  <c r="Q144" i="21"/>
  <c r="Q143" i="21"/>
  <c r="O143" i="21"/>
  <c r="AA143" i="21" s="1"/>
  <c r="H143" i="21"/>
  <c r="Q141" i="21"/>
  <c r="Q140" i="21"/>
  <c r="O140" i="21"/>
  <c r="AA140" i="21" s="1"/>
  <c r="H140" i="21"/>
  <c r="Q138" i="21"/>
  <c r="AA137" i="21"/>
  <c r="AA138" i="21" s="1"/>
  <c r="Q137" i="21"/>
  <c r="O137" i="21"/>
  <c r="H137" i="21"/>
  <c r="Q135" i="21"/>
  <c r="Q134" i="21"/>
  <c r="O134" i="21"/>
  <c r="AA134" i="21" s="1"/>
  <c r="H134" i="21"/>
  <c r="Q132" i="21"/>
  <c r="Q131" i="21"/>
  <c r="O131" i="21"/>
  <c r="AA131" i="21" s="1"/>
  <c r="H131" i="21"/>
  <c r="Q129" i="21"/>
  <c r="AA128" i="21"/>
  <c r="AA129" i="21" s="1"/>
  <c r="Q128" i="21"/>
  <c r="O128" i="21"/>
  <c r="H128" i="21"/>
  <c r="Q126" i="21"/>
  <c r="Q125" i="21"/>
  <c r="O125" i="21"/>
  <c r="AA125" i="21" s="1"/>
  <c r="H125" i="21"/>
  <c r="Q123" i="21"/>
  <c r="Q122" i="21"/>
  <c r="O122" i="21"/>
  <c r="AA122" i="21" s="1"/>
  <c r="H122" i="21"/>
  <c r="Q120" i="21"/>
  <c r="AA119" i="21"/>
  <c r="AA120" i="21" s="1"/>
  <c r="Q119" i="21"/>
  <c r="O119" i="21"/>
  <c r="H119" i="21"/>
  <c r="Q117" i="21"/>
  <c r="Q116" i="21"/>
  <c r="O116" i="21"/>
  <c r="AA116" i="21" s="1"/>
  <c r="H116" i="21"/>
  <c r="Q114" i="21"/>
  <c r="Q113" i="21"/>
  <c r="Q112" i="21"/>
  <c r="O112" i="21"/>
  <c r="AF112" i="21" s="1"/>
  <c r="H112" i="21"/>
  <c r="AC111" i="21"/>
  <c r="AC113" i="21" s="1"/>
  <c r="Q111" i="21"/>
  <c r="O111" i="21"/>
  <c r="H111" i="21"/>
  <c r="Q109" i="21"/>
  <c r="Q108" i="21"/>
  <c r="AF107" i="21"/>
  <c r="I109" i="21" s="1"/>
  <c r="O109" i="21" s="1"/>
  <c r="Q107" i="21"/>
  <c r="O107" i="21"/>
  <c r="H107" i="21"/>
  <c r="Q106" i="21"/>
  <c r="O106" i="21"/>
  <c r="AB106" i="21" s="1"/>
  <c r="H106" i="21"/>
  <c r="Q104" i="21"/>
  <c r="Q103" i="21"/>
  <c r="Q102" i="21"/>
  <c r="O102" i="21"/>
  <c r="AF102" i="21" s="1"/>
  <c r="H102" i="21"/>
  <c r="Q101" i="21"/>
  <c r="O101" i="21"/>
  <c r="AB101" i="21" s="1"/>
  <c r="H101" i="21"/>
  <c r="Q99" i="21"/>
  <c r="Q98" i="21"/>
  <c r="Q97" i="21"/>
  <c r="O97" i="21"/>
  <c r="AF97" i="21" s="1"/>
  <c r="H97" i="21"/>
  <c r="AB96" i="21"/>
  <c r="AB98" i="21" s="1"/>
  <c r="Q96" i="21"/>
  <c r="O96" i="21"/>
  <c r="H96" i="21"/>
  <c r="Q94" i="21"/>
  <c r="Q93" i="21"/>
  <c r="O93" i="21"/>
  <c r="AA93" i="21" s="1"/>
  <c r="H93" i="21"/>
  <c r="Q91" i="21"/>
  <c r="Q90" i="21"/>
  <c r="O90" i="21"/>
  <c r="AA90" i="21" s="1"/>
  <c r="H90" i="21"/>
  <c r="Q88" i="21"/>
  <c r="AA87" i="21"/>
  <c r="AA88" i="21" s="1"/>
  <c r="Q87" i="21"/>
  <c r="O87" i="21"/>
  <c r="H87" i="21"/>
  <c r="Q85" i="21"/>
  <c r="Q84" i="21"/>
  <c r="AF83" i="21"/>
  <c r="I85" i="21" s="1"/>
  <c r="Q83" i="21"/>
  <c r="O83" i="21"/>
  <c r="H83" i="21"/>
  <c r="Q82" i="21"/>
  <c r="O82" i="21"/>
  <c r="AD82" i="21" s="1"/>
  <c r="H82" i="21"/>
  <c r="Q80" i="21"/>
  <c r="Q79" i="21"/>
  <c r="Q78" i="21"/>
  <c r="O78" i="21"/>
  <c r="AF78" i="21" s="1"/>
  <c r="H78" i="21"/>
  <c r="Q77" i="21"/>
  <c r="O77" i="21"/>
  <c r="AD77" i="21" s="1"/>
  <c r="H77" i="21"/>
  <c r="Q75" i="21"/>
  <c r="Q74" i="21"/>
  <c r="O74" i="21"/>
  <c r="AA74" i="21" s="1"/>
  <c r="H74" i="21"/>
  <c r="Q72" i="21"/>
  <c r="AA71" i="21"/>
  <c r="AA72" i="21" s="1"/>
  <c r="Q71" i="21"/>
  <c r="O71" i="21"/>
  <c r="H71" i="21"/>
  <c r="Q69" i="21"/>
  <c r="Q68" i="21"/>
  <c r="O68" i="21"/>
  <c r="AA68" i="21" s="1"/>
  <c r="H68" i="21"/>
  <c r="Q66" i="21"/>
  <c r="Q65" i="21"/>
  <c r="O65" i="21"/>
  <c r="AA65" i="21" s="1"/>
  <c r="H65" i="21"/>
  <c r="Q63" i="21"/>
  <c r="AA62" i="21"/>
  <c r="AA63" i="21" s="1"/>
  <c r="Q62" i="21"/>
  <c r="O62" i="21"/>
  <c r="H62" i="21"/>
  <c r="Q60" i="21"/>
  <c r="Q59" i="21"/>
  <c r="O59" i="21"/>
  <c r="AA59" i="21" s="1"/>
  <c r="H59" i="21"/>
  <c r="Q57" i="21"/>
  <c r="Q56" i="21"/>
  <c r="O56" i="21"/>
  <c r="AA56" i="21" s="1"/>
  <c r="H56" i="21"/>
  <c r="Q54" i="21"/>
  <c r="AA53" i="21"/>
  <c r="AA54" i="21" s="1"/>
  <c r="Q53" i="21"/>
  <c r="O53" i="21"/>
  <c r="H53" i="21"/>
  <c r="Q51" i="21"/>
  <c r="Q50" i="21"/>
  <c r="O50" i="21"/>
  <c r="AA50" i="21" s="1"/>
  <c r="H50" i="21"/>
  <c r="Q48" i="21"/>
  <c r="Q47" i="21"/>
  <c r="O47" i="21"/>
  <c r="AA47" i="21" s="1"/>
  <c r="H47" i="21"/>
  <c r="Q45" i="21"/>
  <c r="AA44" i="21"/>
  <c r="AA45" i="21" s="1"/>
  <c r="Q44" i="21"/>
  <c r="O44" i="21"/>
  <c r="H44" i="21"/>
  <c r="Q42" i="21"/>
  <c r="Q41" i="21"/>
  <c r="O41" i="21"/>
  <c r="AA41" i="21" s="1"/>
  <c r="H41" i="21"/>
  <c r="Q39" i="21"/>
  <c r="Q38" i="21"/>
  <c r="Q37" i="21"/>
  <c r="O37" i="21"/>
  <c r="AF37" i="21" s="1"/>
  <c r="H37" i="21"/>
  <c r="AA36" i="21"/>
  <c r="AA38" i="21" s="1"/>
  <c r="Q36" i="21"/>
  <c r="O36" i="21"/>
  <c r="H36" i="21"/>
  <c r="Q34" i="21"/>
  <c r="Q33" i="21"/>
  <c r="O33" i="21"/>
  <c r="AA33" i="21" s="1"/>
  <c r="H33" i="21"/>
  <c r="Q31" i="21"/>
  <c r="Q30" i="21"/>
  <c r="Q29" i="21"/>
  <c r="O29" i="21"/>
  <c r="AF29" i="21" s="1"/>
  <c r="H29" i="21"/>
  <c r="AA28" i="21"/>
  <c r="AA30" i="21" s="1"/>
  <c r="Q28" i="21"/>
  <c r="O28" i="21"/>
  <c r="H28" i="21"/>
  <c r="Q26" i="21"/>
  <c r="Q25" i="21"/>
  <c r="AF24" i="21"/>
  <c r="I26" i="21" s="1"/>
  <c r="O26" i="21" s="1"/>
  <c r="Q24" i="21"/>
  <c r="O24" i="21"/>
  <c r="H24" i="21"/>
  <c r="Q23" i="21"/>
  <c r="O23" i="21"/>
  <c r="AA23" i="21" s="1"/>
  <c r="H23" i="21"/>
  <c r="Q21" i="21"/>
  <c r="Q20" i="21"/>
  <c r="I20" i="21"/>
  <c r="Q19" i="21"/>
  <c r="Q18" i="21"/>
  <c r="O18" i="21"/>
  <c r="AA18" i="21" s="1"/>
  <c r="H18" i="21"/>
  <c r="AF17" i="21"/>
  <c r="Q17" i="21"/>
  <c r="O17" i="21"/>
  <c r="H17" i="21"/>
  <c r="Q16" i="21"/>
  <c r="O16" i="21"/>
  <c r="AA16" i="21" s="1"/>
  <c r="H16" i="21"/>
  <c r="Q15" i="21"/>
  <c r="O15" i="21"/>
  <c r="AG15" i="21" s="1"/>
  <c r="H15" i="21"/>
  <c r="AF14" i="21"/>
  <c r="AF19" i="21" s="1"/>
  <c r="Q14" i="21"/>
  <c r="O14" i="21"/>
  <c r="H14" i="21"/>
  <c r="Q12" i="21"/>
  <c r="Q11" i="21"/>
  <c r="O11" i="21"/>
  <c r="AA11" i="21" s="1"/>
  <c r="H11" i="21"/>
  <c r="Q9" i="21"/>
  <c r="Q8" i="21"/>
  <c r="O8" i="21"/>
  <c r="AA8" i="21" s="1"/>
  <c r="H8" i="21"/>
  <c r="Q6" i="21"/>
  <c r="AA5" i="21"/>
  <c r="AA6" i="21" s="1"/>
  <c r="Q5" i="21"/>
  <c r="O5" i="21"/>
  <c r="H5" i="21"/>
  <c r="J691" i="20"/>
  <c r="J692" i="20" s="1"/>
  <c r="G103" i="18" s="1"/>
  <c r="I240" i="20" s="1"/>
  <c r="F691" i="20"/>
  <c r="F692" i="20" s="1"/>
  <c r="K687" i="20"/>
  <c r="J687" i="20"/>
  <c r="H687" i="20"/>
  <c r="F687" i="20"/>
  <c r="L687" i="20" s="1"/>
  <c r="J686" i="20"/>
  <c r="H686" i="20"/>
  <c r="E686" i="20"/>
  <c r="K686" i="20" s="1"/>
  <c r="K685" i="20"/>
  <c r="J685" i="20"/>
  <c r="H685" i="20"/>
  <c r="L685" i="20" s="1"/>
  <c r="F685" i="20"/>
  <c r="K684" i="20"/>
  <c r="H684" i="20"/>
  <c r="F684" i="20"/>
  <c r="K680" i="20"/>
  <c r="J680" i="20"/>
  <c r="H680" i="20"/>
  <c r="F680" i="20"/>
  <c r="L680" i="20" s="1"/>
  <c r="J679" i="20"/>
  <c r="H679" i="20"/>
  <c r="J678" i="20"/>
  <c r="H678" i="20"/>
  <c r="K677" i="20"/>
  <c r="J677" i="20"/>
  <c r="J681" i="20" s="1"/>
  <c r="G101" i="18" s="1"/>
  <c r="H677" i="20"/>
  <c r="F677" i="20"/>
  <c r="K673" i="20"/>
  <c r="J673" i="20"/>
  <c r="H673" i="20"/>
  <c r="L673" i="20" s="1"/>
  <c r="F673" i="20"/>
  <c r="J672" i="20"/>
  <c r="H672" i="20"/>
  <c r="J671" i="20"/>
  <c r="H671" i="20"/>
  <c r="H674" i="20" s="1"/>
  <c r="F100" i="18" s="1"/>
  <c r="G129" i="20" s="1"/>
  <c r="K670" i="20"/>
  <c r="J670" i="20"/>
  <c r="J674" i="20" s="1"/>
  <c r="G100" i="18" s="1"/>
  <c r="I129" i="20" s="1"/>
  <c r="H670" i="20"/>
  <c r="F670" i="20"/>
  <c r="H667" i="20"/>
  <c r="F99" i="18" s="1"/>
  <c r="G127" i="20" s="1"/>
  <c r="K666" i="20"/>
  <c r="J666" i="20"/>
  <c r="J667" i="20" s="1"/>
  <c r="G99" i="18" s="1"/>
  <c r="I127" i="20" s="1"/>
  <c r="J127" i="20" s="1"/>
  <c r="H666" i="20"/>
  <c r="F666" i="20"/>
  <c r="F667" i="20" s="1"/>
  <c r="H663" i="20"/>
  <c r="F98" i="18" s="1"/>
  <c r="G126" i="20" s="1"/>
  <c r="K662" i="20"/>
  <c r="J662" i="20"/>
  <c r="J663" i="20" s="1"/>
  <c r="G98" i="18" s="1"/>
  <c r="I126" i="20" s="1"/>
  <c r="H662" i="20"/>
  <c r="F662" i="20"/>
  <c r="F663" i="20" s="1"/>
  <c r="E98" i="18" s="1"/>
  <c r="E126" i="20" s="1"/>
  <c r="J658" i="20"/>
  <c r="H658" i="20"/>
  <c r="J656" i="20"/>
  <c r="H656" i="20"/>
  <c r="J655" i="20"/>
  <c r="H655" i="20"/>
  <c r="J652" i="20"/>
  <c r="G96" i="18" s="1"/>
  <c r="I206" i="16" s="1"/>
  <c r="L568" i="15" s="1"/>
  <c r="J651" i="20"/>
  <c r="H651" i="20"/>
  <c r="J650" i="20"/>
  <c r="F650" i="20"/>
  <c r="J649" i="20"/>
  <c r="H649" i="20"/>
  <c r="K645" i="20"/>
  <c r="J645" i="20"/>
  <c r="J646" i="20" s="1"/>
  <c r="G95" i="18" s="1"/>
  <c r="I200" i="16" s="1"/>
  <c r="H645" i="20"/>
  <c r="F645" i="20"/>
  <c r="K644" i="20"/>
  <c r="J644" i="20"/>
  <c r="H644" i="20"/>
  <c r="F644" i="20"/>
  <c r="L644" i="20" s="1"/>
  <c r="J643" i="20"/>
  <c r="H643" i="20"/>
  <c r="E643" i="20"/>
  <c r="K643" i="20" s="1"/>
  <c r="J642" i="20"/>
  <c r="H642" i="20"/>
  <c r="E642" i="20"/>
  <c r="K642" i="20" s="1"/>
  <c r="K641" i="20"/>
  <c r="J641" i="20"/>
  <c r="H641" i="20"/>
  <c r="F641" i="20"/>
  <c r="J636" i="20"/>
  <c r="H636" i="20"/>
  <c r="J635" i="20"/>
  <c r="H635" i="20"/>
  <c r="E636" i="20" s="1"/>
  <c r="F636" i="20" s="1"/>
  <c r="L636" i="20" s="1"/>
  <c r="J634" i="20"/>
  <c r="H634" i="20"/>
  <c r="K633" i="20"/>
  <c r="J633" i="20"/>
  <c r="H633" i="20"/>
  <c r="F633" i="20"/>
  <c r="E634" i="20" s="1"/>
  <c r="F634" i="20" s="1"/>
  <c r="L634" i="20" s="1"/>
  <c r="J630" i="20"/>
  <c r="G93" i="18" s="1"/>
  <c r="I171" i="16" s="1"/>
  <c r="L446" i="15" s="1"/>
  <c r="J629" i="20"/>
  <c r="H629" i="20"/>
  <c r="J628" i="20"/>
  <c r="K627" i="20"/>
  <c r="J627" i="20"/>
  <c r="H627" i="20"/>
  <c r="F627" i="20"/>
  <c r="J623" i="20"/>
  <c r="H623" i="20"/>
  <c r="F622" i="20"/>
  <c r="K621" i="20"/>
  <c r="J621" i="20"/>
  <c r="H621" i="20"/>
  <c r="L621" i="20" s="1"/>
  <c r="F621" i="20"/>
  <c r="J617" i="20"/>
  <c r="H617" i="20"/>
  <c r="J616" i="20"/>
  <c r="F616" i="20"/>
  <c r="K615" i="20"/>
  <c r="J615" i="20"/>
  <c r="H615" i="20"/>
  <c r="F615" i="20"/>
  <c r="J612" i="20"/>
  <c r="G90" i="18" s="1"/>
  <c r="I168" i="16" s="1"/>
  <c r="L440" i="15" s="1"/>
  <c r="J611" i="20"/>
  <c r="H611" i="20"/>
  <c r="J610" i="20"/>
  <c r="F610" i="20"/>
  <c r="K609" i="20"/>
  <c r="J609" i="20"/>
  <c r="H609" i="20"/>
  <c r="F609" i="20"/>
  <c r="J605" i="20"/>
  <c r="H605" i="20"/>
  <c r="J604" i="20"/>
  <c r="F604" i="20"/>
  <c r="K603" i="20"/>
  <c r="J603" i="20"/>
  <c r="H603" i="20"/>
  <c r="F603" i="20"/>
  <c r="J599" i="20"/>
  <c r="H599" i="20"/>
  <c r="J598" i="20"/>
  <c r="F598" i="20"/>
  <c r="K597" i="20"/>
  <c r="J597" i="20"/>
  <c r="H597" i="20"/>
  <c r="F597" i="20"/>
  <c r="J594" i="20"/>
  <c r="G87" i="18" s="1"/>
  <c r="I165" i="16" s="1"/>
  <c r="L434" i="15" s="1"/>
  <c r="J593" i="20"/>
  <c r="H593" i="20"/>
  <c r="J592" i="20"/>
  <c r="F592" i="20"/>
  <c r="K591" i="20"/>
  <c r="J591" i="20"/>
  <c r="H591" i="20"/>
  <c r="F591" i="20"/>
  <c r="J587" i="20"/>
  <c r="H587" i="20"/>
  <c r="J586" i="20"/>
  <c r="F586" i="20"/>
  <c r="K585" i="20"/>
  <c r="J585" i="20"/>
  <c r="H585" i="20"/>
  <c r="F585" i="20"/>
  <c r="J581" i="20"/>
  <c r="J582" i="20" s="1"/>
  <c r="G85" i="18" s="1"/>
  <c r="I163" i="16" s="1"/>
  <c r="L430" i="15" s="1"/>
  <c r="F581" i="20"/>
  <c r="J580" i="20"/>
  <c r="H580" i="20"/>
  <c r="K579" i="20"/>
  <c r="J579" i="20"/>
  <c r="H579" i="20"/>
  <c r="F579" i="20"/>
  <c r="J575" i="20"/>
  <c r="H575" i="20"/>
  <c r="K573" i="20"/>
  <c r="J573" i="20"/>
  <c r="H573" i="20"/>
  <c r="F573" i="20"/>
  <c r="J569" i="20"/>
  <c r="H569" i="20"/>
  <c r="J568" i="20"/>
  <c r="F568" i="20"/>
  <c r="K567" i="20"/>
  <c r="J567" i="20"/>
  <c r="H567" i="20"/>
  <c r="F567" i="20"/>
  <c r="J563" i="20"/>
  <c r="H563" i="20"/>
  <c r="L561" i="20"/>
  <c r="K561" i="20"/>
  <c r="J561" i="20"/>
  <c r="H561" i="20"/>
  <c r="F561" i="20"/>
  <c r="J557" i="20"/>
  <c r="H557" i="20"/>
  <c r="J556" i="20"/>
  <c r="F556" i="20"/>
  <c r="K555" i="20"/>
  <c r="J555" i="20"/>
  <c r="H555" i="20"/>
  <c r="F555" i="20"/>
  <c r="J551" i="20"/>
  <c r="H551" i="20"/>
  <c r="F550" i="20"/>
  <c r="K549" i="20"/>
  <c r="J549" i="20"/>
  <c r="J552" i="20" s="1"/>
  <c r="G80" i="18" s="1"/>
  <c r="I156" i="16" s="1"/>
  <c r="L416" i="15" s="1"/>
  <c r="H549" i="20"/>
  <c r="L549" i="20" s="1"/>
  <c r="F549" i="20"/>
  <c r="J545" i="20"/>
  <c r="H545" i="20"/>
  <c r="J544" i="20"/>
  <c r="J546" i="20" s="1"/>
  <c r="G79" i="18" s="1"/>
  <c r="F544" i="20"/>
  <c r="L543" i="20"/>
  <c r="K543" i="20"/>
  <c r="J543" i="20"/>
  <c r="H543" i="20"/>
  <c r="F543" i="20"/>
  <c r="K539" i="20"/>
  <c r="J539" i="20"/>
  <c r="H539" i="20"/>
  <c r="L539" i="20" s="1"/>
  <c r="F539" i="20"/>
  <c r="K538" i="20"/>
  <c r="J538" i="20"/>
  <c r="J540" i="20" s="1"/>
  <c r="G78" i="18" s="1"/>
  <c r="L537" i="20"/>
  <c r="K537" i="20"/>
  <c r="J537" i="20"/>
  <c r="H537" i="20"/>
  <c r="F537" i="20"/>
  <c r="K536" i="20"/>
  <c r="J536" i="20"/>
  <c r="H536" i="20"/>
  <c r="F536" i="20"/>
  <c r="H533" i="20"/>
  <c r="F77" i="18" s="1"/>
  <c r="G153" i="16" s="1"/>
  <c r="J410" i="15" s="1"/>
  <c r="K532" i="20"/>
  <c r="J532" i="20"/>
  <c r="H532" i="20"/>
  <c r="L532" i="20" s="1"/>
  <c r="F532" i="20"/>
  <c r="K531" i="20"/>
  <c r="J531" i="20"/>
  <c r="J533" i="20" s="1"/>
  <c r="G77" i="18" s="1"/>
  <c r="I153" i="16" s="1"/>
  <c r="L410" i="15" s="1"/>
  <c r="H531" i="20"/>
  <c r="F531" i="20"/>
  <c r="L531" i="20" s="1"/>
  <c r="J530" i="20"/>
  <c r="H530" i="20"/>
  <c r="K529" i="20"/>
  <c r="J529" i="20"/>
  <c r="H529" i="20"/>
  <c r="F529" i="20"/>
  <c r="L529" i="20" s="1"/>
  <c r="F526" i="20"/>
  <c r="K525" i="20"/>
  <c r="J525" i="20"/>
  <c r="H525" i="20"/>
  <c r="F525" i="20"/>
  <c r="K524" i="20"/>
  <c r="J524" i="20"/>
  <c r="H524" i="20"/>
  <c r="F524" i="20"/>
  <c r="K523" i="20"/>
  <c r="J523" i="20"/>
  <c r="H523" i="20"/>
  <c r="L523" i="20" s="1"/>
  <c r="F523" i="20"/>
  <c r="L522" i="20"/>
  <c r="K522" i="20"/>
  <c r="J522" i="20"/>
  <c r="H522" i="20"/>
  <c r="F522" i="20"/>
  <c r="K518" i="20"/>
  <c r="F518" i="20"/>
  <c r="K517" i="20"/>
  <c r="J517" i="20"/>
  <c r="H517" i="20"/>
  <c r="F517" i="20"/>
  <c r="J516" i="20"/>
  <c r="H516" i="20"/>
  <c r="E516" i="20"/>
  <c r="J515" i="20"/>
  <c r="H515" i="20"/>
  <c r="E515" i="20"/>
  <c r="L514" i="20"/>
  <c r="K514" i="20"/>
  <c r="J514" i="20"/>
  <c r="H514" i="20"/>
  <c r="F514" i="20"/>
  <c r="J510" i="20"/>
  <c r="F510" i="20"/>
  <c r="J509" i="20"/>
  <c r="H509" i="20"/>
  <c r="L508" i="20"/>
  <c r="K508" i="20"/>
  <c r="J508" i="20"/>
  <c r="H508" i="20"/>
  <c r="F508" i="20"/>
  <c r="J504" i="20"/>
  <c r="H504" i="20"/>
  <c r="J503" i="20"/>
  <c r="F503" i="20"/>
  <c r="L502" i="20"/>
  <c r="K502" i="20"/>
  <c r="J502" i="20"/>
  <c r="H502" i="20"/>
  <c r="F502" i="20"/>
  <c r="J498" i="20"/>
  <c r="H498" i="20"/>
  <c r="J497" i="20"/>
  <c r="F497" i="20"/>
  <c r="K496" i="20"/>
  <c r="J496" i="20"/>
  <c r="H496" i="20"/>
  <c r="F496" i="20"/>
  <c r="L496" i="20" s="1"/>
  <c r="J492" i="20"/>
  <c r="F492" i="20"/>
  <c r="J491" i="20"/>
  <c r="H491" i="20"/>
  <c r="J490" i="20"/>
  <c r="H490" i="20"/>
  <c r="E490" i="20"/>
  <c r="F490" i="20" s="1"/>
  <c r="L490" i="20" s="1"/>
  <c r="K489" i="20"/>
  <c r="J489" i="20"/>
  <c r="H489" i="20"/>
  <c r="F489" i="20"/>
  <c r="L489" i="20" s="1"/>
  <c r="J485" i="20"/>
  <c r="H485" i="20"/>
  <c r="J484" i="20"/>
  <c r="F484" i="20"/>
  <c r="J483" i="20"/>
  <c r="H483" i="20"/>
  <c r="J479" i="20"/>
  <c r="H479" i="20"/>
  <c r="J478" i="20"/>
  <c r="F478" i="20"/>
  <c r="J477" i="20"/>
  <c r="H477" i="20"/>
  <c r="K476" i="20"/>
  <c r="J476" i="20"/>
  <c r="H476" i="20"/>
  <c r="F476" i="20"/>
  <c r="J472" i="20"/>
  <c r="H472" i="20"/>
  <c r="F471" i="20"/>
  <c r="J470" i="20"/>
  <c r="H470" i="20"/>
  <c r="E470" i="20"/>
  <c r="J469" i="20"/>
  <c r="H469" i="20"/>
  <c r="L468" i="20"/>
  <c r="K468" i="20"/>
  <c r="J468" i="20"/>
  <c r="H468" i="20"/>
  <c r="F468" i="20"/>
  <c r="E469" i="20" s="1"/>
  <c r="J464" i="20"/>
  <c r="H464" i="20"/>
  <c r="J463" i="20"/>
  <c r="J465" i="20" s="1"/>
  <c r="G67" i="18" s="1"/>
  <c r="I121" i="16" s="1"/>
  <c r="L314" i="15" s="1"/>
  <c r="F463" i="20"/>
  <c r="L462" i="20"/>
  <c r="K462" i="20"/>
  <c r="J462" i="20"/>
  <c r="H462" i="20"/>
  <c r="F462" i="20"/>
  <c r="J458" i="20"/>
  <c r="H458" i="20"/>
  <c r="J457" i="20"/>
  <c r="F457" i="20"/>
  <c r="K456" i="20"/>
  <c r="J456" i="20"/>
  <c r="H456" i="20"/>
  <c r="F456" i="20"/>
  <c r="J452" i="20"/>
  <c r="H452" i="20"/>
  <c r="J451" i="20"/>
  <c r="F451" i="20"/>
  <c r="L450" i="20"/>
  <c r="K450" i="20"/>
  <c r="J450" i="20"/>
  <c r="J453" i="20" s="1"/>
  <c r="G65" i="18" s="1"/>
  <c r="I119" i="16" s="1"/>
  <c r="L310" i="15" s="1"/>
  <c r="H450" i="20"/>
  <c r="F450" i="20"/>
  <c r="J446" i="20"/>
  <c r="H446" i="20"/>
  <c r="J445" i="20"/>
  <c r="J447" i="20" s="1"/>
  <c r="G64" i="18" s="1"/>
  <c r="I118" i="16" s="1"/>
  <c r="L308" i="15" s="1"/>
  <c r="F445" i="20"/>
  <c r="L444" i="20"/>
  <c r="K444" i="20"/>
  <c r="J444" i="20"/>
  <c r="H444" i="20"/>
  <c r="F444" i="20"/>
  <c r="J440" i="20"/>
  <c r="H440" i="20"/>
  <c r="J439" i="20"/>
  <c r="F439" i="20"/>
  <c r="K438" i="20"/>
  <c r="J438" i="20"/>
  <c r="H438" i="20"/>
  <c r="F438" i="20"/>
  <c r="J434" i="20"/>
  <c r="H434" i="20"/>
  <c r="L432" i="20"/>
  <c r="K432" i="20"/>
  <c r="J432" i="20"/>
  <c r="H432" i="20"/>
  <c r="F432" i="20"/>
  <c r="J428" i="20"/>
  <c r="H428" i="20"/>
  <c r="J427" i="20"/>
  <c r="J429" i="20" s="1"/>
  <c r="G61" i="18" s="1"/>
  <c r="I115" i="16" s="1"/>
  <c r="L302" i="15" s="1"/>
  <c r="F427" i="20"/>
  <c r="L426" i="20"/>
  <c r="K426" i="20"/>
  <c r="J426" i="20"/>
  <c r="H426" i="20"/>
  <c r="F426" i="20"/>
  <c r="J422" i="20"/>
  <c r="F422" i="20"/>
  <c r="J421" i="20"/>
  <c r="H421" i="20"/>
  <c r="J420" i="20"/>
  <c r="H420" i="20"/>
  <c r="E420" i="20"/>
  <c r="K420" i="20" s="1"/>
  <c r="K419" i="20"/>
  <c r="J419" i="20"/>
  <c r="H419" i="20"/>
  <c r="F419" i="20"/>
  <c r="L419" i="20" s="1"/>
  <c r="J415" i="20"/>
  <c r="H415" i="20"/>
  <c r="J414" i="20"/>
  <c r="F414" i="20"/>
  <c r="J413" i="20"/>
  <c r="J416" i="20" s="1"/>
  <c r="G59" i="18" s="1"/>
  <c r="I108" i="16" s="1"/>
  <c r="L288" i="15" s="1"/>
  <c r="H413" i="20"/>
  <c r="L412" i="20"/>
  <c r="K412" i="20"/>
  <c r="J412" i="20"/>
  <c r="H412" i="20"/>
  <c r="F412" i="20"/>
  <c r="E413" i="20" s="1"/>
  <c r="J408" i="20"/>
  <c r="H408" i="20"/>
  <c r="J406" i="20"/>
  <c r="H406" i="20"/>
  <c r="K405" i="20"/>
  <c r="J405" i="20"/>
  <c r="H405" i="20"/>
  <c r="F405" i="20"/>
  <c r="K401" i="20"/>
  <c r="J401" i="20"/>
  <c r="H401" i="20"/>
  <c r="F401" i="20"/>
  <c r="L401" i="20" s="1"/>
  <c r="K400" i="20"/>
  <c r="J400" i="20"/>
  <c r="H400" i="20"/>
  <c r="F400" i="20"/>
  <c r="J399" i="20"/>
  <c r="H399" i="20"/>
  <c r="J398" i="20"/>
  <c r="H398" i="20"/>
  <c r="J397" i="20"/>
  <c r="H397" i="20"/>
  <c r="F393" i="20"/>
  <c r="J392" i="20"/>
  <c r="H392" i="20"/>
  <c r="J391" i="20"/>
  <c r="H391" i="20"/>
  <c r="E392" i="20" s="1"/>
  <c r="J390" i="20"/>
  <c r="H390" i="20"/>
  <c r="K389" i="20"/>
  <c r="J389" i="20"/>
  <c r="H389" i="20"/>
  <c r="F389" i="20"/>
  <c r="E391" i="20" s="1"/>
  <c r="F391" i="20" s="1"/>
  <c r="L391" i="20" s="1"/>
  <c r="K385" i="20"/>
  <c r="J385" i="20"/>
  <c r="H385" i="20"/>
  <c r="H386" i="20" s="1"/>
  <c r="F55" i="18" s="1"/>
  <c r="F385" i="20"/>
  <c r="K384" i="20"/>
  <c r="J384" i="20"/>
  <c r="H384" i="20"/>
  <c r="F384" i="20"/>
  <c r="L384" i="20" s="1"/>
  <c r="J383" i="20"/>
  <c r="H383" i="20"/>
  <c r="E383" i="20"/>
  <c r="J382" i="20"/>
  <c r="H382" i="20"/>
  <c r="L381" i="20"/>
  <c r="K381" i="20"/>
  <c r="J381" i="20"/>
  <c r="H381" i="20"/>
  <c r="F381" i="20"/>
  <c r="E382" i="20" s="1"/>
  <c r="J377" i="20"/>
  <c r="H377" i="20"/>
  <c r="J376" i="20"/>
  <c r="F376" i="20"/>
  <c r="J375" i="20"/>
  <c r="F375" i="20"/>
  <c r="K374" i="20"/>
  <c r="J374" i="20"/>
  <c r="H374" i="20"/>
  <c r="F374" i="20"/>
  <c r="L374" i="20" s="1"/>
  <c r="K370" i="20"/>
  <c r="J370" i="20"/>
  <c r="H370" i="20"/>
  <c r="F370" i="20"/>
  <c r="L370" i="20" s="1"/>
  <c r="J369" i="20"/>
  <c r="H369" i="20"/>
  <c r="J368" i="20"/>
  <c r="F368" i="20"/>
  <c r="H367" i="20"/>
  <c r="J362" i="20"/>
  <c r="H362" i="20"/>
  <c r="K360" i="20"/>
  <c r="J360" i="20"/>
  <c r="H360" i="20"/>
  <c r="F360" i="20"/>
  <c r="J356" i="20"/>
  <c r="F356" i="20"/>
  <c r="J355" i="20"/>
  <c r="H355" i="20"/>
  <c r="K354" i="20"/>
  <c r="J354" i="20"/>
  <c r="H354" i="20"/>
  <c r="F354" i="20"/>
  <c r="L354" i="20" s="1"/>
  <c r="H353" i="20"/>
  <c r="J348" i="20"/>
  <c r="H348" i="20"/>
  <c r="H347" i="20"/>
  <c r="K346" i="20"/>
  <c r="J346" i="20"/>
  <c r="H346" i="20"/>
  <c r="F346" i="20"/>
  <c r="J342" i="20"/>
  <c r="F342" i="20"/>
  <c r="J341" i="20"/>
  <c r="H341" i="20"/>
  <c r="K340" i="20"/>
  <c r="J340" i="20"/>
  <c r="H340" i="20"/>
  <c r="F340" i="20"/>
  <c r="K336" i="20"/>
  <c r="J336" i="20"/>
  <c r="H336" i="20"/>
  <c r="F336" i="20"/>
  <c r="L336" i="20" s="1"/>
  <c r="J335" i="20"/>
  <c r="H335" i="20"/>
  <c r="J334" i="20"/>
  <c r="F334" i="20"/>
  <c r="H333" i="20"/>
  <c r="J332" i="20"/>
  <c r="F332" i="20"/>
  <c r="J328" i="20"/>
  <c r="H328" i="20"/>
  <c r="J327" i="20"/>
  <c r="H327" i="20"/>
  <c r="H326" i="20"/>
  <c r="H329" i="20" s="1"/>
  <c r="F47" i="18" s="1"/>
  <c r="G69" i="16" s="1"/>
  <c r="J82" i="15" s="1"/>
  <c r="J321" i="20"/>
  <c r="H321" i="20"/>
  <c r="J320" i="20"/>
  <c r="H320" i="20"/>
  <c r="K319" i="20"/>
  <c r="J319" i="20"/>
  <c r="H319" i="20"/>
  <c r="L319" i="20" s="1"/>
  <c r="F319" i="20"/>
  <c r="J317" i="20"/>
  <c r="H317" i="20"/>
  <c r="J312" i="20"/>
  <c r="H312" i="20"/>
  <c r="J311" i="20"/>
  <c r="H311" i="20"/>
  <c r="K310" i="20"/>
  <c r="J310" i="20"/>
  <c r="H310" i="20"/>
  <c r="F310" i="20"/>
  <c r="L310" i="20" s="1"/>
  <c r="J308" i="20"/>
  <c r="H308" i="20"/>
  <c r="L304" i="20"/>
  <c r="K304" i="20"/>
  <c r="J304" i="20"/>
  <c r="H304" i="20"/>
  <c r="F304" i="20"/>
  <c r="J303" i="20"/>
  <c r="H303" i="20"/>
  <c r="H302" i="20"/>
  <c r="J300" i="20"/>
  <c r="F300" i="20"/>
  <c r="J296" i="20"/>
  <c r="J297" i="20" s="1"/>
  <c r="G43" i="18" s="1"/>
  <c r="I64" i="16" s="1"/>
  <c r="L72" i="15" s="1"/>
  <c r="F296" i="20"/>
  <c r="J295" i="20"/>
  <c r="H295" i="20"/>
  <c r="K294" i="20"/>
  <c r="J294" i="20"/>
  <c r="H294" i="20"/>
  <c r="F294" i="20"/>
  <c r="J290" i="20"/>
  <c r="F290" i="20"/>
  <c r="J289" i="20"/>
  <c r="H289" i="20"/>
  <c r="K288" i="20"/>
  <c r="J288" i="20"/>
  <c r="H288" i="20"/>
  <c r="F288" i="20"/>
  <c r="J284" i="20"/>
  <c r="F284" i="20"/>
  <c r="J283" i="20"/>
  <c r="H283" i="20"/>
  <c r="L282" i="20"/>
  <c r="K282" i="20"/>
  <c r="J282" i="20"/>
  <c r="H282" i="20"/>
  <c r="F282" i="20"/>
  <c r="J278" i="20"/>
  <c r="H278" i="20"/>
  <c r="K276" i="20"/>
  <c r="J276" i="20"/>
  <c r="H276" i="20"/>
  <c r="F276" i="20"/>
  <c r="J272" i="20"/>
  <c r="F272" i="20"/>
  <c r="J271" i="20"/>
  <c r="H271" i="20"/>
  <c r="J270" i="20"/>
  <c r="H270" i="20"/>
  <c r="K269" i="20"/>
  <c r="J269" i="20"/>
  <c r="J273" i="20" s="1"/>
  <c r="G39" i="18" s="1"/>
  <c r="H269" i="20"/>
  <c r="F269" i="20"/>
  <c r="J265" i="20"/>
  <c r="H265" i="20"/>
  <c r="J263" i="20"/>
  <c r="H263" i="20"/>
  <c r="J262" i="20"/>
  <c r="H262" i="20"/>
  <c r="J258" i="20"/>
  <c r="H258" i="20"/>
  <c r="J257" i="20"/>
  <c r="J259" i="20" s="1"/>
  <c r="G37" i="18" s="1"/>
  <c r="I53" i="16" s="1"/>
  <c r="F257" i="20"/>
  <c r="K256" i="20"/>
  <c r="J256" i="20"/>
  <c r="H256" i="20"/>
  <c r="F256" i="20"/>
  <c r="J252" i="20"/>
  <c r="H252" i="20"/>
  <c r="J251" i="20"/>
  <c r="F251" i="20"/>
  <c r="J250" i="20"/>
  <c r="F250" i="20"/>
  <c r="J249" i="20"/>
  <c r="J247" i="20"/>
  <c r="F247" i="20"/>
  <c r="K246" i="20"/>
  <c r="J246" i="20"/>
  <c r="H246" i="20"/>
  <c r="L246" i="20" s="1"/>
  <c r="F246" i="20"/>
  <c r="K245" i="20"/>
  <c r="J245" i="20"/>
  <c r="H245" i="20"/>
  <c r="F245" i="20"/>
  <c r="L245" i="20" s="1"/>
  <c r="K244" i="20"/>
  <c r="J244" i="20"/>
  <c r="H244" i="20"/>
  <c r="F244" i="20"/>
  <c r="L244" i="20" s="1"/>
  <c r="K243" i="20"/>
  <c r="J243" i="20"/>
  <c r="H243" i="20"/>
  <c r="L243" i="20" s="1"/>
  <c r="F243" i="20"/>
  <c r="K242" i="20"/>
  <c r="J242" i="20"/>
  <c r="H242" i="20"/>
  <c r="F242" i="20"/>
  <c r="K241" i="20"/>
  <c r="J241" i="20"/>
  <c r="H241" i="20"/>
  <c r="F241" i="20"/>
  <c r="L241" i="20" s="1"/>
  <c r="J240" i="20"/>
  <c r="H235" i="20"/>
  <c r="F35" i="18" s="1"/>
  <c r="F235" i="20"/>
  <c r="K234" i="20"/>
  <c r="J234" i="20"/>
  <c r="J235" i="20" s="1"/>
  <c r="G35" i="18" s="1"/>
  <c r="H234" i="20"/>
  <c r="F234" i="20"/>
  <c r="H231" i="20"/>
  <c r="F34" i="18" s="1"/>
  <c r="K230" i="20"/>
  <c r="J230" i="20"/>
  <c r="J231" i="20" s="1"/>
  <c r="G34" i="18" s="1"/>
  <c r="H230" i="20"/>
  <c r="F230" i="20"/>
  <c r="J226" i="20"/>
  <c r="F226" i="20"/>
  <c r="J225" i="20"/>
  <c r="H225" i="20"/>
  <c r="L224" i="20"/>
  <c r="K224" i="20"/>
  <c r="J224" i="20"/>
  <c r="H224" i="20"/>
  <c r="F224" i="20"/>
  <c r="J221" i="20"/>
  <c r="G32" i="18" s="1"/>
  <c r="I33" i="16" s="1"/>
  <c r="L203" i="15" s="1"/>
  <c r="J220" i="20"/>
  <c r="F220" i="20"/>
  <c r="J219" i="20"/>
  <c r="H219" i="20"/>
  <c r="L218" i="20"/>
  <c r="K218" i="20"/>
  <c r="J218" i="20"/>
  <c r="H218" i="20"/>
  <c r="F218" i="20"/>
  <c r="J214" i="20"/>
  <c r="H214" i="20"/>
  <c r="K212" i="20"/>
  <c r="J212" i="20"/>
  <c r="H212" i="20"/>
  <c r="F212" i="20"/>
  <c r="J208" i="20"/>
  <c r="F208" i="20"/>
  <c r="J207" i="20"/>
  <c r="H207" i="20"/>
  <c r="L206" i="20"/>
  <c r="K206" i="20"/>
  <c r="J206" i="20"/>
  <c r="H206" i="20"/>
  <c r="F206" i="20"/>
  <c r="J202" i="20"/>
  <c r="J203" i="20" s="1"/>
  <c r="G29" i="18" s="1"/>
  <c r="I30" i="16" s="1"/>
  <c r="F202" i="20"/>
  <c r="J201" i="20"/>
  <c r="H201" i="20"/>
  <c r="L200" i="20"/>
  <c r="K200" i="20"/>
  <c r="J200" i="20"/>
  <c r="H200" i="20"/>
  <c r="F200" i="20"/>
  <c r="J196" i="20"/>
  <c r="H196" i="20"/>
  <c r="J195" i="20"/>
  <c r="H195" i="20"/>
  <c r="H194" i="20"/>
  <c r="H197" i="20" s="1"/>
  <c r="F28" i="18" s="1"/>
  <c r="J190" i="20"/>
  <c r="H190" i="20"/>
  <c r="J189" i="20"/>
  <c r="F189" i="20"/>
  <c r="J188" i="20"/>
  <c r="F188" i="20"/>
  <c r="K187" i="20"/>
  <c r="J187" i="20"/>
  <c r="H187" i="20"/>
  <c r="E187" i="20"/>
  <c r="F187" i="20" s="1"/>
  <c r="L187" i="20" s="1"/>
  <c r="J186" i="20"/>
  <c r="H186" i="20"/>
  <c r="K185" i="20"/>
  <c r="J185" i="20"/>
  <c r="H185" i="20"/>
  <c r="F185" i="20"/>
  <c r="J181" i="20"/>
  <c r="H181" i="20"/>
  <c r="J180" i="20"/>
  <c r="F180" i="20"/>
  <c r="J179" i="20"/>
  <c r="F179" i="20"/>
  <c r="J178" i="20"/>
  <c r="H178" i="20"/>
  <c r="J177" i="20"/>
  <c r="H177" i="20"/>
  <c r="L176" i="20"/>
  <c r="K176" i="20"/>
  <c r="J176" i="20"/>
  <c r="H176" i="20"/>
  <c r="F176" i="20"/>
  <c r="J172" i="20"/>
  <c r="F172" i="20"/>
  <c r="J170" i="20"/>
  <c r="H170" i="20"/>
  <c r="J169" i="20"/>
  <c r="H169" i="20"/>
  <c r="E169" i="20"/>
  <c r="F169" i="20" s="1"/>
  <c r="L169" i="20" s="1"/>
  <c r="J168" i="20"/>
  <c r="H168" i="20"/>
  <c r="E168" i="20"/>
  <c r="L167" i="20"/>
  <c r="K167" i="20"/>
  <c r="J167" i="20"/>
  <c r="H167" i="20"/>
  <c r="F167" i="20"/>
  <c r="J163" i="20"/>
  <c r="H163" i="20"/>
  <c r="J162" i="20"/>
  <c r="F162" i="20"/>
  <c r="J160" i="20"/>
  <c r="H160" i="20"/>
  <c r="E160" i="20"/>
  <c r="K160" i="20" s="1"/>
  <c r="J159" i="20"/>
  <c r="H159" i="20"/>
  <c r="E159" i="20"/>
  <c r="K159" i="20" s="1"/>
  <c r="K158" i="20"/>
  <c r="J158" i="20"/>
  <c r="H158" i="20"/>
  <c r="F158" i="20"/>
  <c r="K154" i="20"/>
  <c r="J154" i="20"/>
  <c r="H154" i="20"/>
  <c r="F154" i="20"/>
  <c r="L154" i="20" s="1"/>
  <c r="K153" i="20"/>
  <c r="J153" i="20"/>
  <c r="H153" i="20"/>
  <c r="F153" i="20"/>
  <c r="K152" i="20"/>
  <c r="J151" i="20"/>
  <c r="H151" i="20"/>
  <c r="E151" i="20"/>
  <c r="J150" i="20"/>
  <c r="H150" i="20"/>
  <c r="E150" i="20"/>
  <c r="K150" i="20" s="1"/>
  <c r="K149" i="20"/>
  <c r="J149" i="20"/>
  <c r="H149" i="20"/>
  <c r="F149" i="20"/>
  <c r="J145" i="20"/>
  <c r="F145" i="20"/>
  <c r="J144" i="20"/>
  <c r="H144" i="20"/>
  <c r="J143" i="20"/>
  <c r="F143" i="20"/>
  <c r="J142" i="20"/>
  <c r="F142" i="20"/>
  <c r="K141" i="20"/>
  <c r="J141" i="20"/>
  <c r="H141" i="20"/>
  <c r="F141" i="20"/>
  <c r="J140" i="20"/>
  <c r="H140" i="20"/>
  <c r="J139" i="20"/>
  <c r="H139" i="20"/>
  <c r="L138" i="20"/>
  <c r="K138" i="20"/>
  <c r="J138" i="20"/>
  <c r="H138" i="20"/>
  <c r="F138" i="20"/>
  <c r="K137" i="20"/>
  <c r="J137" i="20"/>
  <c r="H137" i="20"/>
  <c r="F137" i="20"/>
  <c r="L137" i="20" s="1"/>
  <c r="J133" i="20"/>
  <c r="H133" i="20"/>
  <c r="J132" i="20"/>
  <c r="J131" i="20"/>
  <c r="F131" i="20"/>
  <c r="J129" i="20"/>
  <c r="H129" i="20"/>
  <c r="K128" i="20"/>
  <c r="J128" i="20"/>
  <c r="H128" i="20"/>
  <c r="L128" i="20" s="1"/>
  <c r="F128" i="20"/>
  <c r="H127" i="20"/>
  <c r="K126" i="20"/>
  <c r="J126" i="20"/>
  <c r="H126" i="20"/>
  <c r="F126" i="20"/>
  <c r="L126" i="20" s="1"/>
  <c r="K124" i="20"/>
  <c r="J124" i="20"/>
  <c r="H124" i="20"/>
  <c r="L124" i="20" s="1"/>
  <c r="F124" i="20"/>
  <c r="K123" i="20"/>
  <c r="J123" i="20"/>
  <c r="H123" i="20"/>
  <c r="F123" i="20"/>
  <c r="J119" i="20"/>
  <c r="H119" i="20"/>
  <c r="J118" i="20"/>
  <c r="J120" i="20" s="1"/>
  <c r="G20" i="18" s="1"/>
  <c r="I21" i="16" s="1"/>
  <c r="F118" i="20"/>
  <c r="L117" i="20"/>
  <c r="K117" i="20"/>
  <c r="J117" i="20"/>
  <c r="H117" i="20"/>
  <c r="F117" i="20"/>
  <c r="J113" i="20"/>
  <c r="H113" i="20"/>
  <c r="J112" i="20"/>
  <c r="F112" i="20"/>
  <c r="L111" i="20"/>
  <c r="K111" i="20"/>
  <c r="J111" i="20"/>
  <c r="H111" i="20"/>
  <c r="F111" i="20"/>
  <c r="J107" i="20"/>
  <c r="F107" i="20"/>
  <c r="J106" i="20"/>
  <c r="H106" i="20"/>
  <c r="K105" i="20"/>
  <c r="J105" i="20"/>
  <c r="H105" i="20"/>
  <c r="F105" i="20"/>
  <c r="J101" i="20"/>
  <c r="H101" i="20"/>
  <c r="J100" i="20"/>
  <c r="J102" i="20" s="1"/>
  <c r="G17" i="18" s="1"/>
  <c r="F100" i="20"/>
  <c r="L99" i="20"/>
  <c r="K99" i="20"/>
  <c r="J99" i="20"/>
  <c r="H99" i="20"/>
  <c r="F99" i="20"/>
  <c r="J95" i="20"/>
  <c r="H95" i="20"/>
  <c r="J94" i="20"/>
  <c r="F94" i="20"/>
  <c r="L92" i="20"/>
  <c r="K92" i="20"/>
  <c r="J92" i="20"/>
  <c r="H92" i="20"/>
  <c r="F92" i="20"/>
  <c r="J88" i="20"/>
  <c r="J89" i="20" s="1"/>
  <c r="G15" i="18" s="1"/>
  <c r="F88" i="20"/>
  <c r="J87" i="20"/>
  <c r="H87" i="20"/>
  <c r="J86" i="20"/>
  <c r="H86" i="20"/>
  <c r="K85" i="20"/>
  <c r="J85" i="20"/>
  <c r="H85" i="20"/>
  <c r="F85" i="20"/>
  <c r="J81" i="20"/>
  <c r="F81" i="20"/>
  <c r="J80" i="20"/>
  <c r="H80" i="20"/>
  <c r="J79" i="20"/>
  <c r="H79" i="20"/>
  <c r="K78" i="20"/>
  <c r="J78" i="20"/>
  <c r="H78" i="20"/>
  <c r="F78" i="20"/>
  <c r="J74" i="20"/>
  <c r="H74" i="20"/>
  <c r="J73" i="20"/>
  <c r="F73" i="20"/>
  <c r="J72" i="20"/>
  <c r="H72" i="20"/>
  <c r="K71" i="20"/>
  <c r="J71" i="20"/>
  <c r="H71" i="20"/>
  <c r="F71" i="20"/>
  <c r="E72" i="20" s="1"/>
  <c r="J66" i="20"/>
  <c r="F66" i="20"/>
  <c r="J65" i="20"/>
  <c r="H65" i="20"/>
  <c r="J64" i="20"/>
  <c r="H64" i="20"/>
  <c r="E64" i="20"/>
  <c r="K63" i="20"/>
  <c r="J63" i="20"/>
  <c r="H63" i="20"/>
  <c r="F63" i="20"/>
  <c r="J59" i="20"/>
  <c r="F59" i="20"/>
  <c r="J58" i="20"/>
  <c r="F58" i="20"/>
  <c r="J57" i="20"/>
  <c r="H57" i="20"/>
  <c r="J56" i="20"/>
  <c r="H56" i="20"/>
  <c r="K55" i="20"/>
  <c r="J55" i="20"/>
  <c r="H55" i="20"/>
  <c r="F55" i="20"/>
  <c r="J51" i="20"/>
  <c r="F51" i="20"/>
  <c r="J50" i="20"/>
  <c r="H50" i="20"/>
  <c r="J49" i="20"/>
  <c r="H49" i="20"/>
  <c r="J48" i="20"/>
  <c r="H48" i="20"/>
  <c r="J44" i="20"/>
  <c r="F44" i="20"/>
  <c r="J43" i="20"/>
  <c r="H43" i="20"/>
  <c r="J42" i="20"/>
  <c r="H42" i="20"/>
  <c r="L41" i="20"/>
  <c r="K41" i="20"/>
  <c r="J41" i="20"/>
  <c r="H41" i="20"/>
  <c r="F41" i="20"/>
  <c r="E42" i="20" s="1"/>
  <c r="F42" i="20" s="1"/>
  <c r="L42" i="20" s="1"/>
  <c r="F37" i="20"/>
  <c r="J36" i="20"/>
  <c r="H36" i="20"/>
  <c r="J35" i="20"/>
  <c r="H35" i="20"/>
  <c r="J34" i="20"/>
  <c r="H34" i="20"/>
  <c r="J30" i="20"/>
  <c r="H30" i="20"/>
  <c r="J28" i="20"/>
  <c r="H28" i="20"/>
  <c r="K27" i="20"/>
  <c r="J27" i="20"/>
  <c r="H27" i="20"/>
  <c r="F27" i="20"/>
  <c r="J23" i="20"/>
  <c r="H23" i="20"/>
  <c r="J22" i="20"/>
  <c r="F22" i="20"/>
  <c r="J21" i="20"/>
  <c r="H21" i="20"/>
  <c r="J20" i="20"/>
  <c r="H20" i="20"/>
  <c r="J15" i="20"/>
  <c r="H15" i="20"/>
  <c r="K14" i="20"/>
  <c r="J14" i="20"/>
  <c r="H14" i="20"/>
  <c r="F14" i="20"/>
  <c r="L13" i="20"/>
  <c r="K13" i="20"/>
  <c r="J13" i="20"/>
  <c r="H13" i="20"/>
  <c r="F13" i="20"/>
  <c r="J9" i="20"/>
  <c r="J10" i="20" s="1"/>
  <c r="G4" i="18" s="1"/>
  <c r="I5" i="16" s="1"/>
  <c r="L145" i="15" s="1"/>
  <c r="F9" i="20"/>
  <c r="J8" i="20"/>
  <c r="H8" i="20"/>
  <c r="J7" i="20"/>
  <c r="H7" i="20"/>
  <c r="J6" i="20"/>
  <c r="H6" i="20"/>
  <c r="J5" i="20"/>
  <c r="H5" i="20"/>
  <c r="O685" i="19"/>
  <c r="N684" i="19"/>
  <c r="L684" i="19"/>
  <c r="O683" i="19"/>
  <c r="N682" i="19"/>
  <c r="L682" i="19"/>
  <c r="N681" i="19"/>
  <c r="L681" i="19"/>
  <c r="O678" i="19"/>
  <c r="N677" i="19"/>
  <c r="L677" i="19"/>
  <c r="O676" i="19"/>
  <c r="O675" i="19"/>
  <c r="N674" i="19"/>
  <c r="L674" i="19"/>
  <c r="N673" i="19"/>
  <c r="L673" i="19"/>
  <c r="N672" i="19"/>
  <c r="L672" i="19"/>
  <c r="O669" i="19"/>
  <c r="N668" i="19"/>
  <c r="L668" i="19"/>
  <c r="O667" i="19"/>
  <c r="O666" i="19"/>
  <c r="N665" i="19"/>
  <c r="L665" i="19"/>
  <c r="N664" i="19"/>
  <c r="L664" i="19"/>
  <c r="N663" i="19"/>
  <c r="L663" i="19"/>
  <c r="O660" i="19"/>
  <c r="N659" i="19"/>
  <c r="L659" i="19"/>
  <c r="O658" i="19"/>
  <c r="O657" i="19"/>
  <c r="N656" i="19"/>
  <c r="L656" i="19"/>
  <c r="N655" i="19"/>
  <c r="L655" i="19"/>
  <c r="O652" i="19"/>
  <c r="N651" i="19"/>
  <c r="L651" i="19"/>
  <c r="O650" i="19"/>
  <c r="O649" i="19"/>
  <c r="N648" i="19"/>
  <c r="L648" i="19"/>
  <c r="N647" i="19"/>
  <c r="L647" i="19"/>
  <c r="O644" i="19"/>
  <c r="N643" i="19"/>
  <c r="L643" i="19"/>
  <c r="O642" i="19"/>
  <c r="O641" i="19"/>
  <c r="N640" i="19"/>
  <c r="L640" i="19"/>
  <c r="N639" i="19"/>
  <c r="L639" i="19"/>
  <c r="O636" i="19"/>
  <c r="N635" i="19"/>
  <c r="L635" i="19"/>
  <c r="O634" i="19"/>
  <c r="O633" i="19"/>
  <c r="N632" i="19"/>
  <c r="L632" i="19"/>
  <c r="N631" i="19"/>
  <c r="L631" i="19"/>
  <c r="O628" i="19"/>
  <c r="N627" i="19"/>
  <c r="L627" i="19"/>
  <c r="O626" i="19"/>
  <c r="AE625" i="19"/>
  <c r="O625" i="19"/>
  <c r="N625" i="19"/>
  <c r="L625" i="19"/>
  <c r="I625" i="19"/>
  <c r="P625" i="19" s="1"/>
  <c r="N624" i="19"/>
  <c r="L624" i="19"/>
  <c r="N623" i="19"/>
  <c r="L623" i="19"/>
  <c r="N622" i="19"/>
  <c r="L622" i="19"/>
  <c r="O619" i="19"/>
  <c r="N618" i="19"/>
  <c r="L618" i="19"/>
  <c r="O617" i="19"/>
  <c r="O616" i="19"/>
  <c r="N615" i="19"/>
  <c r="L615" i="19"/>
  <c r="N614" i="19"/>
  <c r="L614" i="19"/>
  <c r="AE611" i="19"/>
  <c r="O611" i="19"/>
  <c r="N611" i="19"/>
  <c r="M92" i="17" s="1"/>
  <c r="L611" i="19"/>
  <c r="K92" i="17" s="1"/>
  <c r="O610" i="19"/>
  <c r="N610" i="19"/>
  <c r="L610" i="19"/>
  <c r="I610" i="19"/>
  <c r="I611" i="19" s="1"/>
  <c r="O607" i="19"/>
  <c r="N606" i="19"/>
  <c r="L606" i="19"/>
  <c r="O605" i="19"/>
  <c r="O604" i="19"/>
  <c r="N604" i="19"/>
  <c r="L604" i="19"/>
  <c r="I604" i="19"/>
  <c r="O601" i="19"/>
  <c r="N600" i="19"/>
  <c r="L600" i="19"/>
  <c r="O599" i="19"/>
  <c r="O598" i="19"/>
  <c r="N598" i="19"/>
  <c r="L598" i="19"/>
  <c r="I598" i="19"/>
  <c r="O595" i="19"/>
  <c r="N594" i="19"/>
  <c r="L594" i="19"/>
  <c r="O593" i="19"/>
  <c r="O592" i="19"/>
  <c r="N592" i="19"/>
  <c r="L592" i="19"/>
  <c r="I592" i="19"/>
  <c r="O589" i="19"/>
  <c r="N588" i="19"/>
  <c r="L588" i="19"/>
  <c r="O587" i="19"/>
  <c r="O586" i="19"/>
  <c r="N586" i="19"/>
  <c r="L586" i="19"/>
  <c r="I586" i="19"/>
  <c r="O583" i="19"/>
  <c r="N582" i="19"/>
  <c r="L582" i="19"/>
  <c r="O581" i="19"/>
  <c r="O580" i="19"/>
  <c r="N580" i="19"/>
  <c r="L580" i="19"/>
  <c r="I580" i="19"/>
  <c r="O577" i="19"/>
  <c r="N576" i="19"/>
  <c r="L576" i="19"/>
  <c r="O575" i="19"/>
  <c r="O574" i="19"/>
  <c r="N574" i="19"/>
  <c r="L574" i="19"/>
  <c r="I574" i="19"/>
  <c r="O571" i="19"/>
  <c r="N570" i="19"/>
  <c r="L570" i="19"/>
  <c r="O569" i="19"/>
  <c r="P568" i="19"/>
  <c r="O568" i="19"/>
  <c r="N568" i="19"/>
  <c r="L568" i="19"/>
  <c r="I568" i="19"/>
  <c r="O565" i="19"/>
  <c r="N564" i="19"/>
  <c r="L564" i="19"/>
  <c r="O563" i="19"/>
  <c r="O562" i="19"/>
  <c r="N562" i="19"/>
  <c r="P562" i="19" s="1"/>
  <c r="L562" i="19"/>
  <c r="I562" i="19"/>
  <c r="O559" i="19"/>
  <c r="N558" i="19"/>
  <c r="L558" i="19"/>
  <c r="O557" i="19"/>
  <c r="P556" i="19"/>
  <c r="O556" i="19"/>
  <c r="N556" i="19"/>
  <c r="L556" i="19"/>
  <c r="I556" i="19"/>
  <c r="O553" i="19"/>
  <c r="N552" i="19"/>
  <c r="L552" i="19"/>
  <c r="O551" i="19"/>
  <c r="O550" i="19"/>
  <c r="N550" i="19"/>
  <c r="L550" i="19"/>
  <c r="I550" i="19"/>
  <c r="O547" i="19"/>
  <c r="N546" i="19"/>
  <c r="L546" i="19"/>
  <c r="O545" i="19"/>
  <c r="O544" i="19"/>
  <c r="N544" i="19"/>
  <c r="L544" i="19"/>
  <c r="I544" i="19"/>
  <c r="O541" i="19"/>
  <c r="N540" i="19"/>
  <c r="L540" i="19"/>
  <c r="O539" i="19"/>
  <c r="O538" i="19"/>
  <c r="N537" i="19"/>
  <c r="L537" i="19"/>
  <c r="N536" i="19"/>
  <c r="L536" i="19"/>
  <c r="N535" i="19"/>
  <c r="L535" i="19"/>
  <c r="O532" i="19"/>
  <c r="N531" i="19"/>
  <c r="L531" i="19"/>
  <c r="O530" i="19"/>
  <c r="O529" i="19"/>
  <c r="N528" i="19"/>
  <c r="L528" i="19"/>
  <c r="N527" i="19"/>
  <c r="L527" i="19"/>
  <c r="N526" i="19"/>
  <c r="L526" i="19"/>
  <c r="O523" i="19"/>
  <c r="N522" i="19"/>
  <c r="L522" i="19"/>
  <c r="O521" i="19"/>
  <c r="N520" i="19"/>
  <c r="L520" i="19"/>
  <c r="N519" i="19"/>
  <c r="L519" i="19"/>
  <c r="O516" i="19"/>
  <c r="N515" i="19"/>
  <c r="L515" i="19"/>
  <c r="O514" i="19"/>
  <c r="O513" i="19"/>
  <c r="N512" i="19"/>
  <c r="L512" i="19"/>
  <c r="N511" i="19"/>
  <c r="L511" i="19"/>
  <c r="O508" i="19"/>
  <c r="N507" i="19"/>
  <c r="L507" i="19"/>
  <c r="O506" i="19"/>
  <c r="N505" i="19"/>
  <c r="L505" i="19"/>
  <c r="N504" i="19"/>
  <c r="L504" i="19"/>
  <c r="O501" i="19"/>
  <c r="N500" i="19"/>
  <c r="L500" i="19"/>
  <c r="O499" i="19"/>
  <c r="O498" i="19"/>
  <c r="N497" i="19"/>
  <c r="L497" i="19"/>
  <c r="N496" i="19"/>
  <c r="L496" i="19"/>
  <c r="O493" i="19"/>
  <c r="N492" i="19"/>
  <c r="L492" i="19"/>
  <c r="O491" i="19"/>
  <c r="O490" i="19"/>
  <c r="N489" i="19"/>
  <c r="L489" i="19"/>
  <c r="N488" i="19"/>
  <c r="L488" i="19"/>
  <c r="O485" i="19"/>
  <c r="N484" i="19"/>
  <c r="L484" i="19"/>
  <c r="O483" i="19"/>
  <c r="O482" i="19"/>
  <c r="N481" i="19"/>
  <c r="L481" i="19"/>
  <c r="N480" i="19"/>
  <c r="L480" i="19"/>
  <c r="O477" i="19"/>
  <c r="N476" i="19"/>
  <c r="L476" i="19"/>
  <c r="O475" i="19"/>
  <c r="N474" i="19"/>
  <c r="L474" i="19"/>
  <c r="O471" i="19"/>
  <c r="L471" i="19"/>
  <c r="K71" i="17" s="1"/>
  <c r="N470" i="19"/>
  <c r="L470" i="19"/>
  <c r="O469" i="19"/>
  <c r="N469" i="19"/>
  <c r="L469" i="19"/>
  <c r="AE469" i="19" s="1"/>
  <c r="AE471" i="19" s="1"/>
  <c r="AC471" i="19" s="1"/>
  <c r="I469" i="19"/>
  <c r="N468" i="19"/>
  <c r="N471" i="19" s="1"/>
  <c r="M71" i="17" s="1"/>
  <c r="N71" i="17" s="1"/>
  <c r="L468" i="19"/>
  <c r="O465" i="19"/>
  <c r="N464" i="19"/>
  <c r="L464" i="19"/>
  <c r="O463" i="19"/>
  <c r="N463" i="19"/>
  <c r="L463" i="19"/>
  <c r="AE463" i="19" s="1"/>
  <c r="I463" i="19"/>
  <c r="O462" i="19"/>
  <c r="N461" i="19"/>
  <c r="L461" i="19"/>
  <c r="O458" i="19"/>
  <c r="N457" i="19"/>
  <c r="L457" i="19"/>
  <c r="O456" i="19"/>
  <c r="N455" i="19"/>
  <c r="L455" i="19"/>
  <c r="O452" i="19"/>
  <c r="N451" i="19"/>
  <c r="L451" i="19"/>
  <c r="O450" i="19"/>
  <c r="N449" i="19"/>
  <c r="L449" i="19"/>
  <c r="O446" i="19"/>
  <c r="N445" i="19"/>
  <c r="L445" i="19"/>
  <c r="O444" i="19"/>
  <c r="N443" i="19"/>
  <c r="L443" i="19"/>
  <c r="O440" i="19"/>
  <c r="N439" i="19"/>
  <c r="L439" i="19"/>
  <c r="O438" i="19"/>
  <c r="N437" i="19"/>
  <c r="L437" i="19"/>
  <c r="O434" i="19"/>
  <c r="N433" i="19"/>
  <c r="L433" i="19"/>
  <c r="O432" i="19"/>
  <c r="N431" i="19"/>
  <c r="L431" i="19"/>
  <c r="O428" i="19"/>
  <c r="N427" i="19"/>
  <c r="L427" i="19"/>
  <c r="O426" i="19"/>
  <c r="N425" i="19"/>
  <c r="L425" i="19"/>
  <c r="O422" i="19"/>
  <c r="N421" i="19"/>
  <c r="L421" i="19"/>
  <c r="O420" i="19"/>
  <c r="N419" i="19"/>
  <c r="L419" i="19"/>
  <c r="O416" i="19"/>
  <c r="N415" i="19"/>
  <c r="L415" i="19"/>
  <c r="O414" i="19"/>
  <c r="N413" i="19"/>
  <c r="L413" i="19"/>
  <c r="O410" i="19"/>
  <c r="N409" i="19"/>
  <c r="L409" i="19"/>
  <c r="O408" i="19"/>
  <c r="N407" i="19"/>
  <c r="L407" i="19"/>
  <c r="O404" i="19"/>
  <c r="N403" i="19"/>
  <c r="L403" i="19"/>
  <c r="O402" i="19"/>
  <c r="N401" i="19"/>
  <c r="L401" i="19"/>
  <c r="O398" i="19"/>
  <c r="N397" i="19"/>
  <c r="L397" i="19"/>
  <c r="O396" i="19"/>
  <c r="N395" i="19"/>
  <c r="L395" i="19"/>
  <c r="N394" i="19"/>
  <c r="L394" i="19"/>
  <c r="O391" i="19"/>
  <c r="N390" i="19"/>
  <c r="L390" i="19"/>
  <c r="O389" i="19"/>
  <c r="N388" i="19"/>
  <c r="L388" i="19"/>
  <c r="N387" i="19"/>
  <c r="L387" i="19"/>
  <c r="O384" i="19"/>
  <c r="N383" i="19"/>
  <c r="L383" i="19"/>
  <c r="O382" i="19"/>
  <c r="N381" i="19"/>
  <c r="L381" i="19"/>
  <c r="N380" i="19"/>
  <c r="L380" i="19"/>
  <c r="O377" i="19"/>
  <c r="N376" i="19"/>
  <c r="L376" i="19"/>
  <c r="O375" i="19"/>
  <c r="N374" i="19"/>
  <c r="L374" i="19"/>
  <c r="N373" i="19"/>
  <c r="L373" i="19"/>
  <c r="O370" i="19"/>
  <c r="N369" i="19"/>
  <c r="L369" i="19"/>
  <c r="O368" i="19"/>
  <c r="N367" i="19"/>
  <c r="L367" i="19"/>
  <c r="N366" i="19"/>
  <c r="L366" i="19"/>
  <c r="O363" i="19"/>
  <c r="N362" i="19"/>
  <c r="L362" i="19"/>
  <c r="O361" i="19"/>
  <c r="N360" i="19"/>
  <c r="L360" i="19"/>
  <c r="N359" i="19"/>
  <c r="L359" i="19"/>
  <c r="O356" i="19"/>
  <c r="N355" i="19"/>
  <c r="L355" i="19"/>
  <c r="O354" i="19"/>
  <c r="N353" i="19"/>
  <c r="L353" i="19"/>
  <c r="N352" i="19"/>
  <c r="L352" i="19"/>
  <c r="O349" i="19"/>
  <c r="N348" i="19"/>
  <c r="L348" i="19"/>
  <c r="O347" i="19"/>
  <c r="N346" i="19"/>
  <c r="L346" i="19"/>
  <c r="N345" i="19"/>
  <c r="L345" i="19"/>
  <c r="O342" i="19"/>
  <c r="N341" i="19"/>
  <c r="L341" i="19"/>
  <c r="O340" i="19"/>
  <c r="N339" i="19"/>
  <c r="L339" i="19"/>
  <c r="O336" i="19"/>
  <c r="N335" i="19"/>
  <c r="L335" i="19"/>
  <c r="O334" i="19"/>
  <c r="N333" i="19"/>
  <c r="L333" i="19"/>
  <c r="O330" i="19"/>
  <c r="N329" i="19"/>
  <c r="L329" i="19"/>
  <c r="O328" i="19"/>
  <c r="N327" i="19"/>
  <c r="L327" i="19"/>
  <c r="O324" i="19"/>
  <c r="N323" i="19"/>
  <c r="L323" i="19"/>
  <c r="O322" i="19"/>
  <c r="N321" i="19"/>
  <c r="L321" i="19"/>
  <c r="O318" i="19"/>
  <c r="N317" i="19"/>
  <c r="L317" i="19"/>
  <c r="O316" i="19"/>
  <c r="N315" i="19"/>
  <c r="L315" i="19"/>
  <c r="AE312" i="19"/>
  <c r="O312" i="19"/>
  <c r="N312" i="19"/>
  <c r="M46" i="17" s="1"/>
  <c r="L312" i="19"/>
  <c r="K46" i="17" s="1"/>
  <c r="N311" i="19"/>
  <c r="L311" i="19"/>
  <c r="AE308" i="19"/>
  <c r="O308" i="19"/>
  <c r="L308" i="19"/>
  <c r="K45" i="17" s="1"/>
  <c r="N307" i="19"/>
  <c r="N308" i="19" s="1"/>
  <c r="M45" i="17" s="1"/>
  <c r="L307" i="19"/>
  <c r="AE304" i="19"/>
  <c r="O304" i="19"/>
  <c r="N304" i="19"/>
  <c r="M44" i="17" s="1"/>
  <c r="N303" i="19"/>
  <c r="L303" i="19"/>
  <c r="L304" i="19" s="1"/>
  <c r="K44" i="17" s="1"/>
  <c r="O300" i="19"/>
  <c r="N299" i="19"/>
  <c r="L299" i="19"/>
  <c r="O298" i="19"/>
  <c r="N297" i="19"/>
  <c r="L297" i="19"/>
  <c r="O294" i="19"/>
  <c r="N293" i="19"/>
  <c r="L293" i="19"/>
  <c r="O292" i="19"/>
  <c r="N291" i="19"/>
  <c r="L291" i="19"/>
  <c r="O288" i="19"/>
  <c r="N287" i="19"/>
  <c r="L287" i="19"/>
  <c r="O286" i="19"/>
  <c r="N285" i="19"/>
  <c r="L285" i="19"/>
  <c r="O282" i="19"/>
  <c r="N281" i="19"/>
  <c r="L281" i="19"/>
  <c r="O280" i="19"/>
  <c r="N279" i="19"/>
  <c r="L279" i="19"/>
  <c r="AE276" i="19"/>
  <c r="O276" i="19"/>
  <c r="L276" i="19"/>
  <c r="K39" i="17" s="1"/>
  <c r="N275" i="19"/>
  <c r="N276" i="19" s="1"/>
  <c r="M39" i="17" s="1"/>
  <c r="L275" i="19"/>
  <c r="AE272" i="19"/>
  <c r="O272" i="19"/>
  <c r="N271" i="19"/>
  <c r="N272" i="19" s="1"/>
  <c r="M38" i="17" s="1"/>
  <c r="N38" i="17" s="1"/>
  <c r="L271" i="19"/>
  <c r="L272" i="19" s="1"/>
  <c r="K38" i="17" s="1"/>
  <c r="L38" i="17" s="1"/>
  <c r="AE268" i="19"/>
  <c r="O268" i="19"/>
  <c r="L268" i="19"/>
  <c r="K37" i="17" s="1"/>
  <c r="N267" i="19"/>
  <c r="N268" i="19" s="1"/>
  <c r="M37" i="17" s="1"/>
  <c r="L267" i="19"/>
  <c r="AE264" i="19"/>
  <c r="O264" i="19"/>
  <c r="N264" i="19"/>
  <c r="M36" i="17" s="1"/>
  <c r="N263" i="19"/>
  <c r="L263" i="19"/>
  <c r="L264" i="19" s="1"/>
  <c r="K36" i="17" s="1"/>
  <c r="AE260" i="19"/>
  <c r="O260" i="19"/>
  <c r="L260" i="19"/>
  <c r="K35" i="17" s="1"/>
  <c r="N259" i="19"/>
  <c r="N260" i="19" s="1"/>
  <c r="M35" i="17" s="1"/>
  <c r="L259" i="19"/>
  <c r="O256" i="19"/>
  <c r="N255" i="19"/>
  <c r="L255" i="19"/>
  <c r="O254" i="19"/>
  <c r="O253" i="19"/>
  <c r="N252" i="19"/>
  <c r="L252" i="19"/>
  <c r="O249" i="19"/>
  <c r="N248" i="19"/>
  <c r="L248" i="19"/>
  <c r="O247" i="19"/>
  <c r="O246" i="19"/>
  <c r="N245" i="19"/>
  <c r="L245" i="19"/>
  <c r="O242" i="19"/>
  <c r="N241" i="19"/>
  <c r="L241" i="19"/>
  <c r="O240" i="19"/>
  <c r="O239" i="19"/>
  <c r="N238" i="19"/>
  <c r="L238" i="19"/>
  <c r="O235" i="19"/>
  <c r="N234" i="19"/>
  <c r="L234" i="19"/>
  <c r="O233" i="19"/>
  <c r="O232" i="19"/>
  <c r="N231" i="19"/>
  <c r="L231" i="19"/>
  <c r="AE228" i="19"/>
  <c r="O228" i="19"/>
  <c r="N228" i="19"/>
  <c r="M30" i="17" s="1"/>
  <c r="N30" i="17" s="1"/>
  <c r="N227" i="19"/>
  <c r="L227" i="19"/>
  <c r="L228" i="19" s="1"/>
  <c r="K30" i="17" s="1"/>
  <c r="AE224" i="19"/>
  <c r="O224" i="19"/>
  <c r="L224" i="19"/>
  <c r="K29" i="17" s="1"/>
  <c r="N223" i="19"/>
  <c r="N224" i="19" s="1"/>
  <c r="M29" i="17" s="1"/>
  <c r="L223" i="19"/>
  <c r="O220" i="19"/>
  <c r="N219" i="19"/>
  <c r="L219" i="19"/>
  <c r="O218" i="19"/>
  <c r="N217" i="19"/>
  <c r="L217" i="19"/>
  <c r="N216" i="19"/>
  <c r="L216" i="19"/>
  <c r="N215" i="19"/>
  <c r="L215" i="19"/>
  <c r="O212" i="19"/>
  <c r="N211" i="19"/>
  <c r="L211" i="19"/>
  <c r="O210" i="19"/>
  <c r="N209" i="19"/>
  <c r="L209" i="19"/>
  <c r="N208" i="19"/>
  <c r="L208" i="19"/>
  <c r="N207" i="19"/>
  <c r="L207" i="19"/>
  <c r="O204" i="19"/>
  <c r="N203" i="19"/>
  <c r="L203" i="19"/>
  <c r="O202" i="19"/>
  <c r="N201" i="19"/>
  <c r="L201" i="19"/>
  <c r="N200" i="19"/>
  <c r="L200" i="19"/>
  <c r="N199" i="19"/>
  <c r="L199" i="19"/>
  <c r="O196" i="19"/>
  <c r="N195" i="19"/>
  <c r="L195" i="19"/>
  <c r="O194" i="19"/>
  <c r="O193" i="19"/>
  <c r="N192" i="19"/>
  <c r="L192" i="19"/>
  <c r="N191" i="19"/>
  <c r="L191" i="19"/>
  <c r="N190" i="19"/>
  <c r="L190" i="19"/>
  <c r="O187" i="19"/>
  <c r="N186" i="19"/>
  <c r="L186" i="19"/>
  <c r="O185" i="19"/>
  <c r="O184" i="19"/>
  <c r="N183" i="19"/>
  <c r="L183" i="19"/>
  <c r="N182" i="19"/>
  <c r="L182" i="19"/>
  <c r="N181" i="19"/>
  <c r="L181" i="19"/>
  <c r="O178" i="19"/>
  <c r="N177" i="19"/>
  <c r="L177" i="19"/>
  <c r="O176" i="19"/>
  <c r="N175" i="19"/>
  <c r="L175" i="19"/>
  <c r="N174" i="19"/>
  <c r="L174" i="19"/>
  <c r="N173" i="19"/>
  <c r="L173" i="19"/>
  <c r="O170" i="19"/>
  <c r="N169" i="19"/>
  <c r="L169" i="19"/>
  <c r="O168" i="19"/>
  <c r="N167" i="19"/>
  <c r="L167" i="19"/>
  <c r="N166" i="19"/>
  <c r="L166" i="19"/>
  <c r="N165" i="19"/>
  <c r="L165" i="19"/>
  <c r="O162" i="19"/>
  <c r="N161" i="19"/>
  <c r="L161" i="19"/>
  <c r="O160" i="19"/>
  <c r="N159" i="19"/>
  <c r="L159" i="19"/>
  <c r="N158" i="19"/>
  <c r="L158" i="19"/>
  <c r="N157" i="19"/>
  <c r="L157" i="19"/>
  <c r="O154" i="19"/>
  <c r="N153" i="19"/>
  <c r="L153" i="19"/>
  <c r="O152" i="19"/>
  <c r="N151" i="19"/>
  <c r="L151" i="19"/>
  <c r="N150" i="19"/>
  <c r="L150" i="19"/>
  <c r="N149" i="19"/>
  <c r="L149" i="19"/>
  <c r="O146" i="19"/>
  <c r="N145" i="19"/>
  <c r="L145" i="19"/>
  <c r="O144" i="19"/>
  <c r="N143" i="19"/>
  <c r="L143" i="19"/>
  <c r="N142" i="19"/>
  <c r="L142" i="19"/>
  <c r="N141" i="19"/>
  <c r="L141" i="19"/>
  <c r="O138" i="19"/>
  <c r="N137" i="19"/>
  <c r="L137" i="19"/>
  <c r="O136" i="19"/>
  <c r="N135" i="19"/>
  <c r="L135" i="19"/>
  <c r="N134" i="19"/>
  <c r="L134" i="19"/>
  <c r="N133" i="19"/>
  <c r="L133" i="19"/>
  <c r="O130" i="19"/>
  <c r="N129" i="19"/>
  <c r="L129" i="19"/>
  <c r="O128" i="19"/>
  <c r="N127" i="19"/>
  <c r="L127" i="19"/>
  <c r="N126" i="19"/>
  <c r="L126" i="19"/>
  <c r="N125" i="19"/>
  <c r="L125" i="19"/>
  <c r="O122" i="19"/>
  <c r="N121" i="19"/>
  <c r="L121" i="19"/>
  <c r="O120" i="19"/>
  <c r="N119" i="19"/>
  <c r="L119" i="19"/>
  <c r="N118" i="19"/>
  <c r="L118" i="19"/>
  <c r="N117" i="19"/>
  <c r="L117" i="19"/>
  <c r="O114" i="19"/>
  <c r="N113" i="19"/>
  <c r="L113" i="19"/>
  <c r="O112" i="19"/>
  <c r="N111" i="19"/>
  <c r="L111" i="19"/>
  <c r="N110" i="19"/>
  <c r="L110" i="19"/>
  <c r="N109" i="19"/>
  <c r="L109" i="19"/>
  <c r="O106" i="19"/>
  <c r="N105" i="19"/>
  <c r="L105" i="19"/>
  <c r="O104" i="19"/>
  <c r="N103" i="19"/>
  <c r="L103" i="19"/>
  <c r="N102" i="19"/>
  <c r="L102" i="19"/>
  <c r="N101" i="19"/>
  <c r="L101" i="19"/>
  <c r="O98" i="19"/>
  <c r="N97" i="19"/>
  <c r="L97" i="19"/>
  <c r="O96" i="19"/>
  <c r="N95" i="19"/>
  <c r="L95" i="19"/>
  <c r="N94" i="19"/>
  <c r="L94" i="19"/>
  <c r="N93" i="19"/>
  <c r="L93" i="19"/>
  <c r="O90" i="19"/>
  <c r="N89" i="19"/>
  <c r="L89" i="19"/>
  <c r="O88" i="19"/>
  <c r="N87" i="19"/>
  <c r="L87" i="19"/>
  <c r="N86" i="19"/>
  <c r="L86" i="19"/>
  <c r="N85" i="19"/>
  <c r="L85" i="19"/>
  <c r="O82" i="19"/>
  <c r="N81" i="19"/>
  <c r="L81" i="19"/>
  <c r="O80" i="19"/>
  <c r="O79" i="19"/>
  <c r="N78" i="19"/>
  <c r="L78" i="19"/>
  <c r="N77" i="19"/>
  <c r="I77" i="19"/>
  <c r="N76" i="19"/>
  <c r="L76" i="19"/>
  <c r="O73" i="19"/>
  <c r="N72" i="19"/>
  <c r="L72" i="19"/>
  <c r="O71" i="19"/>
  <c r="P70" i="19"/>
  <c r="O70" i="19"/>
  <c r="N70" i="19"/>
  <c r="L70" i="19"/>
  <c r="I70" i="19"/>
  <c r="O67" i="19"/>
  <c r="N66" i="19"/>
  <c r="L66" i="19"/>
  <c r="O65" i="19"/>
  <c r="O64" i="19"/>
  <c r="N63" i="19"/>
  <c r="L63" i="19"/>
  <c r="N62" i="19"/>
  <c r="I62" i="19"/>
  <c r="N61" i="19"/>
  <c r="L61" i="19"/>
  <c r="O58" i="19"/>
  <c r="N57" i="19"/>
  <c r="L57" i="19"/>
  <c r="O56" i="19"/>
  <c r="O55" i="19"/>
  <c r="N54" i="19"/>
  <c r="L54" i="19"/>
  <c r="N53" i="19"/>
  <c r="N52" i="19"/>
  <c r="I52" i="19"/>
  <c r="N51" i="19"/>
  <c r="L51" i="19"/>
  <c r="N50" i="19"/>
  <c r="L50" i="19"/>
  <c r="O47" i="19"/>
  <c r="N46" i="19"/>
  <c r="L46" i="19"/>
  <c r="O45" i="19"/>
  <c r="O44" i="19"/>
  <c r="O43" i="19"/>
  <c r="N42" i="19"/>
  <c r="L42" i="19"/>
  <c r="P41" i="19"/>
  <c r="O41" i="19"/>
  <c r="N41" i="19"/>
  <c r="L41" i="19"/>
  <c r="I41" i="19"/>
  <c r="N40" i="19"/>
  <c r="N39" i="19"/>
  <c r="I39" i="19"/>
  <c r="N38" i="19"/>
  <c r="L38" i="19"/>
  <c r="N37" i="19"/>
  <c r="L37" i="19"/>
  <c r="N36" i="19"/>
  <c r="L36" i="19"/>
  <c r="N35" i="19"/>
  <c r="L35" i="19"/>
  <c r="O32" i="19"/>
  <c r="N31" i="19"/>
  <c r="L31" i="19"/>
  <c r="O30" i="19"/>
  <c r="N29" i="19"/>
  <c r="L29" i="19"/>
  <c r="N28" i="19"/>
  <c r="L28" i="19"/>
  <c r="N27" i="19"/>
  <c r="L27" i="19"/>
  <c r="N26" i="19"/>
  <c r="L26" i="19"/>
  <c r="N25" i="19"/>
  <c r="L25" i="19"/>
  <c r="O22" i="19"/>
  <c r="N21" i="19"/>
  <c r="L21" i="19"/>
  <c r="O20" i="19"/>
  <c r="N19" i="19"/>
  <c r="L19" i="19"/>
  <c r="N18" i="19"/>
  <c r="L18" i="19"/>
  <c r="N17" i="19"/>
  <c r="L17" i="19"/>
  <c r="N16" i="19"/>
  <c r="L16" i="19"/>
  <c r="N15" i="19"/>
  <c r="L15" i="19"/>
  <c r="O12" i="19"/>
  <c r="N11" i="19"/>
  <c r="L11" i="19"/>
  <c r="O10" i="19"/>
  <c r="N9" i="19"/>
  <c r="L9" i="19"/>
  <c r="N8" i="19"/>
  <c r="L8" i="19"/>
  <c r="N7" i="19"/>
  <c r="L7" i="19"/>
  <c r="N6" i="19"/>
  <c r="L6" i="19"/>
  <c r="N5" i="19"/>
  <c r="L5" i="19"/>
  <c r="H98" i="18"/>
  <c r="H80" i="18"/>
  <c r="H39" i="18"/>
  <c r="H22" i="18"/>
  <c r="N92" i="17"/>
  <c r="L92" i="17"/>
  <c r="L71" i="17"/>
  <c r="N46" i="17"/>
  <c r="L46" i="17"/>
  <c r="N45" i="17"/>
  <c r="L45" i="17"/>
  <c r="N44" i="17"/>
  <c r="L44" i="17"/>
  <c r="N39" i="17"/>
  <c r="L39" i="17"/>
  <c r="N37" i="17"/>
  <c r="L37" i="17"/>
  <c r="N36" i="17"/>
  <c r="L36" i="17"/>
  <c r="N35" i="17"/>
  <c r="L35" i="17"/>
  <c r="L30" i="17"/>
  <c r="N29" i="17"/>
  <c r="L29" i="17"/>
  <c r="H292" i="16"/>
  <c r="J270" i="16"/>
  <c r="J292" i="16" s="1"/>
  <c r="H270" i="16"/>
  <c r="J261" i="16"/>
  <c r="H261" i="16"/>
  <c r="J260" i="16"/>
  <c r="H260" i="16"/>
  <c r="J259" i="16"/>
  <c r="H259" i="16"/>
  <c r="J258" i="16"/>
  <c r="H258" i="16"/>
  <c r="J257" i="16"/>
  <c r="H257" i="16"/>
  <c r="J256" i="16"/>
  <c r="H256" i="16"/>
  <c r="J255" i="16"/>
  <c r="H255" i="16"/>
  <c r="J254" i="16"/>
  <c r="H254" i="16"/>
  <c r="J253" i="16"/>
  <c r="H253" i="16"/>
  <c r="J252" i="16"/>
  <c r="H252" i="16"/>
  <c r="J251" i="16"/>
  <c r="H251" i="16"/>
  <c r="J250" i="16"/>
  <c r="H250" i="16"/>
  <c r="J249" i="16"/>
  <c r="H249" i="16"/>
  <c r="J248" i="16"/>
  <c r="H248" i="16"/>
  <c r="J247" i="16"/>
  <c r="J268" i="16" s="1"/>
  <c r="H247" i="16"/>
  <c r="J246" i="16"/>
  <c r="H246" i="16"/>
  <c r="H268" i="16" s="1"/>
  <c r="J228" i="16"/>
  <c r="H228" i="16"/>
  <c r="J227" i="16"/>
  <c r="H227" i="16"/>
  <c r="J226" i="16"/>
  <c r="H226" i="16"/>
  <c r="J225" i="16"/>
  <c r="H225" i="16"/>
  <c r="J224" i="16"/>
  <c r="H224" i="16"/>
  <c r="H244" i="16" s="1"/>
  <c r="J223" i="16"/>
  <c r="H223" i="16"/>
  <c r="J222" i="16"/>
  <c r="H222" i="16"/>
  <c r="J221" i="16"/>
  <c r="H221" i="16"/>
  <c r="H208" i="16"/>
  <c r="K572" i="15" s="1"/>
  <c r="F208" i="16"/>
  <c r="I572" i="15" s="1"/>
  <c r="K293" i="14" s="1"/>
  <c r="J206" i="16"/>
  <c r="M568" i="15" s="1"/>
  <c r="K203" i="16"/>
  <c r="O562" i="15" s="1"/>
  <c r="J203" i="16"/>
  <c r="M562" i="15" s="1"/>
  <c r="H203" i="16"/>
  <c r="K562" i="15" s="1"/>
  <c r="F203" i="16"/>
  <c r="I562" i="15" s="1"/>
  <c r="K288" i="14" s="1"/>
  <c r="J202" i="16"/>
  <c r="M560" i="15" s="1"/>
  <c r="H202" i="16"/>
  <c r="F202" i="16"/>
  <c r="I560" i="15" s="1"/>
  <c r="K287" i="14" s="1"/>
  <c r="J201" i="16"/>
  <c r="M558" i="15" s="1"/>
  <c r="H201" i="16"/>
  <c r="K558" i="15" s="1"/>
  <c r="H198" i="16"/>
  <c r="K552" i="15" s="1"/>
  <c r="F198" i="16"/>
  <c r="I552" i="15" s="1"/>
  <c r="K283" i="14" s="1"/>
  <c r="J171" i="16"/>
  <c r="M446" i="15" s="1"/>
  <c r="J168" i="16"/>
  <c r="M440" i="15" s="1"/>
  <c r="H166" i="16"/>
  <c r="K436" i="15" s="1"/>
  <c r="F166" i="16"/>
  <c r="I436" i="15" s="1"/>
  <c r="K224" i="14" s="1"/>
  <c r="J162" i="16"/>
  <c r="M428" i="15" s="1"/>
  <c r="H162" i="16"/>
  <c r="F162" i="16"/>
  <c r="I428" i="15" s="1"/>
  <c r="K220" i="14" s="1"/>
  <c r="K161" i="16"/>
  <c r="O426" i="15" s="1"/>
  <c r="J161" i="16"/>
  <c r="M426" i="15" s="1"/>
  <c r="H161" i="16"/>
  <c r="K426" i="15" s="1"/>
  <c r="F161" i="16"/>
  <c r="I426" i="15" s="1"/>
  <c r="K219" i="14" s="1"/>
  <c r="H158" i="16"/>
  <c r="K420" i="15" s="1"/>
  <c r="F158" i="16"/>
  <c r="I420" i="15" s="1"/>
  <c r="K216" i="14" s="1"/>
  <c r="H157" i="16"/>
  <c r="K418" i="15" s="1"/>
  <c r="F157" i="16"/>
  <c r="H156" i="16"/>
  <c r="K416" i="15" s="1"/>
  <c r="F156" i="16"/>
  <c r="I416" i="15" s="1"/>
  <c r="K214" i="14" s="1"/>
  <c r="H155" i="16"/>
  <c r="K414" i="15" s="1"/>
  <c r="F155" i="16"/>
  <c r="I414" i="15" s="1"/>
  <c r="K213" i="14" s="1"/>
  <c r="N213" i="14" s="1"/>
  <c r="J153" i="16"/>
  <c r="M410" i="15" s="1"/>
  <c r="H153" i="16"/>
  <c r="K410" i="15" s="1"/>
  <c r="J151" i="16"/>
  <c r="M406" i="15" s="1"/>
  <c r="H151" i="16"/>
  <c r="K406" i="15" s="1"/>
  <c r="H150" i="16"/>
  <c r="F150" i="16"/>
  <c r="I404" i="15" s="1"/>
  <c r="K208" i="14" s="1"/>
  <c r="H132" i="16"/>
  <c r="K491" i="15" s="1"/>
  <c r="F132" i="16"/>
  <c r="I491" i="15" s="1"/>
  <c r="H251" i="14" s="1"/>
  <c r="H131" i="16"/>
  <c r="K489" i="15" s="1"/>
  <c r="F131" i="16"/>
  <c r="I489" i="15" s="1"/>
  <c r="H250" i="14" s="1"/>
  <c r="H128" i="16"/>
  <c r="K483" i="15" s="1"/>
  <c r="F128" i="16"/>
  <c r="F125" i="16"/>
  <c r="I477" i="15" s="1"/>
  <c r="H244" i="14" s="1"/>
  <c r="J119" i="16"/>
  <c r="M310" i="15" s="1"/>
  <c r="J118" i="16"/>
  <c r="M308" i="15" s="1"/>
  <c r="H116" i="16"/>
  <c r="K304" i="15" s="1"/>
  <c r="F116" i="16"/>
  <c r="I304" i="15" s="1"/>
  <c r="K157" i="14" s="1"/>
  <c r="H110" i="16"/>
  <c r="K292" i="15" s="1"/>
  <c r="F110" i="16"/>
  <c r="I292" i="15" s="1"/>
  <c r="K151" i="14" s="1"/>
  <c r="H109" i="16"/>
  <c r="K290" i="15" s="1"/>
  <c r="F109" i="16"/>
  <c r="I290" i="15" s="1"/>
  <c r="K150" i="14" s="1"/>
  <c r="H105" i="16"/>
  <c r="K282" i="15" s="1"/>
  <c r="F105" i="16"/>
  <c r="I282" i="15" s="1"/>
  <c r="K146" i="14" s="1"/>
  <c r="N146" i="14" s="1"/>
  <c r="H103" i="16"/>
  <c r="K278" i="15" s="1"/>
  <c r="F103" i="16"/>
  <c r="I278" i="15" s="1"/>
  <c r="K144" i="14" s="1"/>
  <c r="F101" i="16"/>
  <c r="I274" i="15" s="1"/>
  <c r="K142" i="14" s="1"/>
  <c r="H69" i="16"/>
  <c r="K82" i="15" s="1"/>
  <c r="H61" i="16"/>
  <c r="K66" i="15" s="1"/>
  <c r="F61" i="16"/>
  <c r="I66" i="15" s="1"/>
  <c r="K37" i="14" s="1"/>
  <c r="H60" i="16"/>
  <c r="K64" i="15" s="1"/>
  <c r="F60" i="16"/>
  <c r="I64" i="15" s="1"/>
  <c r="K36" i="14" s="1"/>
  <c r="H57" i="16"/>
  <c r="K58" i="15" s="1"/>
  <c r="F57" i="16"/>
  <c r="I58" i="15" s="1"/>
  <c r="K33" i="14" s="1"/>
  <c r="N33" i="14" s="1"/>
  <c r="H55" i="16"/>
  <c r="K54" i="15" s="1"/>
  <c r="F55" i="16"/>
  <c r="I54" i="15" s="1"/>
  <c r="K31" i="14" s="1"/>
  <c r="H25" i="16"/>
  <c r="K187" i="15" s="1"/>
  <c r="F25" i="16"/>
  <c r="I187" i="15" s="1"/>
  <c r="H97" i="14" s="1"/>
  <c r="H24" i="16"/>
  <c r="K185" i="15" s="1"/>
  <c r="F24" i="16"/>
  <c r="I185" i="15" s="1"/>
  <c r="H96" i="14" s="1"/>
  <c r="K23" i="16"/>
  <c r="O183" i="15" s="1"/>
  <c r="J23" i="16"/>
  <c r="M183" i="15" s="1"/>
  <c r="H23" i="16"/>
  <c r="K183" i="15" s="1"/>
  <c r="F23" i="16"/>
  <c r="I183" i="15" s="1"/>
  <c r="H95" i="14" s="1"/>
  <c r="H15" i="16"/>
  <c r="F15" i="16"/>
  <c r="H87" i="14" s="1"/>
  <c r="H8" i="16"/>
  <c r="F8" i="16"/>
  <c r="N776" i="15"/>
  <c r="N775" i="15"/>
  <c r="N774" i="15"/>
  <c r="N773" i="15"/>
  <c r="F384" i="14" s="1"/>
  <c r="N772" i="15"/>
  <c r="I384" i="14" s="1"/>
  <c r="N771" i="15"/>
  <c r="F383" i="14" s="1"/>
  <c r="N770" i="15"/>
  <c r="I383" i="14" s="1"/>
  <c r="N769" i="15"/>
  <c r="F382" i="14" s="1"/>
  <c r="N768" i="15"/>
  <c r="I382" i="14" s="1"/>
  <c r="L382" i="14" s="1"/>
  <c r="N767" i="15"/>
  <c r="F381" i="14" s="1"/>
  <c r="L381" i="14" s="1"/>
  <c r="N766" i="15"/>
  <c r="I381" i="14" s="1"/>
  <c r="N765" i="15"/>
  <c r="F380" i="14" s="1"/>
  <c r="L764" i="15"/>
  <c r="M764" i="15" s="1"/>
  <c r="J764" i="15"/>
  <c r="K764" i="15" s="1"/>
  <c r="P763" i="15"/>
  <c r="M762" i="15"/>
  <c r="L762" i="15"/>
  <c r="J762" i="15"/>
  <c r="K762" i="15" s="1"/>
  <c r="P761" i="15"/>
  <c r="L760" i="15"/>
  <c r="M760" i="15" s="1"/>
  <c r="J760" i="15"/>
  <c r="K760" i="15" s="1"/>
  <c r="P759" i="15"/>
  <c r="L758" i="15"/>
  <c r="M758" i="15" s="1"/>
  <c r="K758" i="15"/>
  <c r="J758" i="15"/>
  <c r="P757" i="15"/>
  <c r="L756" i="15"/>
  <c r="M756" i="15" s="1"/>
  <c r="J756" i="15"/>
  <c r="K756" i="15" s="1"/>
  <c r="P755" i="15"/>
  <c r="L754" i="15"/>
  <c r="M754" i="15" s="1"/>
  <c r="J754" i="15"/>
  <c r="K754" i="15" s="1"/>
  <c r="P753" i="15"/>
  <c r="L752" i="15"/>
  <c r="M752" i="15" s="1"/>
  <c r="J752" i="15"/>
  <c r="K752" i="15" s="1"/>
  <c r="P751" i="15"/>
  <c r="L750" i="15"/>
  <c r="M750" i="15" s="1"/>
  <c r="K750" i="15"/>
  <c r="J750" i="15"/>
  <c r="P749" i="15"/>
  <c r="L748" i="15"/>
  <c r="M748" i="15" s="1"/>
  <c r="J748" i="15"/>
  <c r="K748" i="15" s="1"/>
  <c r="P747" i="15"/>
  <c r="L746" i="15"/>
  <c r="M746" i="15" s="1"/>
  <c r="J746" i="15"/>
  <c r="K746" i="15" s="1"/>
  <c r="P745" i="15"/>
  <c r="O745" i="15"/>
  <c r="N745" i="15"/>
  <c r="F370" i="14" s="1"/>
  <c r="M745" i="15"/>
  <c r="K745" i="15"/>
  <c r="I745" i="15"/>
  <c r="H370" i="14" s="1"/>
  <c r="N744" i="15"/>
  <c r="I370" i="14" s="1"/>
  <c r="M744" i="15"/>
  <c r="K744" i="15"/>
  <c r="I744" i="15"/>
  <c r="K370" i="14" s="1"/>
  <c r="P743" i="15"/>
  <c r="N742" i="15"/>
  <c r="I369" i="14" s="1"/>
  <c r="M742" i="15"/>
  <c r="K742" i="15"/>
  <c r="O742" i="15" s="1"/>
  <c r="I742" i="15"/>
  <c r="K369" i="14" s="1"/>
  <c r="P741" i="15"/>
  <c r="N740" i="15"/>
  <c r="I368" i="14" s="1"/>
  <c r="M740" i="15"/>
  <c r="K740" i="15"/>
  <c r="O740" i="15" s="1"/>
  <c r="I740" i="15"/>
  <c r="K368" i="14" s="1"/>
  <c r="P739" i="15"/>
  <c r="M738" i="15"/>
  <c r="K738" i="15"/>
  <c r="P737" i="15"/>
  <c r="M736" i="15"/>
  <c r="K736" i="15"/>
  <c r="P735" i="15"/>
  <c r="M734" i="15"/>
  <c r="K734" i="15"/>
  <c r="P733" i="15"/>
  <c r="M732" i="15"/>
  <c r="K732" i="15"/>
  <c r="P731" i="15"/>
  <c r="M730" i="15"/>
  <c r="K730" i="15"/>
  <c r="P729" i="15"/>
  <c r="M728" i="15"/>
  <c r="K728" i="15"/>
  <c r="P727" i="15"/>
  <c r="N726" i="15"/>
  <c r="I361" i="14" s="1"/>
  <c r="N725" i="15"/>
  <c r="F360" i="14" s="1"/>
  <c r="N724" i="15"/>
  <c r="I360" i="14" s="1"/>
  <c r="L360" i="14" s="1"/>
  <c r="N723" i="15"/>
  <c r="F359" i="14" s="1"/>
  <c r="N722" i="15"/>
  <c r="I359" i="14" s="1"/>
  <c r="N721" i="15"/>
  <c r="F345" i="14" s="1"/>
  <c r="N720" i="15"/>
  <c r="N719" i="15"/>
  <c r="N718" i="15"/>
  <c r="N717" i="15"/>
  <c r="N716" i="15"/>
  <c r="N715" i="15"/>
  <c r="N714" i="15"/>
  <c r="N713" i="15"/>
  <c r="N712" i="15"/>
  <c r="N711" i="15"/>
  <c r="N710" i="15"/>
  <c r="N709" i="15"/>
  <c r="N708" i="15"/>
  <c r="N707" i="15"/>
  <c r="N706" i="15"/>
  <c r="N705" i="15"/>
  <c r="N704" i="15"/>
  <c r="N703" i="15"/>
  <c r="N702" i="15"/>
  <c r="P700" i="15"/>
  <c r="P698" i="15"/>
  <c r="P696" i="15"/>
  <c r="P694" i="15"/>
  <c r="P692" i="15"/>
  <c r="P690" i="15"/>
  <c r="N690" i="15"/>
  <c r="P688" i="15"/>
  <c r="P686" i="15"/>
  <c r="N686" i="15"/>
  <c r="N685" i="15"/>
  <c r="F358" i="14" s="1"/>
  <c r="N684" i="15"/>
  <c r="I358" i="14" s="1"/>
  <c r="O683" i="15"/>
  <c r="N683" i="15"/>
  <c r="F344" i="14" s="1"/>
  <c r="M683" i="15"/>
  <c r="K683" i="15"/>
  <c r="I683" i="15"/>
  <c r="H344" i="14" s="1"/>
  <c r="P682" i="15"/>
  <c r="N681" i="15"/>
  <c r="M681" i="15"/>
  <c r="K681" i="15"/>
  <c r="I681" i="15"/>
  <c r="P680" i="15"/>
  <c r="N679" i="15"/>
  <c r="M679" i="15"/>
  <c r="K679" i="15"/>
  <c r="I679" i="15"/>
  <c r="O679" i="15" s="1"/>
  <c r="P678" i="15"/>
  <c r="N677" i="15"/>
  <c r="M677" i="15"/>
  <c r="K677" i="15"/>
  <c r="O677" i="15" s="1"/>
  <c r="I677" i="15"/>
  <c r="P676" i="15"/>
  <c r="N675" i="15"/>
  <c r="F338" i="14" s="1"/>
  <c r="N674" i="15"/>
  <c r="I338" i="14" s="1"/>
  <c r="N673" i="15"/>
  <c r="N672" i="15"/>
  <c r="N671" i="15"/>
  <c r="N670" i="15"/>
  <c r="N669" i="15"/>
  <c r="N668" i="15"/>
  <c r="N667" i="15"/>
  <c r="N666" i="15"/>
  <c r="N665" i="15"/>
  <c r="N664" i="15"/>
  <c r="N663" i="15"/>
  <c r="N662" i="15"/>
  <c r="N661" i="15"/>
  <c r="N660" i="15"/>
  <c r="N659" i="15"/>
  <c r="N658" i="15"/>
  <c r="N657" i="15"/>
  <c r="F335" i="14" s="1"/>
  <c r="O656" i="15"/>
  <c r="N656" i="15"/>
  <c r="I335" i="14" s="1"/>
  <c r="L335" i="14" s="1"/>
  <c r="M656" i="15"/>
  <c r="K656" i="15"/>
  <c r="I656" i="15"/>
  <c r="K335" i="14" s="1"/>
  <c r="N335" i="14" s="1"/>
  <c r="P655" i="15"/>
  <c r="N654" i="15"/>
  <c r="I334" i="14" s="1"/>
  <c r="M654" i="15"/>
  <c r="K654" i="15"/>
  <c r="O654" i="15" s="1"/>
  <c r="I654" i="15"/>
  <c r="K334" i="14" s="1"/>
  <c r="P653" i="15"/>
  <c r="M652" i="15"/>
  <c r="K652" i="15"/>
  <c r="N650" i="15"/>
  <c r="I332" i="14" s="1"/>
  <c r="N649" i="15"/>
  <c r="F331" i="14" s="1"/>
  <c r="O648" i="15"/>
  <c r="N648" i="15"/>
  <c r="I331" i="14" s="1"/>
  <c r="M648" i="15"/>
  <c r="M86" i="13" s="1"/>
  <c r="K648" i="15"/>
  <c r="K86" i="13" s="1"/>
  <c r="L86" i="13" s="1"/>
  <c r="I648" i="15"/>
  <c r="N647" i="15"/>
  <c r="F330" i="14" s="1"/>
  <c r="N646" i="15"/>
  <c r="I330" i="14" s="1"/>
  <c r="N645" i="15"/>
  <c r="F329" i="14" s="1"/>
  <c r="N644" i="15"/>
  <c r="I329" i="14" s="1"/>
  <c r="N643" i="15"/>
  <c r="F328" i="14" s="1"/>
  <c r="N642" i="15"/>
  <c r="I328" i="14" s="1"/>
  <c r="N641" i="15"/>
  <c r="F327" i="14" s="1"/>
  <c r="N640" i="15"/>
  <c r="I327" i="14" s="1"/>
  <c r="N639" i="15"/>
  <c r="F326" i="14" s="1"/>
  <c r="N638" i="15"/>
  <c r="I326" i="14" s="1"/>
  <c r="L326" i="14" s="1"/>
  <c r="N637" i="15"/>
  <c r="F325" i="14" s="1"/>
  <c r="P636" i="15"/>
  <c r="I325" i="14"/>
  <c r="F324" i="14"/>
  <c r="Q634" i="15"/>
  <c r="P634" i="15"/>
  <c r="I324" i="14"/>
  <c r="F323" i="14"/>
  <c r="Q632" i="15"/>
  <c r="P632" i="15"/>
  <c r="I323" i="14"/>
  <c r="L323" i="14" s="1"/>
  <c r="F322" i="14"/>
  <c r="Q630" i="15"/>
  <c r="P630" i="15"/>
  <c r="I322" i="14"/>
  <c r="F321" i="14"/>
  <c r="Q628" i="15"/>
  <c r="P628" i="15"/>
  <c r="I321" i="14"/>
  <c r="F320" i="14"/>
  <c r="Q626" i="15"/>
  <c r="P626" i="15"/>
  <c r="I320" i="14"/>
  <c r="L320" i="14" s="1"/>
  <c r="F319" i="14"/>
  <c r="Q624" i="15"/>
  <c r="P624" i="15"/>
  <c r="I319" i="14"/>
  <c r="F318" i="14"/>
  <c r="Q622" i="15"/>
  <c r="P622" i="15"/>
  <c r="I318" i="14"/>
  <c r="F317" i="14"/>
  <c r="Q620" i="15"/>
  <c r="P620" i="15"/>
  <c r="I317" i="14"/>
  <c r="L317" i="14" s="1"/>
  <c r="F316" i="14"/>
  <c r="Q618" i="15"/>
  <c r="P618" i="15"/>
  <c r="I316" i="14"/>
  <c r="F315" i="14"/>
  <c r="Q616" i="15"/>
  <c r="P616" i="15"/>
  <c r="I315" i="14"/>
  <c r="F314" i="14"/>
  <c r="Q614" i="15"/>
  <c r="P614" i="15"/>
  <c r="I314" i="14"/>
  <c r="L314" i="14" s="1"/>
  <c r="F313" i="14"/>
  <c r="Q612" i="15"/>
  <c r="P612" i="15"/>
  <c r="I313" i="14"/>
  <c r="F312" i="14"/>
  <c r="Q610" i="15"/>
  <c r="P610" i="15"/>
  <c r="I312" i="14"/>
  <c r="F311" i="14"/>
  <c r="Q608" i="15"/>
  <c r="P608" i="15"/>
  <c r="I311" i="14"/>
  <c r="L311" i="14" s="1"/>
  <c r="F310" i="14"/>
  <c r="Q606" i="15"/>
  <c r="P606" i="15"/>
  <c r="I310" i="14"/>
  <c r="F309" i="14"/>
  <c r="Q604" i="15"/>
  <c r="P604" i="15"/>
  <c r="I309" i="14"/>
  <c r="F308" i="14"/>
  <c r="Q602" i="15"/>
  <c r="P602" i="15"/>
  <c r="I308" i="14"/>
  <c r="L308" i="14" s="1"/>
  <c r="F307" i="14"/>
  <c r="Q600" i="15"/>
  <c r="P600" i="15"/>
  <c r="I307" i="14"/>
  <c r="N599" i="15"/>
  <c r="N598" i="15"/>
  <c r="O597" i="15"/>
  <c r="N597" i="15"/>
  <c r="F305" i="14" s="1"/>
  <c r="K597" i="15"/>
  <c r="K84" i="13" s="1"/>
  <c r="I597" i="15"/>
  <c r="N596" i="15"/>
  <c r="I305" i="14" s="1"/>
  <c r="N595" i="15"/>
  <c r="F304" i="14" s="1"/>
  <c r="N594" i="15"/>
  <c r="I304" i="14" s="1"/>
  <c r="N593" i="15"/>
  <c r="F303" i="14" s="1"/>
  <c r="N592" i="15"/>
  <c r="I303" i="14" s="1"/>
  <c r="N591" i="15"/>
  <c r="F302" i="14" s="1"/>
  <c r="N590" i="15"/>
  <c r="I302" i="14" s="1"/>
  <c r="N589" i="15"/>
  <c r="F301" i="14" s="1"/>
  <c r="N588" i="15"/>
  <c r="I301" i="14" s="1"/>
  <c r="N587" i="15"/>
  <c r="F300" i="14" s="1"/>
  <c r="N586" i="15"/>
  <c r="I300" i="14" s="1"/>
  <c r="N585" i="15"/>
  <c r="F299" i="14" s="1"/>
  <c r="L299" i="14" s="1"/>
  <c r="N584" i="15"/>
  <c r="I299" i="14" s="1"/>
  <c r="N583" i="15"/>
  <c r="F298" i="14" s="1"/>
  <c r="P581" i="15"/>
  <c r="N581" i="15"/>
  <c r="F297" i="14" s="1"/>
  <c r="P579" i="15"/>
  <c r="N579" i="15"/>
  <c r="F296" i="14" s="1"/>
  <c r="P577" i="15"/>
  <c r="N577" i="15"/>
  <c r="F295" i="14" s="1"/>
  <c r="P575" i="15"/>
  <c r="N575" i="15"/>
  <c r="F294" i="14" s="1"/>
  <c r="P573" i="15"/>
  <c r="N573" i="15"/>
  <c r="F293" i="14" s="1"/>
  <c r="L293" i="14" s="1"/>
  <c r="N572" i="15"/>
  <c r="I293" i="14" s="1"/>
  <c r="P571" i="15"/>
  <c r="N571" i="15"/>
  <c r="F292" i="14" s="1"/>
  <c r="P569" i="15"/>
  <c r="N569" i="15"/>
  <c r="F291" i="14" s="1"/>
  <c r="P567" i="15"/>
  <c r="N567" i="15"/>
  <c r="F290" i="14" s="1"/>
  <c r="P565" i="15"/>
  <c r="N565" i="15"/>
  <c r="F289" i="14" s="1"/>
  <c r="P563" i="15"/>
  <c r="N563" i="15"/>
  <c r="F288" i="14" s="1"/>
  <c r="N562" i="15"/>
  <c r="I288" i="14" s="1"/>
  <c r="Q561" i="15"/>
  <c r="P561" i="15"/>
  <c r="N561" i="15"/>
  <c r="F287" i="14" s="1"/>
  <c r="L287" i="14" s="1"/>
  <c r="N560" i="15"/>
  <c r="I287" i="14" s="1"/>
  <c r="P559" i="15"/>
  <c r="N559" i="15"/>
  <c r="F286" i="14" s="1"/>
  <c r="P557" i="15"/>
  <c r="N557" i="15"/>
  <c r="F285" i="14" s="1"/>
  <c r="P555" i="15"/>
  <c r="N555" i="15"/>
  <c r="F284" i="14" s="1"/>
  <c r="P553" i="15"/>
  <c r="N553" i="15"/>
  <c r="F283" i="14" s="1"/>
  <c r="N552" i="15"/>
  <c r="I283" i="14" s="1"/>
  <c r="P551" i="15"/>
  <c r="N551" i="15"/>
  <c r="F282" i="14" s="1"/>
  <c r="P549" i="15"/>
  <c r="N549" i="15"/>
  <c r="F281" i="14" s="1"/>
  <c r="N548" i="15"/>
  <c r="I281" i="14" s="1"/>
  <c r="Q547" i="15"/>
  <c r="P547" i="15"/>
  <c r="F280" i="14"/>
  <c r="I280" i="14"/>
  <c r="Q545" i="15"/>
  <c r="P545" i="15"/>
  <c r="F279" i="14"/>
  <c r="I279" i="14"/>
  <c r="Q543" i="15"/>
  <c r="P543" i="15"/>
  <c r="F278" i="14"/>
  <c r="I278" i="14"/>
  <c r="Q541" i="15"/>
  <c r="P541" i="15"/>
  <c r="F277" i="14"/>
  <c r="I277" i="14"/>
  <c r="Q539" i="15"/>
  <c r="P539" i="15"/>
  <c r="F276" i="14"/>
  <c r="I276" i="14"/>
  <c r="Q537" i="15"/>
  <c r="P537" i="15"/>
  <c r="F275" i="14"/>
  <c r="I275" i="14"/>
  <c r="Q535" i="15"/>
  <c r="P535" i="15"/>
  <c r="F274" i="14"/>
  <c r="I274" i="14"/>
  <c r="Q533" i="15"/>
  <c r="P533" i="15"/>
  <c r="F273" i="14"/>
  <c r="I273" i="14"/>
  <c r="Q531" i="15"/>
  <c r="P531" i="15"/>
  <c r="F272" i="14"/>
  <c r="I272" i="14"/>
  <c r="Q529" i="15"/>
  <c r="P529" i="15"/>
  <c r="F271" i="14"/>
  <c r="I271" i="14"/>
  <c r="Q527" i="15"/>
  <c r="P527" i="15"/>
  <c r="F270" i="14"/>
  <c r="I270" i="14"/>
  <c r="Q525" i="15"/>
  <c r="P525" i="15"/>
  <c r="F269" i="14"/>
  <c r="I269" i="14"/>
  <c r="Q523" i="15"/>
  <c r="P523" i="15"/>
  <c r="F268" i="14"/>
  <c r="I268" i="14"/>
  <c r="Q521" i="15"/>
  <c r="P521" i="15"/>
  <c r="F267" i="14"/>
  <c r="I267" i="14"/>
  <c r="Q519" i="15"/>
  <c r="P519" i="15"/>
  <c r="F266" i="14"/>
  <c r="I266" i="14"/>
  <c r="Q517" i="15"/>
  <c r="P517" i="15"/>
  <c r="F265" i="14"/>
  <c r="I265" i="14"/>
  <c r="Q515" i="15"/>
  <c r="P515" i="15"/>
  <c r="F264" i="14"/>
  <c r="I264" i="14"/>
  <c r="Q513" i="15"/>
  <c r="P513" i="15"/>
  <c r="F263" i="14"/>
  <c r="I263" i="14"/>
  <c r="Q511" i="15"/>
  <c r="P511" i="15"/>
  <c r="F262" i="14"/>
  <c r="I262" i="14"/>
  <c r="Q509" i="15"/>
  <c r="P509" i="15"/>
  <c r="F261" i="14"/>
  <c r="I261" i="14"/>
  <c r="Q507" i="15"/>
  <c r="P507" i="15"/>
  <c r="F260" i="14"/>
  <c r="N506" i="15"/>
  <c r="I260" i="14" s="1"/>
  <c r="N505" i="15"/>
  <c r="F258" i="14" s="1"/>
  <c r="O504" i="15"/>
  <c r="N504" i="15"/>
  <c r="I258" i="14" s="1"/>
  <c r="L258" i="14" s="1"/>
  <c r="K504" i="15"/>
  <c r="K82" i="13" s="1"/>
  <c r="I504" i="15"/>
  <c r="N503" i="15"/>
  <c r="F257" i="14" s="1"/>
  <c r="N502" i="15"/>
  <c r="I257" i="14" s="1"/>
  <c r="N501" i="15"/>
  <c r="F256" i="14" s="1"/>
  <c r="N500" i="15"/>
  <c r="I256" i="14" s="1"/>
  <c r="L256" i="14" s="1"/>
  <c r="N499" i="15"/>
  <c r="F255" i="14" s="1"/>
  <c r="N498" i="15"/>
  <c r="I255" i="14" s="1"/>
  <c r="N497" i="15"/>
  <c r="F254" i="14" s="1"/>
  <c r="N496" i="15"/>
  <c r="I254" i="14" s="1"/>
  <c r="N495" i="15"/>
  <c r="F253" i="14" s="1"/>
  <c r="N494" i="15"/>
  <c r="I253" i="14" s="1"/>
  <c r="L253" i="14" s="1"/>
  <c r="P492" i="15"/>
  <c r="N492" i="15"/>
  <c r="I252" i="14" s="1"/>
  <c r="N491" i="15"/>
  <c r="F251" i="14" s="1"/>
  <c r="P490" i="15"/>
  <c r="N490" i="15"/>
  <c r="I251" i="14" s="1"/>
  <c r="L251" i="14" s="1"/>
  <c r="N489" i="15"/>
  <c r="F250" i="14" s="1"/>
  <c r="P488" i="15"/>
  <c r="N488" i="15"/>
  <c r="I250" i="14" s="1"/>
  <c r="P486" i="15"/>
  <c r="N486" i="15"/>
  <c r="I249" i="14" s="1"/>
  <c r="P484" i="15"/>
  <c r="N484" i="15"/>
  <c r="I248" i="14" s="1"/>
  <c r="N483" i="15"/>
  <c r="F247" i="14" s="1"/>
  <c r="P482" i="15"/>
  <c r="N482" i="15"/>
  <c r="I247" i="14" s="1"/>
  <c r="P480" i="15"/>
  <c r="N480" i="15"/>
  <c r="I246" i="14" s="1"/>
  <c r="P478" i="15"/>
  <c r="N478" i="15"/>
  <c r="I245" i="14" s="1"/>
  <c r="P476" i="15"/>
  <c r="N476" i="15"/>
  <c r="I244" i="14" s="1"/>
  <c r="AF475" i="15"/>
  <c r="N475" i="15"/>
  <c r="F243" i="14" s="1"/>
  <c r="P474" i="15"/>
  <c r="I243" i="14"/>
  <c r="AF473" i="15"/>
  <c r="F242" i="14"/>
  <c r="P472" i="15"/>
  <c r="I242" i="14"/>
  <c r="L242" i="14" s="1"/>
  <c r="AF471" i="15"/>
  <c r="AD471" i="15"/>
  <c r="F241" i="14"/>
  <c r="P470" i="15"/>
  <c r="I241" i="14"/>
  <c r="AF469" i="15"/>
  <c r="F240" i="14"/>
  <c r="P468" i="15"/>
  <c r="I240" i="14"/>
  <c r="F239" i="14"/>
  <c r="Q466" i="15"/>
  <c r="P466" i="15"/>
  <c r="I239" i="14"/>
  <c r="AF465" i="15"/>
  <c r="F238" i="14"/>
  <c r="P464" i="15"/>
  <c r="I238" i="14"/>
  <c r="AF463" i="15"/>
  <c r="F237" i="14"/>
  <c r="P462" i="15"/>
  <c r="I237" i="14"/>
  <c r="AF461" i="15"/>
  <c r="AD461" i="15"/>
  <c r="AB461" i="15"/>
  <c r="F236" i="14"/>
  <c r="P460" i="15"/>
  <c r="I236" i="14"/>
  <c r="AF459" i="15"/>
  <c r="AD459" i="15"/>
  <c r="AB459" i="15"/>
  <c r="F235" i="14"/>
  <c r="P458" i="15"/>
  <c r="I235" i="14"/>
  <c r="AF457" i="15"/>
  <c r="AD457" i="15"/>
  <c r="AC457" i="15"/>
  <c r="F234" i="14"/>
  <c r="L234" i="14" s="1"/>
  <c r="P456" i="15"/>
  <c r="I234" i="14"/>
  <c r="N455" i="15"/>
  <c r="N454" i="15"/>
  <c r="O453" i="15"/>
  <c r="N453" i="15"/>
  <c r="F232" i="14" s="1"/>
  <c r="M453" i="15"/>
  <c r="M80" i="13" s="1"/>
  <c r="K453" i="15"/>
  <c r="K80" i="13" s="1"/>
  <c r="I453" i="15"/>
  <c r="N452" i="15"/>
  <c r="I232" i="14" s="1"/>
  <c r="N451" i="15"/>
  <c r="F231" i="14" s="1"/>
  <c r="N450" i="15"/>
  <c r="I231" i="14" s="1"/>
  <c r="L231" i="14" s="1"/>
  <c r="N449" i="15"/>
  <c r="F230" i="14" s="1"/>
  <c r="N448" i="15"/>
  <c r="I230" i="14" s="1"/>
  <c r="L230" i="14" s="1"/>
  <c r="N447" i="15"/>
  <c r="F229" i="14" s="1"/>
  <c r="P445" i="15"/>
  <c r="N445" i="15"/>
  <c r="F228" i="14" s="1"/>
  <c r="P443" i="15"/>
  <c r="N443" i="15"/>
  <c r="F227" i="14" s="1"/>
  <c r="P441" i="15"/>
  <c r="N441" i="15"/>
  <c r="F226" i="14" s="1"/>
  <c r="P439" i="15"/>
  <c r="N439" i="15"/>
  <c r="F225" i="14" s="1"/>
  <c r="P437" i="15"/>
  <c r="N437" i="15"/>
  <c r="F224" i="14" s="1"/>
  <c r="N436" i="15"/>
  <c r="I224" i="14" s="1"/>
  <c r="L224" i="14" s="1"/>
  <c r="P435" i="15"/>
  <c r="N435" i="15"/>
  <c r="F223" i="14" s="1"/>
  <c r="P433" i="15"/>
  <c r="N433" i="15"/>
  <c r="F222" i="14" s="1"/>
  <c r="P431" i="15"/>
  <c r="N431" i="15"/>
  <c r="F221" i="14" s="1"/>
  <c r="P429" i="15"/>
  <c r="N429" i="15"/>
  <c r="F220" i="14" s="1"/>
  <c r="N428" i="15"/>
  <c r="I220" i="14" s="1"/>
  <c r="L220" i="14" s="1"/>
  <c r="P427" i="15"/>
  <c r="N427" i="15"/>
  <c r="F219" i="14" s="1"/>
  <c r="N426" i="15"/>
  <c r="I219" i="14" s="1"/>
  <c r="Q425" i="15"/>
  <c r="P425" i="15"/>
  <c r="N425" i="15"/>
  <c r="F218" i="14" s="1"/>
  <c r="P423" i="15"/>
  <c r="N423" i="15"/>
  <c r="F217" i="14" s="1"/>
  <c r="P421" i="15"/>
  <c r="N421" i="15"/>
  <c r="F216" i="14" s="1"/>
  <c r="N420" i="15"/>
  <c r="I216" i="14" s="1"/>
  <c r="P419" i="15"/>
  <c r="N419" i="15"/>
  <c r="F215" i="14" s="1"/>
  <c r="N418" i="15"/>
  <c r="I215" i="14" s="1"/>
  <c r="P417" i="15"/>
  <c r="N417" i="15"/>
  <c r="F214" i="14" s="1"/>
  <c r="N416" i="15"/>
  <c r="I214" i="14" s="1"/>
  <c r="P415" i="15"/>
  <c r="N415" i="15"/>
  <c r="F213" i="14" s="1"/>
  <c r="N414" i="15"/>
  <c r="I213" i="14" s="1"/>
  <c r="P413" i="15"/>
  <c r="N413" i="15"/>
  <c r="F212" i="14" s="1"/>
  <c r="P411" i="15"/>
  <c r="N411" i="15"/>
  <c r="F211" i="14" s="1"/>
  <c r="P409" i="15"/>
  <c r="N409" i="15"/>
  <c r="F210" i="14" s="1"/>
  <c r="P407" i="15"/>
  <c r="N407" i="15"/>
  <c r="F209" i="14" s="1"/>
  <c r="P405" i="15"/>
  <c r="N405" i="15"/>
  <c r="F208" i="14" s="1"/>
  <c r="N404" i="15"/>
  <c r="I208" i="14" s="1"/>
  <c r="P403" i="15"/>
  <c r="N403" i="15"/>
  <c r="F207" i="14" s="1"/>
  <c r="P401" i="15"/>
  <c r="N401" i="15"/>
  <c r="F206" i="14" s="1"/>
  <c r="N400" i="15"/>
  <c r="I206" i="14" s="1"/>
  <c r="Q399" i="15"/>
  <c r="P399" i="15"/>
  <c r="F205" i="14"/>
  <c r="I205" i="14"/>
  <c r="Q397" i="15"/>
  <c r="P397" i="15"/>
  <c r="F204" i="14"/>
  <c r="I204" i="14"/>
  <c r="Q395" i="15"/>
  <c r="P395" i="15"/>
  <c r="F203" i="14"/>
  <c r="I203" i="14"/>
  <c r="Q393" i="15"/>
  <c r="P393" i="15"/>
  <c r="F202" i="14"/>
  <c r="I202" i="14"/>
  <c r="Q391" i="15"/>
  <c r="P391" i="15"/>
  <c r="F201" i="14"/>
  <c r="I201" i="14"/>
  <c r="Q389" i="15"/>
  <c r="P389" i="15"/>
  <c r="F200" i="14"/>
  <c r="I200" i="14"/>
  <c r="Q387" i="15"/>
  <c r="P387" i="15"/>
  <c r="F199" i="14"/>
  <c r="I199" i="14"/>
  <c r="Q385" i="15"/>
  <c r="P385" i="15"/>
  <c r="F198" i="14"/>
  <c r="I198" i="14"/>
  <c r="Q383" i="15"/>
  <c r="P383" i="15"/>
  <c r="F197" i="14"/>
  <c r="I197" i="14"/>
  <c r="Q381" i="15"/>
  <c r="P381" i="15"/>
  <c r="F196" i="14"/>
  <c r="I196" i="14"/>
  <c r="Q379" i="15"/>
  <c r="P379" i="15"/>
  <c r="F195" i="14"/>
  <c r="I195" i="14"/>
  <c r="Q377" i="15"/>
  <c r="P377" i="15"/>
  <c r="F194" i="14"/>
  <c r="I194" i="14"/>
  <c r="Q375" i="15"/>
  <c r="P375" i="15"/>
  <c r="F193" i="14"/>
  <c r="I193" i="14"/>
  <c r="Q373" i="15"/>
  <c r="P373" i="15"/>
  <c r="F192" i="14"/>
  <c r="I192" i="14"/>
  <c r="Q371" i="15"/>
  <c r="P371" i="15"/>
  <c r="F191" i="14"/>
  <c r="I191" i="14"/>
  <c r="L191" i="14" s="1"/>
  <c r="Q369" i="15"/>
  <c r="P369" i="15"/>
  <c r="F190" i="14"/>
  <c r="I190" i="14"/>
  <c r="Q367" i="15"/>
  <c r="P367" i="15"/>
  <c r="F189" i="14"/>
  <c r="I189" i="14"/>
  <c r="Q365" i="15"/>
  <c r="P365" i="15"/>
  <c r="F188" i="14"/>
  <c r="I188" i="14"/>
  <c r="Q363" i="15"/>
  <c r="P363" i="15"/>
  <c r="F187" i="14"/>
  <c r="I187" i="14"/>
  <c r="Q361" i="15"/>
  <c r="P361" i="15"/>
  <c r="F186" i="14"/>
  <c r="I186" i="14"/>
  <c r="Q359" i="15"/>
  <c r="P359" i="15"/>
  <c r="F185" i="14"/>
  <c r="I185" i="14"/>
  <c r="Q357" i="15"/>
  <c r="P357" i="15"/>
  <c r="F184" i="14"/>
  <c r="I184" i="14"/>
  <c r="Q355" i="15"/>
  <c r="P355" i="15"/>
  <c r="F183" i="14"/>
  <c r="I183" i="14"/>
  <c r="Q353" i="15"/>
  <c r="P353" i="15"/>
  <c r="F182" i="14"/>
  <c r="I182" i="14"/>
  <c r="Q351" i="15"/>
  <c r="P351" i="15"/>
  <c r="F181" i="14"/>
  <c r="N350" i="15"/>
  <c r="I181" i="14" s="1"/>
  <c r="N349" i="15"/>
  <c r="F179" i="14" s="1"/>
  <c r="O348" i="15"/>
  <c r="N348" i="15"/>
  <c r="I179" i="14" s="1"/>
  <c r="K348" i="15"/>
  <c r="K78" i="13" s="1"/>
  <c r="L78" i="13" s="1"/>
  <c r="I348" i="15"/>
  <c r="N347" i="15"/>
  <c r="F178" i="14" s="1"/>
  <c r="N346" i="15"/>
  <c r="I178" i="14" s="1"/>
  <c r="N345" i="15"/>
  <c r="F177" i="14" s="1"/>
  <c r="N344" i="15"/>
  <c r="I177" i="14" s="1"/>
  <c r="L177" i="14" s="1"/>
  <c r="N343" i="15"/>
  <c r="F176" i="14" s="1"/>
  <c r="N342" i="15"/>
  <c r="I176" i="14" s="1"/>
  <c r="N341" i="15"/>
  <c r="F175" i="14" s="1"/>
  <c r="N340" i="15"/>
  <c r="I175" i="14" s="1"/>
  <c r="N339" i="15"/>
  <c r="F174" i="14" s="1"/>
  <c r="N338" i="15"/>
  <c r="I174" i="14" s="1"/>
  <c r="AF337" i="15"/>
  <c r="N337" i="15"/>
  <c r="F173" i="14" s="1"/>
  <c r="Q336" i="15"/>
  <c r="P336" i="15"/>
  <c r="I173" i="14"/>
  <c r="L173" i="14" s="1"/>
  <c r="AF335" i="15"/>
  <c r="AD335" i="15"/>
  <c r="F172" i="14"/>
  <c r="Q334" i="15"/>
  <c r="P334" i="15"/>
  <c r="I172" i="14"/>
  <c r="AF333" i="15"/>
  <c r="F171" i="14"/>
  <c r="Q332" i="15"/>
  <c r="P332" i="15"/>
  <c r="I171" i="14"/>
  <c r="AF331" i="15"/>
  <c r="AD331" i="15"/>
  <c r="AB331" i="15"/>
  <c r="F170" i="14"/>
  <c r="Q330" i="15"/>
  <c r="P330" i="15"/>
  <c r="I170" i="14"/>
  <c r="AF329" i="15"/>
  <c r="AD329" i="15"/>
  <c r="AC329" i="15"/>
  <c r="F169" i="14"/>
  <c r="Q328" i="15"/>
  <c r="P328" i="15"/>
  <c r="I169" i="14"/>
  <c r="N327" i="15"/>
  <c r="N326" i="15"/>
  <c r="O325" i="15"/>
  <c r="N325" i="15"/>
  <c r="F167" i="14" s="1"/>
  <c r="M325" i="15"/>
  <c r="M76" i="13" s="1"/>
  <c r="K325" i="15"/>
  <c r="K76" i="13" s="1"/>
  <c r="I325" i="15"/>
  <c r="N324" i="15"/>
  <c r="I167" i="14" s="1"/>
  <c r="N323" i="15"/>
  <c r="F166" i="14" s="1"/>
  <c r="N322" i="15"/>
  <c r="I166" i="14" s="1"/>
  <c r="N321" i="15"/>
  <c r="F165" i="14" s="1"/>
  <c r="N320" i="15"/>
  <c r="I165" i="14" s="1"/>
  <c r="L165" i="14" s="1"/>
  <c r="N319" i="15"/>
  <c r="F164" i="14" s="1"/>
  <c r="N318" i="15"/>
  <c r="I164" i="14" s="1"/>
  <c r="N317" i="15"/>
  <c r="F163" i="14" s="1"/>
  <c r="N316" i="15"/>
  <c r="I163" i="14" s="1"/>
  <c r="N315" i="15"/>
  <c r="F162" i="14" s="1"/>
  <c r="P313" i="15"/>
  <c r="N313" i="15"/>
  <c r="F161" i="14" s="1"/>
  <c r="P311" i="15"/>
  <c r="N311" i="15"/>
  <c r="F160" i="14" s="1"/>
  <c r="P309" i="15"/>
  <c r="N309" i="15"/>
  <c r="F159" i="14" s="1"/>
  <c r="P307" i="15"/>
  <c r="N307" i="15"/>
  <c r="F158" i="14" s="1"/>
  <c r="P305" i="15"/>
  <c r="N305" i="15"/>
  <c r="F157" i="14" s="1"/>
  <c r="L157" i="14" s="1"/>
  <c r="N304" i="15"/>
  <c r="I157" i="14" s="1"/>
  <c r="P303" i="15"/>
  <c r="N303" i="15"/>
  <c r="F156" i="14" s="1"/>
  <c r="P301" i="15"/>
  <c r="N301" i="15"/>
  <c r="F155" i="14" s="1"/>
  <c r="P299" i="15"/>
  <c r="N299" i="15"/>
  <c r="F154" i="14" s="1"/>
  <c r="P297" i="15"/>
  <c r="N297" i="15"/>
  <c r="F153" i="14" s="1"/>
  <c r="P295" i="15"/>
  <c r="N295" i="15"/>
  <c r="F152" i="14" s="1"/>
  <c r="P293" i="15"/>
  <c r="N293" i="15"/>
  <c r="F151" i="14" s="1"/>
  <c r="L151" i="14" s="1"/>
  <c r="N292" i="15"/>
  <c r="I151" i="14" s="1"/>
  <c r="P291" i="15"/>
  <c r="N291" i="15"/>
  <c r="F150" i="14" s="1"/>
  <c r="N290" i="15"/>
  <c r="I150" i="14" s="1"/>
  <c r="P289" i="15"/>
  <c r="N289" i="15"/>
  <c r="F149" i="14" s="1"/>
  <c r="P287" i="15"/>
  <c r="N287" i="15"/>
  <c r="F148" i="14" s="1"/>
  <c r="P285" i="15"/>
  <c r="N285" i="15"/>
  <c r="F147" i="14" s="1"/>
  <c r="P283" i="15"/>
  <c r="N283" i="15"/>
  <c r="F146" i="14" s="1"/>
  <c r="N282" i="15"/>
  <c r="I146" i="14" s="1"/>
  <c r="P281" i="15"/>
  <c r="N281" i="15"/>
  <c r="F145" i="14" s="1"/>
  <c r="P279" i="15"/>
  <c r="N279" i="15"/>
  <c r="F144" i="14" s="1"/>
  <c r="N278" i="15"/>
  <c r="I144" i="14" s="1"/>
  <c r="P277" i="15"/>
  <c r="N277" i="15"/>
  <c r="F143" i="14" s="1"/>
  <c r="P275" i="15"/>
  <c r="N275" i="15"/>
  <c r="F142" i="14" s="1"/>
  <c r="P273" i="15"/>
  <c r="N273" i="15"/>
  <c r="F141" i="14" s="1"/>
  <c r="N272" i="15"/>
  <c r="I141" i="14" s="1"/>
  <c r="Q271" i="15"/>
  <c r="P271" i="15"/>
  <c r="F140" i="14"/>
  <c r="I140" i="14"/>
  <c r="L140" i="14" s="1"/>
  <c r="Q269" i="15"/>
  <c r="P269" i="15"/>
  <c r="F139" i="14"/>
  <c r="L139" i="14" s="1"/>
  <c r="I139" i="14"/>
  <c r="Q267" i="15"/>
  <c r="P267" i="15"/>
  <c r="F138" i="14"/>
  <c r="I138" i="14"/>
  <c r="Q265" i="15"/>
  <c r="P265" i="15"/>
  <c r="F137" i="14"/>
  <c r="I137" i="14"/>
  <c r="Q263" i="15"/>
  <c r="P263" i="15"/>
  <c r="F136" i="14"/>
  <c r="I136" i="14"/>
  <c r="Q261" i="15"/>
  <c r="P261" i="15"/>
  <c r="F135" i="14"/>
  <c r="I135" i="14"/>
  <c r="Q259" i="15"/>
  <c r="P259" i="15"/>
  <c r="F134" i="14"/>
  <c r="I134" i="14"/>
  <c r="L134" i="14" s="1"/>
  <c r="Q257" i="15"/>
  <c r="P257" i="15"/>
  <c r="F133" i="14"/>
  <c r="L133" i="14" s="1"/>
  <c r="I133" i="14"/>
  <c r="Q255" i="15"/>
  <c r="P255" i="15"/>
  <c r="F132" i="14"/>
  <c r="I132" i="14"/>
  <c r="Q253" i="15"/>
  <c r="P253" i="15"/>
  <c r="F131" i="14"/>
  <c r="I131" i="14"/>
  <c r="L131" i="14" s="1"/>
  <c r="Q251" i="15"/>
  <c r="P251" i="15"/>
  <c r="F130" i="14"/>
  <c r="L130" i="14" s="1"/>
  <c r="I130" i="14"/>
  <c r="Q249" i="15"/>
  <c r="P249" i="15"/>
  <c r="F129" i="14"/>
  <c r="I129" i="14"/>
  <c r="Q247" i="15"/>
  <c r="P247" i="15"/>
  <c r="F128" i="14"/>
  <c r="I128" i="14"/>
  <c r="L128" i="14" s="1"/>
  <c r="Q245" i="15"/>
  <c r="P245" i="15"/>
  <c r="F127" i="14"/>
  <c r="I127" i="14"/>
  <c r="Q243" i="15"/>
  <c r="P243" i="15"/>
  <c r="F126" i="14"/>
  <c r="I126" i="14"/>
  <c r="Q241" i="15"/>
  <c r="P241" i="15"/>
  <c r="F125" i="14"/>
  <c r="I125" i="14"/>
  <c r="Q239" i="15"/>
  <c r="P239" i="15"/>
  <c r="F124" i="14"/>
  <c r="L124" i="14" s="1"/>
  <c r="I124" i="14"/>
  <c r="Q237" i="15"/>
  <c r="P237" i="15"/>
  <c r="F123" i="14"/>
  <c r="I123" i="14"/>
  <c r="Q235" i="15"/>
  <c r="P235" i="15"/>
  <c r="F122" i="14"/>
  <c r="I122" i="14"/>
  <c r="L122" i="14" s="1"/>
  <c r="Q233" i="15"/>
  <c r="P233" i="15"/>
  <c r="F121" i="14"/>
  <c r="L121" i="14" s="1"/>
  <c r="I121" i="14"/>
  <c r="Q231" i="15"/>
  <c r="P231" i="15"/>
  <c r="F120" i="14"/>
  <c r="I120" i="14"/>
  <c r="Q229" i="15"/>
  <c r="P229" i="15"/>
  <c r="F119" i="14"/>
  <c r="I119" i="14"/>
  <c r="L119" i="14" s="1"/>
  <c r="Q227" i="15"/>
  <c r="P227" i="15"/>
  <c r="F118" i="14"/>
  <c r="L118" i="14" s="1"/>
  <c r="I118" i="14"/>
  <c r="Q225" i="15"/>
  <c r="P225" i="15"/>
  <c r="F117" i="14"/>
  <c r="I117" i="14"/>
  <c r="Q223" i="15"/>
  <c r="P223" i="15"/>
  <c r="F116" i="14"/>
  <c r="I116" i="14"/>
  <c r="L116" i="14" s="1"/>
  <c r="Q221" i="15"/>
  <c r="P221" i="15"/>
  <c r="F115" i="14"/>
  <c r="L115" i="14" s="1"/>
  <c r="I115" i="14"/>
  <c r="Q219" i="15"/>
  <c r="P219" i="15"/>
  <c r="F114" i="14"/>
  <c r="N218" i="15"/>
  <c r="I114" i="14" s="1"/>
  <c r="N217" i="15"/>
  <c r="F112" i="14" s="1"/>
  <c r="N216" i="15"/>
  <c r="I112" i="14" s="1"/>
  <c r="N215" i="15"/>
  <c r="F111" i="14" s="1"/>
  <c r="N214" i="15"/>
  <c r="I111" i="14" s="1"/>
  <c r="N213" i="15"/>
  <c r="F110" i="14" s="1"/>
  <c r="N212" i="15"/>
  <c r="I110" i="14" s="1"/>
  <c r="L110" i="14" s="1"/>
  <c r="P210" i="15"/>
  <c r="N210" i="15"/>
  <c r="I109" i="14" s="1"/>
  <c r="P208" i="15"/>
  <c r="N208" i="15"/>
  <c r="I108" i="14" s="1"/>
  <c r="P206" i="15"/>
  <c r="N206" i="15"/>
  <c r="I107" i="14" s="1"/>
  <c r="P204" i="15"/>
  <c r="N204" i="15"/>
  <c r="I106" i="14" s="1"/>
  <c r="P202" i="15"/>
  <c r="N202" i="15"/>
  <c r="I105" i="14" s="1"/>
  <c r="P200" i="15"/>
  <c r="N200" i="15"/>
  <c r="I104" i="14" s="1"/>
  <c r="P198" i="15"/>
  <c r="N198" i="15"/>
  <c r="I103" i="14" s="1"/>
  <c r="P196" i="15"/>
  <c r="N196" i="15"/>
  <c r="I102" i="14" s="1"/>
  <c r="P194" i="15"/>
  <c r="N194" i="15"/>
  <c r="I101" i="14" s="1"/>
  <c r="P192" i="15"/>
  <c r="N192" i="15"/>
  <c r="I100" i="14" s="1"/>
  <c r="P190" i="15"/>
  <c r="N190" i="15"/>
  <c r="I99" i="14" s="1"/>
  <c r="P188" i="15"/>
  <c r="N188" i="15"/>
  <c r="I98" i="14" s="1"/>
  <c r="N187" i="15"/>
  <c r="F97" i="14" s="1"/>
  <c r="L97" i="14" s="1"/>
  <c r="P186" i="15"/>
  <c r="N186" i="15"/>
  <c r="I97" i="14" s="1"/>
  <c r="N185" i="15"/>
  <c r="F96" i="14" s="1"/>
  <c r="P184" i="15"/>
  <c r="N184" i="15"/>
  <c r="I96" i="14" s="1"/>
  <c r="N183" i="15"/>
  <c r="F95" i="14" s="1"/>
  <c r="Q182" i="15"/>
  <c r="P182" i="15"/>
  <c r="N182" i="15"/>
  <c r="I95" i="14" s="1"/>
  <c r="P180" i="15"/>
  <c r="N180" i="15"/>
  <c r="I94" i="14" s="1"/>
  <c r="P178" i="15"/>
  <c r="N178" i="15"/>
  <c r="I93" i="14" s="1"/>
  <c r="P176" i="15"/>
  <c r="N176" i="15"/>
  <c r="I92" i="14" s="1"/>
  <c r="P174" i="15"/>
  <c r="N174" i="15"/>
  <c r="I91" i="14" s="1"/>
  <c r="P172" i="15"/>
  <c r="N172" i="15"/>
  <c r="I90" i="14" s="1"/>
  <c r="P170" i="15"/>
  <c r="N170" i="15"/>
  <c r="I89" i="14" s="1"/>
  <c r="P168" i="15"/>
  <c r="P166" i="15"/>
  <c r="P164" i="15"/>
  <c r="P162" i="15"/>
  <c r="P160" i="15"/>
  <c r="P158" i="15"/>
  <c r="P156" i="15"/>
  <c r="P154" i="15"/>
  <c r="P152" i="15"/>
  <c r="P150" i="15"/>
  <c r="P148" i="15"/>
  <c r="P146" i="15"/>
  <c r="P144" i="15"/>
  <c r="P142" i="15"/>
  <c r="F74" i="14"/>
  <c r="P140" i="15"/>
  <c r="P138" i="15"/>
  <c r="P136" i="15"/>
  <c r="P134" i="15"/>
  <c r="F70" i="14"/>
  <c r="P132" i="15"/>
  <c r="F69" i="14"/>
  <c r="P130" i="15"/>
  <c r="F68" i="14"/>
  <c r="P128" i="15"/>
  <c r="P126" i="15"/>
  <c r="P124" i="15"/>
  <c r="F65" i="14"/>
  <c r="P122" i="15"/>
  <c r="F64" i="14"/>
  <c r="P120" i="15"/>
  <c r="P118" i="15"/>
  <c r="F62" i="14"/>
  <c r="P116" i="15"/>
  <c r="M113" i="15"/>
  <c r="M52" i="13" s="1"/>
  <c r="K113" i="15"/>
  <c r="K52" i="13" s="1"/>
  <c r="L52" i="13" s="1"/>
  <c r="P99" i="15"/>
  <c r="N99" i="15"/>
  <c r="F53" i="14" s="1"/>
  <c r="P97" i="15"/>
  <c r="N97" i="15"/>
  <c r="F52" i="14" s="1"/>
  <c r="P95" i="15"/>
  <c r="N95" i="15"/>
  <c r="F51" i="14" s="1"/>
  <c r="P93" i="15"/>
  <c r="N93" i="15"/>
  <c r="F50" i="14" s="1"/>
  <c r="P91" i="15"/>
  <c r="N91" i="15"/>
  <c r="F49" i="14" s="1"/>
  <c r="P89" i="15"/>
  <c r="N89" i="15"/>
  <c r="F48" i="14" s="1"/>
  <c r="P87" i="15"/>
  <c r="N87" i="15"/>
  <c r="F47" i="14" s="1"/>
  <c r="P85" i="15"/>
  <c r="N85" i="15"/>
  <c r="F46" i="14" s="1"/>
  <c r="P83" i="15"/>
  <c r="N83" i="15"/>
  <c r="F45" i="14" s="1"/>
  <c r="P81" i="15"/>
  <c r="N81" i="15"/>
  <c r="F44" i="14" s="1"/>
  <c r="P79" i="15"/>
  <c r="N79" i="15"/>
  <c r="F43" i="14" s="1"/>
  <c r="P77" i="15"/>
  <c r="N77" i="15"/>
  <c r="F42" i="14" s="1"/>
  <c r="P75" i="15"/>
  <c r="N75" i="15"/>
  <c r="F41" i="14" s="1"/>
  <c r="P73" i="15"/>
  <c r="N73" i="15"/>
  <c r="F40" i="14" s="1"/>
  <c r="P71" i="15"/>
  <c r="N71" i="15"/>
  <c r="F39" i="14" s="1"/>
  <c r="P69" i="15"/>
  <c r="N69" i="15"/>
  <c r="F38" i="14" s="1"/>
  <c r="P67" i="15"/>
  <c r="N67" i="15"/>
  <c r="F37" i="14" s="1"/>
  <c r="L37" i="14" s="1"/>
  <c r="N66" i="15"/>
  <c r="I37" i="14" s="1"/>
  <c r="P65" i="15"/>
  <c r="N65" i="15"/>
  <c r="F36" i="14" s="1"/>
  <c r="N64" i="15"/>
  <c r="I36" i="14" s="1"/>
  <c r="L36" i="14" s="1"/>
  <c r="P63" i="15"/>
  <c r="N63" i="15"/>
  <c r="F35" i="14" s="1"/>
  <c r="P61" i="15"/>
  <c r="N61" i="15"/>
  <c r="F34" i="14" s="1"/>
  <c r="P59" i="15"/>
  <c r="N59" i="15"/>
  <c r="F33" i="14" s="1"/>
  <c r="N58" i="15"/>
  <c r="I33" i="14" s="1"/>
  <c r="P57" i="15"/>
  <c r="N57" i="15"/>
  <c r="F32" i="14" s="1"/>
  <c r="P55" i="15"/>
  <c r="N55" i="15"/>
  <c r="F31" i="14" s="1"/>
  <c r="N54" i="15"/>
  <c r="I31" i="14" s="1"/>
  <c r="L31" i="14" s="1"/>
  <c r="P53" i="15"/>
  <c r="N53" i="15"/>
  <c r="F30" i="14" s="1"/>
  <c r="P51" i="15"/>
  <c r="N51" i="15"/>
  <c r="F29" i="14" s="1"/>
  <c r="P49" i="15"/>
  <c r="N49" i="15"/>
  <c r="F28" i="14" s="1"/>
  <c r="N48" i="15"/>
  <c r="I28" i="14" s="1"/>
  <c r="Q47" i="15"/>
  <c r="P47" i="15"/>
  <c r="F27" i="14"/>
  <c r="I27" i="14"/>
  <c r="Q45" i="15"/>
  <c r="P45" i="15"/>
  <c r="F26" i="14"/>
  <c r="I26" i="14"/>
  <c r="Q43" i="15"/>
  <c r="P43" i="15"/>
  <c r="F25" i="14"/>
  <c r="Q41" i="15"/>
  <c r="P41" i="15"/>
  <c r="F24" i="14"/>
  <c r="P39" i="15"/>
  <c r="F23" i="14"/>
  <c r="I23" i="14"/>
  <c r="Q37" i="15"/>
  <c r="P37" i="15"/>
  <c r="F22" i="14"/>
  <c r="I22" i="14"/>
  <c r="Q35" i="15"/>
  <c r="P35" i="15"/>
  <c r="F21" i="14"/>
  <c r="AF34" i="15"/>
  <c r="I21" i="14"/>
  <c r="Q33" i="15"/>
  <c r="P33" i="15"/>
  <c r="F20" i="14"/>
  <c r="AF32" i="15"/>
  <c r="I20" i="14"/>
  <c r="Q31" i="15"/>
  <c r="P31" i="15"/>
  <c r="AF30" i="15"/>
  <c r="AD30" i="15"/>
  <c r="Q29" i="15"/>
  <c r="P29" i="15"/>
  <c r="F18" i="14"/>
  <c r="AF28" i="15"/>
  <c r="AD28" i="15"/>
  <c r="I18" i="14"/>
  <c r="P27" i="15"/>
  <c r="AF26" i="15"/>
  <c r="AD26" i="15"/>
  <c r="I17" i="14"/>
  <c r="Q25" i="15"/>
  <c r="P25" i="15"/>
  <c r="F16" i="14"/>
  <c r="AF24" i="15"/>
  <c r="AD24" i="15"/>
  <c r="I16" i="14"/>
  <c r="Q23" i="15"/>
  <c r="P23" i="15"/>
  <c r="F15" i="14"/>
  <c r="AF22" i="15"/>
  <c r="AD22" i="15"/>
  <c r="I15" i="14"/>
  <c r="Q21" i="15"/>
  <c r="P21" i="15"/>
  <c r="F14" i="14"/>
  <c r="AF20" i="15"/>
  <c r="AD20" i="15"/>
  <c r="I14" i="14"/>
  <c r="Q19" i="15"/>
  <c r="P19" i="15"/>
  <c r="AF18" i="15"/>
  <c r="Q17" i="15"/>
  <c r="P17" i="15"/>
  <c r="F12" i="14"/>
  <c r="P15" i="15"/>
  <c r="AF14" i="15"/>
  <c r="I11" i="14"/>
  <c r="Q13" i="15"/>
  <c r="P13" i="15"/>
  <c r="F10" i="14"/>
  <c r="AF12" i="15"/>
  <c r="AD12" i="15"/>
  <c r="AC12" i="15"/>
  <c r="I10" i="14"/>
  <c r="Q11" i="15"/>
  <c r="P11" i="15"/>
  <c r="F9" i="14"/>
  <c r="AF10" i="15"/>
  <c r="AD10" i="15"/>
  <c r="AC10" i="15"/>
  <c r="Q9" i="15"/>
  <c r="P9" i="15"/>
  <c r="F8" i="14"/>
  <c r="L8" i="14" s="1"/>
  <c r="AF8" i="15"/>
  <c r="AD8" i="15"/>
  <c r="AC8" i="15"/>
  <c r="Q7" i="15"/>
  <c r="P7" i="15"/>
  <c r="F7" i="14"/>
  <c r="AF6" i="15"/>
  <c r="AD6" i="15"/>
  <c r="AC6" i="15"/>
  <c r="Q5" i="15"/>
  <c r="P5" i="15"/>
  <c r="F6" i="14"/>
  <c r="L6" i="14" s="1"/>
  <c r="N384" i="14"/>
  <c r="M384" i="14"/>
  <c r="L384" i="14"/>
  <c r="L383" i="14"/>
  <c r="N382" i="14"/>
  <c r="M382" i="14"/>
  <c r="N381" i="14"/>
  <c r="M381" i="14"/>
  <c r="M380" i="14"/>
  <c r="M379" i="14"/>
  <c r="M377" i="14"/>
  <c r="M375" i="14"/>
  <c r="M373" i="14"/>
  <c r="M371" i="14"/>
  <c r="N370" i="14"/>
  <c r="L370" i="14"/>
  <c r="M369" i="14"/>
  <c r="M368" i="14"/>
  <c r="M367" i="14"/>
  <c r="M366" i="14"/>
  <c r="M365" i="14"/>
  <c r="M362" i="14"/>
  <c r="M361" i="14"/>
  <c r="M360" i="14"/>
  <c r="L359" i="14"/>
  <c r="N358" i="14"/>
  <c r="M358" i="14"/>
  <c r="L358" i="14"/>
  <c r="M351" i="14"/>
  <c r="M350" i="14"/>
  <c r="M349" i="14"/>
  <c r="M348" i="14"/>
  <c r="M347" i="14"/>
  <c r="M346" i="14"/>
  <c r="M344" i="14"/>
  <c r="M343" i="14"/>
  <c r="M342" i="14"/>
  <c r="M341" i="14"/>
  <c r="M340" i="14"/>
  <c r="M338" i="14"/>
  <c r="M334" i="14"/>
  <c r="M333" i="14"/>
  <c r="M332" i="14"/>
  <c r="M331" i="14"/>
  <c r="L331" i="14"/>
  <c r="N330" i="14"/>
  <c r="L330" i="14"/>
  <c r="N329" i="14"/>
  <c r="M329" i="14"/>
  <c r="L329" i="14"/>
  <c r="N328" i="14"/>
  <c r="M328" i="14"/>
  <c r="L328" i="14"/>
  <c r="L327" i="14"/>
  <c r="N326" i="14"/>
  <c r="M326" i="14"/>
  <c r="N325" i="14"/>
  <c r="M325" i="14"/>
  <c r="L324" i="14"/>
  <c r="N323" i="14"/>
  <c r="M323" i="14"/>
  <c r="N322" i="14"/>
  <c r="M322" i="14"/>
  <c r="L321" i="14"/>
  <c r="N320" i="14"/>
  <c r="M320" i="14"/>
  <c r="N319" i="14"/>
  <c r="M319" i="14"/>
  <c r="L318" i="14"/>
  <c r="N317" i="14"/>
  <c r="M317" i="14"/>
  <c r="N316" i="14"/>
  <c r="M316" i="14"/>
  <c r="L315" i="14"/>
  <c r="N314" i="14"/>
  <c r="M314" i="14"/>
  <c r="N313" i="14"/>
  <c r="M313" i="14"/>
  <c r="L312" i="14"/>
  <c r="N311" i="14"/>
  <c r="M311" i="14"/>
  <c r="N310" i="14"/>
  <c r="M310" i="14"/>
  <c r="L309" i="14"/>
  <c r="N308" i="14"/>
  <c r="M308" i="14"/>
  <c r="N307" i="14"/>
  <c r="M307" i="14"/>
  <c r="L305" i="14"/>
  <c r="M304" i="14"/>
  <c r="N303" i="14"/>
  <c r="M303" i="14"/>
  <c r="L303" i="14"/>
  <c r="N302" i="14"/>
  <c r="L302" i="14"/>
  <c r="M301" i="14"/>
  <c r="L301" i="14"/>
  <c r="N300" i="14"/>
  <c r="M300" i="14"/>
  <c r="L300" i="14"/>
  <c r="N299" i="14"/>
  <c r="M297" i="14"/>
  <c r="M296" i="14"/>
  <c r="N293" i="14"/>
  <c r="M293" i="14"/>
  <c r="M292" i="14"/>
  <c r="M289" i="14"/>
  <c r="N288" i="14"/>
  <c r="M288" i="14"/>
  <c r="L288" i="14"/>
  <c r="N287" i="14"/>
  <c r="M285" i="14"/>
  <c r="M284" i="14"/>
  <c r="N283" i="14"/>
  <c r="L283" i="14"/>
  <c r="N281" i="14"/>
  <c r="M281" i="14"/>
  <c r="L281" i="14"/>
  <c r="M280" i="14"/>
  <c r="L280" i="14"/>
  <c r="N278" i="14"/>
  <c r="M278" i="14"/>
  <c r="L278" i="14"/>
  <c r="N277" i="14"/>
  <c r="M277" i="14"/>
  <c r="L277" i="14"/>
  <c r="N276" i="14"/>
  <c r="N275" i="14"/>
  <c r="M275" i="14"/>
  <c r="L275" i="14"/>
  <c r="M274" i="14"/>
  <c r="L274" i="14"/>
  <c r="N272" i="14"/>
  <c r="M272" i="14"/>
  <c r="L272" i="14"/>
  <c r="M271" i="14"/>
  <c r="L271" i="14"/>
  <c r="N269" i="14"/>
  <c r="M269" i="14"/>
  <c r="L269" i="14"/>
  <c r="N268" i="14"/>
  <c r="M268" i="14"/>
  <c r="L268" i="14"/>
  <c r="N266" i="14"/>
  <c r="L266" i="14"/>
  <c r="M265" i="14"/>
  <c r="L265" i="14"/>
  <c r="N263" i="14"/>
  <c r="M263" i="14"/>
  <c r="L263" i="14"/>
  <c r="M262" i="14"/>
  <c r="L262" i="14"/>
  <c r="N261" i="14"/>
  <c r="M261" i="14"/>
  <c r="N260" i="14"/>
  <c r="M260" i="14"/>
  <c r="L260" i="14"/>
  <c r="M258" i="14"/>
  <c r="L257" i="14"/>
  <c r="N256" i="14"/>
  <c r="M256" i="14"/>
  <c r="N255" i="14"/>
  <c r="M255" i="14"/>
  <c r="L255" i="14"/>
  <c r="N253" i="14"/>
  <c r="M253" i="14"/>
  <c r="M252" i="14"/>
  <c r="N251" i="14"/>
  <c r="M251" i="14"/>
  <c r="M249" i="14"/>
  <c r="M248" i="14"/>
  <c r="M247" i="14"/>
  <c r="M245" i="14"/>
  <c r="N244" i="14"/>
  <c r="M244" i="14"/>
  <c r="N243" i="14"/>
  <c r="L243" i="14"/>
  <c r="M242" i="14"/>
  <c r="N241" i="14"/>
  <c r="L241" i="14"/>
  <c r="N240" i="14"/>
  <c r="L240" i="14"/>
  <c r="M239" i="14"/>
  <c r="N238" i="14"/>
  <c r="L238" i="14"/>
  <c r="N237" i="14"/>
  <c r="L237" i="14"/>
  <c r="N236" i="14"/>
  <c r="M236" i="14"/>
  <c r="N235" i="14"/>
  <c r="L235" i="14"/>
  <c r="N234" i="14"/>
  <c r="L232" i="14"/>
  <c r="N231" i="14"/>
  <c r="M231" i="14"/>
  <c r="N230" i="14"/>
  <c r="M230" i="14"/>
  <c r="M228" i="14"/>
  <c r="M227" i="14"/>
  <c r="M226" i="14"/>
  <c r="N224" i="14"/>
  <c r="M224" i="14"/>
  <c r="M223" i="14"/>
  <c r="M222" i="14"/>
  <c r="N220" i="14"/>
  <c r="M220" i="14"/>
  <c r="N219" i="14"/>
  <c r="M219" i="14"/>
  <c r="L219" i="14"/>
  <c r="M218" i="14"/>
  <c r="N216" i="14"/>
  <c r="M216" i="14"/>
  <c r="L216" i="14"/>
  <c r="M215" i="14"/>
  <c r="L215" i="14"/>
  <c r="N214" i="14"/>
  <c r="M214" i="14"/>
  <c r="L214" i="14"/>
  <c r="L213" i="14"/>
  <c r="M212" i="14"/>
  <c r="M211" i="14"/>
  <c r="M210" i="14"/>
  <c r="N208" i="14"/>
  <c r="M208" i="14"/>
  <c r="L208" i="14"/>
  <c r="M207" i="14"/>
  <c r="N206" i="14"/>
  <c r="M206" i="14"/>
  <c r="L205" i="14"/>
  <c r="N204" i="14"/>
  <c r="M204" i="14"/>
  <c r="L204" i="14"/>
  <c r="N203" i="14"/>
  <c r="M203" i="14"/>
  <c r="L203" i="14"/>
  <c r="L202" i="14"/>
  <c r="N201" i="14"/>
  <c r="M201" i="14"/>
  <c r="L201" i="14"/>
  <c r="N200" i="14"/>
  <c r="M200" i="14"/>
  <c r="L199" i="14"/>
  <c r="N198" i="14"/>
  <c r="M198" i="14"/>
  <c r="L198" i="14"/>
  <c r="N197" i="14"/>
  <c r="M197" i="14"/>
  <c r="L196" i="14"/>
  <c r="N195" i="14"/>
  <c r="M195" i="14"/>
  <c r="L195" i="14"/>
  <c r="N194" i="14"/>
  <c r="M194" i="14"/>
  <c r="L193" i="14"/>
  <c r="N192" i="14"/>
  <c r="M192" i="14"/>
  <c r="L192" i="14"/>
  <c r="N191" i="14"/>
  <c r="M191" i="14"/>
  <c r="L190" i="14"/>
  <c r="N189" i="14"/>
  <c r="M189" i="14"/>
  <c r="L189" i="14"/>
  <c r="N188" i="14"/>
  <c r="M188" i="14"/>
  <c r="L187" i="14"/>
  <c r="N186" i="14"/>
  <c r="M186" i="14"/>
  <c r="L186" i="14"/>
  <c r="N185" i="14"/>
  <c r="M185" i="14"/>
  <c r="L184" i="14"/>
  <c r="N183" i="14"/>
  <c r="M183" i="14"/>
  <c r="L183" i="14"/>
  <c r="N182" i="14"/>
  <c r="M182" i="14"/>
  <c r="L181" i="14"/>
  <c r="M179" i="14"/>
  <c r="L179" i="14"/>
  <c r="N178" i="14"/>
  <c r="M178" i="14"/>
  <c r="L178" i="14"/>
  <c r="N177" i="14"/>
  <c r="N176" i="14"/>
  <c r="M176" i="14"/>
  <c r="L176" i="14"/>
  <c r="N175" i="14"/>
  <c r="M175" i="14"/>
  <c r="L175" i="14"/>
  <c r="L174" i="14"/>
  <c r="N173" i="14"/>
  <c r="M173" i="14"/>
  <c r="N172" i="14"/>
  <c r="M172" i="14"/>
  <c r="N170" i="14"/>
  <c r="M170" i="14"/>
  <c r="L170" i="14"/>
  <c r="N169" i="14"/>
  <c r="M169" i="14"/>
  <c r="L169" i="14"/>
  <c r="M167" i="14"/>
  <c r="L167" i="14"/>
  <c r="L166" i="14"/>
  <c r="N165" i="14"/>
  <c r="M165" i="14"/>
  <c r="N164" i="14"/>
  <c r="M164" i="14"/>
  <c r="N163" i="14"/>
  <c r="M163" i="14"/>
  <c r="L163" i="14"/>
  <c r="M162" i="14"/>
  <c r="M161" i="14"/>
  <c r="M158" i="14"/>
  <c r="N157" i="14"/>
  <c r="M157" i="14"/>
  <c r="M154" i="14"/>
  <c r="M153" i="14"/>
  <c r="N151" i="14"/>
  <c r="N150" i="14"/>
  <c r="M150" i="14"/>
  <c r="L150" i="14"/>
  <c r="M149" i="14"/>
  <c r="M146" i="14"/>
  <c r="L146" i="14"/>
  <c r="M145" i="14"/>
  <c r="N144" i="14"/>
  <c r="L144" i="14"/>
  <c r="N142" i="14"/>
  <c r="M142" i="14"/>
  <c r="N141" i="14"/>
  <c r="M141" i="14"/>
  <c r="L141" i="14"/>
  <c r="M140" i="14"/>
  <c r="N139" i="14"/>
  <c r="M139" i="14"/>
  <c r="N138" i="14"/>
  <c r="M138" i="14"/>
  <c r="L138" i="14"/>
  <c r="L137" i="14"/>
  <c r="N136" i="14"/>
  <c r="M136" i="14"/>
  <c r="L136" i="14"/>
  <c r="N135" i="14"/>
  <c r="M135" i="14"/>
  <c r="L135" i="14"/>
  <c r="N133" i="14"/>
  <c r="M133" i="14"/>
  <c r="N132" i="14"/>
  <c r="M132" i="14"/>
  <c r="L132" i="14"/>
  <c r="N131" i="14"/>
  <c r="N130" i="14"/>
  <c r="M130" i="14"/>
  <c r="N129" i="14"/>
  <c r="M129" i="14"/>
  <c r="L129" i="14"/>
  <c r="N127" i="14"/>
  <c r="M127" i="14"/>
  <c r="L127" i="14"/>
  <c r="N126" i="14"/>
  <c r="M126" i="14"/>
  <c r="L126" i="14"/>
  <c r="L125" i="14"/>
  <c r="N124" i="14"/>
  <c r="M124" i="14"/>
  <c r="N123" i="14"/>
  <c r="M123" i="14"/>
  <c r="L123" i="14"/>
  <c r="N121" i="14"/>
  <c r="M121" i="14"/>
  <c r="N120" i="14"/>
  <c r="M120" i="14"/>
  <c r="L120" i="14"/>
  <c r="N118" i="14"/>
  <c r="M118" i="14"/>
  <c r="N117" i="14"/>
  <c r="M117" i="14"/>
  <c r="L117" i="14"/>
  <c r="N115" i="14"/>
  <c r="M115" i="14"/>
  <c r="N114" i="14"/>
  <c r="M114" i="14"/>
  <c r="L114" i="14"/>
  <c r="L112" i="14"/>
  <c r="M111" i="14"/>
  <c r="L111" i="14"/>
  <c r="N110" i="14"/>
  <c r="M110" i="14"/>
  <c r="M109" i="14"/>
  <c r="M107" i="14"/>
  <c r="M106" i="14"/>
  <c r="M105" i="14"/>
  <c r="M103" i="14"/>
  <c r="M102" i="14"/>
  <c r="M101" i="14"/>
  <c r="M99" i="14"/>
  <c r="M98" i="14"/>
  <c r="N97" i="14"/>
  <c r="M97" i="14"/>
  <c r="N96" i="14"/>
  <c r="M96" i="14"/>
  <c r="L96" i="14"/>
  <c r="N95" i="14"/>
  <c r="M95" i="14"/>
  <c r="L95" i="14"/>
  <c r="M94" i="14"/>
  <c r="M93" i="14"/>
  <c r="M91" i="14"/>
  <c r="M90" i="14"/>
  <c r="M89" i="14"/>
  <c r="M87" i="14"/>
  <c r="M86" i="14"/>
  <c r="M85" i="14"/>
  <c r="M84" i="14"/>
  <c r="M83" i="14"/>
  <c r="M81" i="14"/>
  <c r="M80" i="14"/>
  <c r="M79" i="14"/>
  <c r="M78" i="14"/>
  <c r="M77" i="14"/>
  <c r="M75" i="14"/>
  <c r="M74" i="14"/>
  <c r="M73" i="14"/>
  <c r="M71" i="14"/>
  <c r="M70" i="14"/>
  <c r="M69" i="14"/>
  <c r="M67" i="14"/>
  <c r="M66" i="14"/>
  <c r="M65" i="14"/>
  <c r="M63" i="14"/>
  <c r="M62" i="14"/>
  <c r="M60" i="14"/>
  <c r="L60" i="14"/>
  <c r="L59" i="14"/>
  <c r="N58" i="14"/>
  <c r="M58" i="14"/>
  <c r="L58" i="14"/>
  <c r="L57" i="14"/>
  <c r="N56" i="14"/>
  <c r="M56" i="14"/>
  <c r="L56" i="14"/>
  <c r="L55" i="14"/>
  <c r="M54" i="14"/>
  <c r="M53" i="14"/>
  <c r="M51" i="14"/>
  <c r="M50" i="14"/>
  <c r="M49" i="14"/>
  <c r="M46" i="14"/>
  <c r="M45" i="14"/>
  <c r="M42" i="14"/>
  <c r="M41" i="14"/>
  <c r="M38" i="14"/>
  <c r="N37" i="14"/>
  <c r="M37" i="14"/>
  <c r="N36" i="14"/>
  <c r="M36" i="14"/>
  <c r="M34" i="14"/>
  <c r="M33" i="14"/>
  <c r="L33" i="14"/>
  <c r="M32" i="14"/>
  <c r="M31" i="14"/>
  <c r="M30" i="14"/>
  <c r="M29" i="14"/>
  <c r="N28" i="14"/>
  <c r="L28" i="14"/>
  <c r="N26" i="14"/>
  <c r="N23" i="14"/>
  <c r="L21" i="14"/>
  <c r="N20" i="14"/>
  <c r="N17" i="14"/>
  <c r="L16" i="14"/>
  <c r="N14" i="14"/>
  <c r="L14" i="14"/>
  <c r="N11" i="14"/>
  <c r="M9" i="14"/>
  <c r="L9" i="14"/>
  <c r="M8" i="14"/>
  <c r="N6" i="14"/>
  <c r="M6" i="14"/>
  <c r="O155" i="13"/>
  <c r="O154" i="13"/>
  <c r="M133" i="13"/>
  <c r="N133" i="13" s="1"/>
  <c r="L133" i="13"/>
  <c r="K133" i="13"/>
  <c r="O133" i="13" s="1"/>
  <c r="O132" i="13"/>
  <c r="M132" i="13"/>
  <c r="N132" i="13" s="1"/>
  <c r="L132" i="13"/>
  <c r="M131" i="13"/>
  <c r="N131" i="13" s="1"/>
  <c r="L131" i="13"/>
  <c r="K131" i="13"/>
  <c r="M130" i="13"/>
  <c r="N130" i="13" s="1"/>
  <c r="K130" i="13"/>
  <c r="O130" i="13" s="1"/>
  <c r="O128" i="13"/>
  <c r="O127" i="13"/>
  <c r="N103" i="13"/>
  <c r="M103" i="13"/>
  <c r="L103" i="13"/>
  <c r="L127" i="13" s="1"/>
  <c r="O101" i="13"/>
  <c r="O100" i="13"/>
  <c r="O87" i="13"/>
  <c r="N87" i="13"/>
  <c r="M87" i="13"/>
  <c r="K87" i="13"/>
  <c r="L87" i="13" s="1"/>
  <c r="H87" i="13"/>
  <c r="I87" i="13" s="1"/>
  <c r="N86" i="13"/>
  <c r="M85" i="13"/>
  <c r="N85" i="13" s="1"/>
  <c r="N84" i="13"/>
  <c r="M84" i="13"/>
  <c r="L84" i="13"/>
  <c r="M83" i="13"/>
  <c r="N83" i="13" s="1"/>
  <c r="M82" i="13"/>
  <c r="N82" i="13" s="1"/>
  <c r="L82" i="13"/>
  <c r="N80" i="13"/>
  <c r="L80" i="13"/>
  <c r="K79" i="13"/>
  <c r="L79" i="13" s="1"/>
  <c r="H79" i="13"/>
  <c r="N76" i="13"/>
  <c r="L76" i="13"/>
  <c r="O74" i="13"/>
  <c r="O73" i="13"/>
  <c r="N52" i="13"/>
  <c r="O50" i="13"/>
  <c r="O49" i="13"/>
  <c r="L49" i="13"/>
  <c r="P33" i="13"/>
  <c r="N31" i="13"/>
  <c r="L31" i="13"/>
  <c r="N29" i="13"/>
  <c r="N49" i="13" s="1"/>
  <c r="L29" i="13"/>
  <c r="O27" i="13"/>
  <c r="O26" i="13"/>
  <c r="E37" i="12"/>
  <c r="F37" i="12" s="1"/>
  <c r="G37" i="12" s="1"/>
  <c r="E36" i="12"/>
  <c r="B9" i="1" s="1"/>
  <c r="E32" i="12"/>
  <c r="G32" i="12" s="1"/>
  <c r="G31" i="12"/>
  <c r="F30" i="12"/>
  <c r="G30" i="12" s="1"/>
  <c r="G22" i="12"/>
  <c r="G21" i="12"/>
  <c r="G19" i="12"/>
  <c r="F18" i="12"/>
  <c r="G18" i="12" s="1"/>
  <c r="G17" i="12"/>
  <c r="G16" i="12"/>
  <c r="G15" i="12"/>
  <c r="G14" i="12"/>
  <c r="G13" i="12"/>
  <c r="D15" i="10"/>
  <c r="D14" i="10"/>
  <c r="D13" i="10"/>
  <c r="D12" i="10"/>
  <c r="AF110" i="15"/>
  <c r="AF639" i="15"/>
  <c r="I349" i="15"/>
  <c r="I649" i="15"/>
  <c r="K349" i="15"/>
  <c r="AF165" i="15"/>
  <c r="AF50" i="15"/>
  <c r="AF580" i="15"/>
  <c r="K649" i="15"/>
  <c r="AF452" i="15"/>
  <c r="AF58" i="15"/>
  <c r="AF66" i="15"/>
  <c r="AF86" i="15"/>
  <c r="AF568" i="15"/>
  <c r="AF658" i="15"/>
  <c r="AF80" i="15"/>
  <c r="AF72" i="15"/>
  <c r="AF592" i="15"/>
  <c r="AF98" i="15"/>
  <c r="K725" i="15"/>
  <c r="AF54" i="15"/>
  <c r="M725" i="15"/>
  <c r="AF104" i="15"/>
  <c r="M649" i="15"/>
  <c r="AF586" i="15"/>
  <c r="O349" i="15"/>
  <c r="AF74" i="15"/>
  <c r="N155" i="13"/>
  <c r="AF92" i="15"/>
  <c r="AF320" i="15"/>
  <c r="AF685" i="15"/>
  <c r="O649" i="15"/>
  <c r="AF274" i="15"/>
  <c r="M349" i="15"/>
  <c r="AF746" i="15"/>
  <c r="AF574" i="15"/>
  <c r="AF477" i="15"/>
  <c r="AF62" i="15"/>
  <c r="AF550" i="15"/>
  <c r="AF556" i="15"/>
  <c r="F161" i="20" l="1"/>
  <c r="F538" i="20"/>
  <c r="F562" i="20"/>
  <c r="J156" i="16"/>
  <c r="M416" i="15" s="1"/>
  <c r="J600" i="20"/>
  <c r="G88" i="18" s="1"/>
  <c r="I166" i="16" s="1"/>
  <c r="H152" i="20"/>
  <c r="F574" i="20"/>
  <c r="J209" i="20"/>
  <c r="G30" i="18" s="1"/>
  <c r="I31" i="16" s="1"/>
  <c r="L199" i="15" s="1"/>
  <c r="L554" i="15"/>
  <c r="J199" i="16"/>
  <c r="M554" i="15" s="1"/>
  <c r="L197" i="15"/>
  <c r="J30" i="16"/>
  <c r="M197" i="15" s="1"/>
  <c r="J68" i="20"/>
  <c r="G12" i="18" s="1"/>
  <c r="I13" i="16" s="1"/>
  <c r="L163" i="15" s="1"/>
  <c r="H88" i="18"/>
  <c r="J291" i="20"/>
  <c r="G42" i="18" s="1"/>
  <c r="I63" i="16" s="1"/>
  <c r="F407" i="20"/>
  <c r="F637" i="20"/>
  <c r="H402" i="20"/>
  <c r="J96" i="20"/>
  <c r="G16" i="18" s="1"/>
  <c r="J121" i="16"/>
  <c r="M314" i="15" s="1"/>
  <c r="L645" i="20"/>
  <c r="L182" i="14"/>
  <c r="L185" i="14"/>
  <c r="L188" i="14"/>
  <c r="L194" i="14"/>
  <c r="L197" i="14"/>
  <c r="L200" i="14"/>
  <c r="L206" i="14"/>
  <c r="L239" i="14"/>
  <c r="L247" i="14"/>
  <c r="L304" i="14"/>
  <c r="L171" i="14"/>
  <c r="L172" i="14"/>
  <c r="L254" i="14"/>
  <c r="L307" i="14"/>
  <c r="L310" i="14"/>
  <c r="L313" i="14"/>
  <c r="L316" i="14"/>
  <c r="L319" i="14"/>
  <c r="L322" i="14"/>
  <c r="L325" i="14"/>
  <c r="L250" i="14"/>
  <c r="L10" i="14"/>
  <c r="L164" i="14"/>
  <c r="L338" i="14"/>
  <c r="I158" i="16"/>
  <c r="H82" i="18"/>
  <c r="L556" i="15"/>
  <c r="J200" i="16"/>
  <c r="M556" i="15" s="1"/>
  <c r="L276" i="15"/>
  <c r="J102" i="16"/>
  <c r="M276" i="15" s="1"/>
  <c r="F152" i="20"/>
  <c r="J459" i="20"/>
  <c r="G66" i="18" s="1"/>
  <c r="I120" i="16" s="1"/>
  <c r="J518" i="20"/>
  <c r="L518" i="20" s="1"/>
  <c r="F67" i="20"/>
  <c r="J378" i="20"/>
  <c r="G54" i="18" s="1"/>
  <c r="I76" i="16" s="1"/>
  <c r="F93" i="20"/>
  <c r="F433" i="20"/>
  <c r="J82" i="20"/>
  <c r="G14" i="18" s="1"/>
  <c r="H14" i="18" s="1"/>
  <c r="F130" i="20"/>
  <c r="F171" i="20"/>
  <c r="F301" i="20"/>
  <c r="J558" i="20"/>
  <c r="G81" i="18" s="1"/>
  <c r="J114" i="20"/>
  <c r="G19" i="18" s="1"/>
  <c r="I20" i="16" s="1"/>
  <c r="L177" i="15" s="1"/>
  <c r="F264" i="20"/>
  <c r="F349" i="20"/>
  <c r="F420" i="20"/>
  <c r="L420" i="20" s="1"/>
  <c r="J435" i="20"/>
  <c r="G62" i="18" s="1"/>
  <c r="I116" i="16" s="1"/>
  <c r="J75" i="20"/>
  <c r="G13" i="18" s="1"/>
  <c r="J606" i="20"/>
  <c r="G89" i="18" s="1"/>
  <c r="I167" i="16" s="1"/>
  <c r="F29" i="20"/>
  <c r="F213" i="20"/>
  <c r="L538" i="20"/>
  <c r="D9" i="1"/>
  <c r="L261" i="14"/>
  <c r="L264" i="14"/>
  <c r="L267" i="14"/>
  <c r="L270" i="14"/>
  <c r="L273" i="14"/>
  <c r="L276" i="14"/>
  <c r="L279" i="14"/>
  <c r="L236" i="14"/>
  <c r="L100" i="13"/>
  <c r="K7" i="13" s="1"/>
  <c r="L7" i="13" s="1"/>
  <c r="L130" i="13"/>
  <c r="O131" i="13"/>
  <c r="K69" i="14"/>
  <c r="N69" i="14" s="1"/>
  <c r="O130" i="15"/>
  <c r="Q130" i="15" s="1"/>
  <c r="K63" i="14"/>
  <c r="N63" i="14" s="1"/>
  <c r="O118" i="15"/>
  <c r="K75" i="14"/>
  <c r="N75" i="14" s="1"/>
  <c r="O142" i="15"/>
  <c r="Q142" i="15" s="1"/>
  <c r="O122" i="15"/>
  <c r="O134" i="15"/>
  <c r="K78" i="14"/>
  <c r="I70" i="14"/>
  <c r="L70" i="14" s="1"/>
  <c r="I62" i="14"/>
  <c r="L62" i="14" s="1"/>
  <c r="L87" i="14"/>
  <c r="O128" i="15"/>
  <c r="L69" i="14"/>
  <c r="I64" i="14"/>
  <c r="N87" i="14"/>
  <c r="Q118" i="15"/>
  <c r="L79" i="14"/>
  <c r="L72" i="14"/>
  <c r="L63" i="14"/>
  <c r="L75" i="14"/>
  <c r="L66" i="14"/>
  <c r="K216" i="15"/>
  <c r="K54" i="13" s="1"/>
  <c r="L54" i="13" s="1"/>
  <c r="L73" i="13" s="1"/>
  <c r="K5" i="13" s="1"/>
  <c r="L5" i="13" s="1"/>
  <c r="M78" i="13"/>
  <c r="N78" i="13" s="1"/>
  <c r="N100" i="13" s="1"/>
  <c r="M7" i="13" s="1"/>
  <c r="N7" i="13" s="1"/>
  <c r="L67" i="14"/>
  <c r="L73" i="14"/>
  <c r="L64" i="14"/>
  <c r="L68" i="14"/>
  <c r="L71" i="14"/>
  <c r="L74" i="14"/>
  <c r="L65" i="14"/>
  <c r="O113" i="15"/>
  <c r="L18" i="14"/>
  <c r="N10" i="14"/>
  <c r="N13" i="14"/>
  <c r="N16" i="14"/>
  <c r="N22" i="14"/>
  <c r="N25" i="14"/>
  <c r="N7" i="14"/>
  <c r="L22" i="14"/>
  <c r="L20" i="14"/>
  <c r="M26" i="14"/>
  <c r="M25" i="14"/>
  <c r="L19" i="14"/>
  <c r="L13" i="14"/>
  <c r="L11" i="14"/>
  <c r="L23" i="14"/>
  <c r="L26" i="14"/>
  <c r="L27" i="14"/>
  <c r="L15" i="14"/>
  <c r="L25" i="14"/>
  <c r="L7" i="14"/>
  <c r="L12" i="14"/>
  <c r="L17" i="14"/>
  <c r="L24" i="14"/>
  <c r="L50" i="15"/>
  <c r="J53" i="16"/>
  <c r="M50" i="15" s="1"/>
  <c r="I155" i="16"/>
  <c r="H79" i="18"/>
  <c r="J13" i="16"/>
  <c r="M163" i="15" s="1"/>
  <c r="L424" i="15"/>
  <c r="J160" i="16"/>
  <c r="M424" i="15" s="1"/>
  <c r="J31" i="16"/>
  <c r="M199" i="15" s="1"/>
  <c r="J107" i="16"/>
  <c r="M286" i="15" s="1"/>
  <c r="J343" i="20"/>
  <c r="G49" i="18" s="1"/>
  <c r="I71" i="16" s="1"/>
  <c r="J402" i="20"/>
  <c r="G57" i="18" s="1"/>
  <c r="J486" i="20"/>
  <c r="G70" i="18" s="1"/>
  <c r="J64" i="16"/>
  <c r="M72" i="15" s="1"/>
  <c r="J108" i="16"/>
  <c r="M288" i="15" s="1"/>
  <c r="J108" i="20"/>
  <c r="G18" i="18" s="1"/>
  <c r="I213" i="16" s="1"/>
  <c r="J215" i="20"/>
  <c r="G31" i="18" s="1"/>
  <c r="I32" i="16" s="1"/>
  <c r="K490" i="20"/>
  <c r="H540" i="20"/>
  <c r="F78" i="18" s="1"/>
  <c r="G36" i="12"/>
  <c r="J33" i="16"/>
  <c r="M203" i="15" s="1"/>
  <c r="J163" i="16"/>
  <c r="M430" i="15" s="1"/>
  <c r="J60" i="20"/>
  <c r="G11" i="18" s="1"/>
  <c r="I12" i="16" s="1"/>
  <c r="L161" i="15" s="1"/>
  <c r="J164" i="20"/>
  <c r="G24" i="18" s="1"/>
  <c r="H24" i="18" s="1"/>
  <c r="K391" i="20"/>
  <c r="J480" i="20"/>
  <c r="G69" i="18" s="1"/>
  <c r="I127" i="16" s="1"/>
  <c r="J165" i="16"/>
  <c r="M434" i="15" s="1"/>
  <c r="J5" i="16"/>
  <c r="M145" i="15" s="1"/>
  <c r="J115" i="16"/>
  <c r="M302" i="15" s="1"/>
  <c r="J24" i="20"/>
  <c r="G6" i="18" s="1"/>
  <c r="I7" i="16" s="1"/>
  <c r="L149" i="15" s="1"/>
  <c r="J441" i="20"/>
  <c r="G63" i="18" s="1"/>
  <c r="I117" i="16" s="1"/>
  <c r="J570" i="20"/>
  <c r="G83" i="18" s="1"/>
  <c r="I159" i="16" s="1"/>
  <c r="J618" i="20"/>
  <c r="G91" i="18" s="1"/>
  <c r="I169" i="16" s="1"/>
  <c r="J386" i="20"/>
  <c r="G55" i="18" s="1"/>
  <c r="H55" i="18" s="1"/>
  <c r="J493" i="20"/>
  <c r="G71" i="18" s="1"/>
  <c r="I210" i="16" s="1"/>
  <c r="J588" i="20"/>
  <c r="G86" i="18" s="1"/>
  <c r="I164" i="16" s="1"/>
  <c r="H519" i="20"/>
  <c r="K636" i="20"/>
  <c r="L153" i="20"/>
  <c r="F159" i="20"/>
  <c r="L159" i="20" s="1"/>
  <c r="J45" i="20"/>
  <c r="G9" i="18" s="1"/>
  <c r="I10" i="16" s="1"/>
  <c r="L157" i="15" s="1"/>
  <c r="F150" i="20"/>
  <c r="L104" i="13"/>
  <c r="M104" i="13"/>
  <c r="N104" i="13" s="1"/>
  <c r="H179" i="14"/>
  <c r="Q348" i="15"/>
  <c r="H331" i="14"/>
  <c r="K673" i="15"/>
  <c r="M673" i="15"/>
  <c r="Q648" i="15"/>
  <c r="P87" i="13"/>
  <c r="I483" i="15"/>
  <c r="H247" i="14" s="1"/>
  <c r="N247" i="14" s="1"/>
  <c r="I79" i="13"/>
  <c r="H60" i="14"/>
  <c r="H52" i="13"/>
  <c r="K404" i="15"/>
  <c r="K560" i="15"/>
  <c r="K202" i="16"/>
  <c r="O560" i="15" s="1"/>
  <c r="Q559" i="15" s="1"/>
  <c r="H79" i="14"/>
  <c r="H232" i="14"/>
  <c r="H80" i="13"/>
  <c r="K331" i="14"/>
  <c r="H86" i="13"/>
  <c r="H167" i="14"/>
  <c r="H76" i="13"/>
  <c r="I418" i="15"/>
  <c r="K215" i="14" s="1"/>
  <c r="N215" i="14" s="1"/>
  <c r="H305" i="14"/>
  <c r="H84" i="13"/>
  <c r="K258" i="14"/>
  <c r="H82" i="13"/>
  <c r="K428" i="15"/>
  <c r="K162" i="16"/>
  <c r="O428" i="15" s="1"/>
  <c r="Q427" i="15" s="1"/>
  <c r="K179" i="14"/>
  <c r="H78" i="13"/>
  <c r="O681" i="15"/>
  <c r="J244" i="16"/>
  <c r="K156" i="16"/>
  <c r="O416" i="15" s="1"/>
  <c r="Q415" i="15" s="1"/>
  <c r="H92" i="17"/>
  <c r="P611" i="19"/>
  <c r="O744" i="15"/>
  <c r="L179" i="15"/>
  <c r="J21" i="16"/>
  <c r="M179" i="15" s="1"/>
  <c r="AD471" i="19"/>
  <c r="H470" i="19" s="1"/>
  <c r="J16" i="20"/>
  <c r="J17" i="20" s="1"/>
  <c r="G5" i="18" s="1"/>
  <c r="F16" i="20"/>
  <c r="P604" i="19"/>
  <c r="I109" i="16"/>
  <c r="I57" i="16"/>
  <c r="E56" i="20"/>
  <c r="L55" i="20"/>
  <c r="P592" i="19"/>
  <c r="I16" i="16"/>
  <c r="I211" i="16"/>
  <c r="I111" i="16"/>
  <c r="P463" i="19"/>
  <c r="P469" i="19"/>
  <c r="P544" i="19"/>
  <c r="L14" i="20"/>
  <c r="K151" i="20"/>
  <c r="F151" i="20"/>
  <c r="L151" i="20" s="1"/>
  <c r="P574" i="19"/>
  <c r="I25" i="16"/>
  <c r="I61" i="16"/>
  <c r="P550" i="19"/>
  <c r="I105" i="16"/>
  <c r="I55" i="16"/>
  <c r="I8" i="16"/>
  <c r="L151" i="15" s="1"/>
  <c r="E28" i="20"/>
  <c r="L27" i="20"/>
  <c r="F64" i="20"/>
  <c r="K64" i="20"/>
  <c r="I110" i="16"/>
  <c r="I15" i="16"/>
  <c r="L167" i="15" s="1"/>
  <c r="J52" i="20"/>
  <c r="G10" i="18" s="1"/>
  <c r="I17" i="16"/>
  <c r="I59" i="16"/>
  <c r="K168" i="20"/>
  <c r="F168" i="20"/>
  <c r="L168" i="20" s="1"/>
  <c r="L242" i="20"/>
  <c r="K42" i="20"/>
  <c r="P586" i="19"/>
  <c r="K72" i="20"/>
  <c r="F72" i="20"/>
  <c r="E406" i="20"/>
  <c r="L405" i="20"/>
  <c r="I56" i="16"/>
  <c r="I14" i="16"/>
  <c r="L165" i="15" s="1"/>
  <c r="E79" i="20"/>
  <c r="L78" i="20"/>
  <c r="G239" i="20"/>
  <c r="H239" i="20" s="1"/>
  <c r="G36" i="16"/>
  <c r="G78" i="16"/>
  <c r="L597" i="20"/>
  <c r="P598" i="19"/>
  <c r="P610" i="19"/>
  <c r="I106" i="16"/>
  <c r="I9" i="16"/>
  <c r="E86" i="20"/>
  <c r="L85" i="20"/>
  <c r="L276" i="20"/>
  <c r="P580" i="19"/>
  <c r="L71" i="20"/>
  <c r="L105" i="20"/>
  <c r="F231" i="20"/>
  <c r="L230" i="20"/>
  <c r="J191" i="20"/>
  <c r="G27" i="18" s="1"/>
  <c r="I28" i="16" s="1"/>
  <c r="G125" i="16"/>
  <c r="G101" i="16"/>
  <c r="L123" i="20"/>
  <c r="J227" i="20"/>
  <c r="G33" i="18" s="1"/>
  <c r="I34" i="16" s="1"/>
  <c r="I238" i="20"/>
  <c r="J238" i="20" s="1"/>
  <c r="I35" i="16"/>
  <c r="I77" i="16"/>
  <c r="L400" i="20"/>
  <c r="F413" i="20"/>
  <c r="K413" i="20"/>
  <c r="L476" i="20"/>
  <c r="E76" i="18"/>
  <c r="AA272" i="21"/>
  <c r="I272" i="21"/>
  <c r="K383" i="20"/>
  <c r="F383" i="20"/>
  <c r="L383" i="20" s="1"/>
  <c r="H526" i="20"/>
  <c r="F76" i="18" s="1"/>
  <c r="J277" i="20"/>
  <c r="J279" i="20" s="1"/>
  <c r="G40" i="18" s="1"/>
  <c r="F277" i="20"/>
  <c r="J313" i="20"/>
  <c r="F313" i="20"/>
  <c r="J361" i="20"/>
  <c r="F361" i="20"/>
  <c r="K470" i="20"/>
  <c r="F470" i="20"/>
  <c r="L470" i="20" s="1"/>
  <c r="G85" i="21"/>
  <c r="G194" i="19" s="1"/>
  <c r="O85" i="21"/>
  <c r="I114" i="21"/>
  <c r="AF113" i="21"/>
  <c r="AA171" i="21"/>
  <c r="I171" i="21"/>
  <c r="AA260" i="21"/>
  <c r="I260" i="21"/>
  <c r="O260" i="21" s="1"/>
  <c r="J366" i="20"/>
  <c r="F366" i="20"/>
  <c r="L149" i="20"/>
  <c r="F160" i="20"/>
  <c r="L160" i="20" s="1"/>
  <c r="L256" i="20"/>
  <c r="G221" i="21"/>
  <c r="G499" i="19" s="1"/>
  <c r="O221" i="21"/>
  <c r="I285" i="21"/>
  <c r="AF284" i="21"/>
  <c r="L63" i="20"/>
  <c r="J146" i="20"/>
  <c r="L152" i="20"/>
  <c r="L234" i="20"/>
  <c r="J266" i="20"/>
  <c r="G38" i="18" s="1"/>
  <c r="L340" i="20"/>
  <c r="L389" i="20"/>
  <c r="I80" i="21"/>
  <c r="O80" i="21" s="1"/>
  <c r="AF79" i="21"/>
  <c r="AB189" i="21"/>
  <c r="I189" i="21"/>
  <c r="I212" i="16"/>
  <c r="I113" i="16"/>
  <c r="I18" i="16"/>
  <c r="J155" i="20"/>
  <c r="G23" i="18" s="1"/>
  <c r="H155" i="20"/>
  <c r="L360" i="20"/>
  <c r="F382" i="20"/>
  <c r="L382" i="20" s="1"/>
  <c r="K382" i="20"/>
  <c r="J423" i="20"/>
  <c r="G60" i="18" s="1"/>
  <c r="K515" i="20"/>
  <c r="F515" i="20"/>
  <c r="I205" i="16"/>
  <c r="I154" i="16"/>
  <c r="E99" i="18"/>
  <c r="L667" i="20"/>
  <c r="AB103" i="21"/>
  <c r="I103" i="21"/>
  <c r="AA123" i="21"/>
  <c r="I123" i="21"/>
  <c r="O123" i="21" s="1"/>
  <c r="AB199" i="21"/>
  <c r="I199" i="21"/>
  <c r="O199" i="21" s="1"/>
  <c r="L141" i="20"/>
  <c r="L158" i="20"/>
  <c r="E178" i="20"/>
  <c r="E177" i="20"/>
  <c r="I239" i="20"/>
  <c r="J239" i="20" s="1"/>
  <c r="I36" i="16"/>
  <c r="I78" i="16"/>
  <c r="L346" i="20"/>
  <c r="J363" i="20"/>
  <c r="G52" i="18" s="1"/>
  <c r="I74" i="16" s="1"/>
  <c r="F469" i="20"/>
  <c r="K469" i="20"/>
  <c r="J526" i="20"/>
  <c r="G76" i="18" s="1"/>
  <c r="F540" i="20"/>
  <c r="L536" i="20"/>
  <c r="L585" i="20"/>
  <c r="E186" i="20"/>
  <c r="L185" i="20"/>
  <c r="G68" i="16"/>
  <c r="G29" i="16"/>
  <c r="L212" i="20"/>
  <c r="E270" i="20"/>
  <c r="L269" i="20"/>
  <c r="L294" i="20"/>
  <c r="K392" i="20"/>
  <c r="F392" i="20"/>
  <c r="L392" i="20" s="1"/>
  <c r="L456" i="20"/>
  <c r="G205" i="16"/>
  <c r="G154" i="16"/>
  <c r="L150" i="20"/>
  <c r="J173" i="20"/>
  <c r="G25" i="18" s="1"/>
  <c r="I26" i="16" s="1"/>
  <c r="J182" i="20"/>
  <c r="G26" i="18" s="1"/>
  <c r="I27" i="16" s="1"/>
  <c r="E35" i="18"/>
  <c r="L235" i="20"/>
  <c r="J285" i="20"/>
  <c r="G41" i="18" s="1"/>
  <c r="I62" i="16" s="1"/>
  <c r="L385" i="20"/>
  <c r="L438" i="20"/>
  <c r="J473" i="20"/>
  <c r="G68" i="18" s="1"/>
  <c r="K516" i="20"/>
  <c r="F516" i="20"/>
  <c r="L516" i="20" s="1"/>
  <c r="L603" i="20"/>
  <c r="K169" i="20"/>
  <c r="L567" i="20"/>
  <c r="L579" i="20"/>
  <c r="I39" i="21"/>
  <c r="O39" i="21" s="1"/>
  <c r="AF38" i="21"/>
  <c r="AA94" i="21"/>
  <c r="I94" i="21"/>
  <c r="O94" i="21" s="1"/>
  <c r="AA180" i="21"/>
  <c r="I180" i="21"/>
  <c r="O180" i="21" s="1"/>
  <c r="I290" i="21"/>
  <c r="AF289" i="21"/>
  <c r="E390" i="20"/>
  <c r="AA48" i="21"/>
  <c r="I48" i="21"/>
  <c r="AA132" i="21"/>
  <c r="I132" i="21"/>
  <c r="I211" i="21"/>
  <c r="O211" i="21" s="1"/>
  <c r="AF210" i="21"/>
  <c r="I242" i="21"/>
  <c r="O242" i="21" s="1"/>
  <c r="AF241" i="21"/>
  <c r="AA254" i="21"/>
  <c r="I254" i="21"/>
  <c r="L555" i="20"/>
  <c r="AA9" i="21"/>
  <c r="I9" i="21"/>
  <c r="O9" i="21" s="1"/>
  <c r="I21" i="21"/>
  <c r="AG19" i="21"/>
  <c r="AA34" i="21"/>
  <c r="I34" i="21"/>
  <c r="AA57" i="21"/>
  <c r="I57" i="21"/>
  <c r="O57" i="21" s="1"/>
  <c r="AA141" i="21"/>
  <c r="I141" i="21"/>
  <c r="O141" i="21" s="1"/>
  <c r="G248" i="21"/>
  <c r="G551" i="19" s="1"/>
  <c r="O248" i="21"/>
  <c r="G275" i="21"/>
  <c r="G605" i="19" s="1"/>
  <c r="O275" i="21"/>
  <c r="G238" i="20"/>
  <c r="H238" i="20" s="1"/>
  <c r="G35" i="16"/>
  <c r="G77" i="16"/>
  <c r="J505" i="20"/>
  <c r="G73" i="18" s="1"/>
  <c r="L524" i="20"/>
  <c r="F688" i="20"/>
  <c r="L684" i="20"/>
  <c r="G20" i="21"/>
  <c r="G44" i="19" s="1"/>
  <c r="O20" i="21"/>
  <c r="AA66" i="21"/>
  <c r="I66" i="21"/>
  <c r="I104" i="21"/>
  <c r="AF103" i="21"/>
  <c r="AA117" i="21"/>
  <c r="I117" i="21"/>
  <c r="AA150" i="21"/>
  <c r="I150" i="21"/>
  <c r="AA269" i="21"/>
  <c r="I269" i="21"/>
  <c r="H646" i="20"/>
  <c r="F95" i="18" s="1"/>
  <c r="G200" i="16" s="1"/>
  <c r="L641" i="20"/>
  <c r="H681" i="20"/>
  <c r="F101" i="18" s="1"/>
  <c r="L677" i="20"/>
  <c r="H688" i="20"/>
  <c r="F102" i="18" s="1"/>
  <c r="AA42" i="21"/>
  <c r="I42" i="21"/>
  <c r="O42" i="21" s="1"/>
  <c r="AA75" i="21"/>
  <c r="I75" i="21"/>
  <c r="O75" i="21" s="1"/>
  <c r="AD84" i="21"/>
  <c r="I84" i="21"/>
  <c r="O84" i="21" s="1"/>
  <c r="AA126" i="21"/>
  <c r="I126" i="21"/>
  <c r="O126" i="21" s="1"/>
  <c r="AB159" i="21"/>
  <c r="I159" i="21"/>
  <c r="O159" i="21" s="1"/>
  <c r="J657" i="20"/>
  <c r="J659" i="20" s="1"/>
  <c r="G97" i="18" s="1"/>
  <c r="F657" i="20"/>
  <c r="J499" i="20"/>
  <c r="G72" i="18" s="1"/>
  <c r="AA19" i="21"/>
  <c r="I19" i="21"/>
  <c r="AA51" i="21"/>
  <c r="I51" i="21"/>
  <c r="AA135" i="21"/>
  <c r="I135" i="21"/>
  <c r="AA168" i="21"/>
  <c r="I168" i="21"/>
  <c r="AA206" i="21"/>
  <c r="I206" i="21"/>
  <c r="G237" i="21"/>
  <c r="G530" i="19" s="1"/>
  <c r="O237" i="21"/>
  <c r="L517" i="20"/>
  <c r="E103" i="18"/>
  <c r="AA12" i="21"/>
  <c r="I12" i="21"/>
  <c r="O12" i="21" s="1"/>
  <c r="AA60" i="21"/>
  <c r="I60" i="21"/>
  <c r="O60" i="21" s="1"/>
  <c r="AA91" i="21"/>
  <c r="I91" i="21"/>
  <c r="O91" i="21" s="1"/>
  <c r="I99" i="21"/>
  <c r="AF98" i="21"/>
  <c r="AA144" i="21"/>
  <c r="I144" i="21"/>
  <c r="O144" i="21" s="1"/>
  <c r="AA177" i="21"/>
  <c r="I177" i="21"/>
  <c r="O177" i="21" s="1"/>
  <c r="I300" i="21"/>
  <c r="AF299" i="21"/>
  <c r="L288" i="20"/>
  <c r="K634" i="20"/>
  <c r="AA25" i="21"/>
  <c r="I25" i="21"/>
  <c r="O25" i="21" s="1"/>
  <c r="AA69" i="21"/>
  <c r="I69" i="21"/>
  <c r="AA153" i="21"/>
  <c r="I153" i="21"/>
  <c r="AB186" i="21"/>
  <c r="I186" i="21"/>
  <c r="AB215" i="21"/>
  <c r="I215" i="21"/>
  <c r="O215" i="21" s="1"/>
  <c r="J511" i="20"/>
  <c r="G74" i="18" s="1"/>
  <c r="I133" i="16" s="1"/>
  <c r="L525" i="20"/>
  <c r="J624" i="20"/>
  <c r="G92" i="18" s="1"/>
  <c r="I170" i="16" s="1"/>
  <c r="L663" i="20"/>
  <c r="I31" i="21"/>
  <c r="AF30" i="21"/>
  <c r="AD79" i="21"/>
  <c r="I79" i="21"/>
  <c r="O79" i="21" s="1"/>
  <c r="AB108" i="21"/>
  <c r="I108" i="21"/>
  <c r="O108" i="21" s="1"/>
  <c r="AB162" i="21"/>
  <c r="I162" i="21"/>
  <c r="O162" i="21" s="1"/>
  <c r="AB195" i="21"/>
  <c r="I195" i="21"/>
  <c r="O195" i="21" s="1"/>
  <c r="G289" i="21"/>
  <c r="G633" i="19" s="1"/>
  <c r="O289" i="21"/>
  <c r="K39" i="19"/>
  <c r="K52" i="19"/>
  <c r="L114" i="22"/>
  <c r="K62" i="19"/>
  <c r="K77" i="19"/>
  <c r="L573" i="20"/>
  <c r="L591" i="20"/>
  <c r="L609" i="20"/>
  <c r="L627" i="20"/>
  <c r="F643" i="20"/>
  <c r="L643" i="20" s="1"/>
  <c r="F686" i="20"/>
  <c r="L686" i="20" s="1"/>
  <c r="O203" i="21"/>
  <c r="I257" i="21"/>
  <c r="G304" i="21"/>
  <c r="G657" i="19" s="1"/>
  <c r="O304" i="21"/>
  <c r="AD314" i="21"/>
  <c r="I314" i="21"/>
  <c r="O314" i="21" s="1"/>
  <c r="AB299" i="21"/>
  <c r="I299" i="21"/>
  <c r="E635" i="20"/>
  <c r="L670" i="20"/>
  <c r="I6" i="21"/>
  <c r="O6" i="21" s="1"/>
  <c r="I45" i="21"/>
  <c r="I54" i="21"/>
  <c r="O54" i="21" s="1"/>
  <c r="I63" i="21"/>
  <c r="O63" i="21" s="1"/>
  <c r="I72" i="21"/>
  <c r="I88" i="21"/>
  <c r="I120" i="21"/>
  <c r="I129" i="21"/>
  <c r="I138" i="21"/>
  <c r="I147" i="21"/>
  <c r="I156" i="21"/>
  <c r="I165" i="21"/>
  <c r="I174" i="21"/>
  <c r="I183" i="21"/>
  <c r="O183" i="21" s="1"/>
  <c r="I192" i="21"/>
  <c r="I220" i="21"/>
  <c r="I224" i="21"/>
  <c r="I228" i="21"/>
  <c r="O228" i="21" s="1"/>
  <c r="I232" i="21"/>
  <c r="I236" i="21"/>
  <c r="I263" i="21"/>
  <c r="O263" i="21" s="1"/>
  <c r="O284" i="21"/>
  <c r="I310" i="21"/>
  <c r="O310" i="21" s="1"/>
  <c r="AF309" i="21"/>
  <c r="F125" i="24"/>
  <c r="K125" i="24" s="1"/>
  <c r="D248" i="20" s="1"/>
  <c r="I295" i="21"/>
  <c r="O295" i="21" s="1"/>
  <c r="AF294" i="21"/>
  <c r="I315" i="21"/>
  <c r="AF314" i="21"/>
  <c r="H746" i="15"/>
  <c r="E252" i="16"/>
  <c r="F252" i="16" s="1"/>
  <c r="K252" i="16" s="1"/>
  <c r="H695" i="15"/>
  <c r="E225" i="16"/>
  <c r="F225" i="16" s="1"/>
  <c r="K225" i="16" s="1"/>
  <c r="E5" i="20"/>
  <c r="E397" i="20"/>
  <c r="G586" i="20"/>
  <c r="G503" i="20"/>
  <c r="G407" i="20"/>
  <c r="G301" i="20"/>
  <c r="G616" i="20"/>
  <c r="G544" i="20"/>
  <c r="G439" i="20"/>
  <c r="G393" i="20"/>
  <c r="G22" i="20"/>
  <c r="G574" i="20"/>
  <c r="G471" i="20"/>
  <c r="G376" i="20"/>
  <c r="G313" i="20"/>
  <c r="G257" i="20"/>
  <c r="G226" i="20"/>
  <c r="G650" i="20"/>
  <c r="G604" i="20"/>
  <c r="G361" i="20"/>
  <c r="G290" i="20"/>
  <c r="G637" i="20"/>
  <c r="G562" i="20"/>
  <c r="G478" i="20"/>
  <c r="G457" i="20"/>
  <c r="G368" i="20"/>
  <c r="G334" i="20"/>
  <c r="G213" i="20"/>
  <c r="G44" i="20"/>
  <c r="G592" i="20"/>
  <c r="G510" i="20"/>
  <c r="G277" i="20"/>
  <c r="G622" i="20"/>
  <c r="G550" i="20"/>
  <c r="G445" i="20"/>
  <c r="G342" i="20"/>
  <c r="G202" i="20"/>
  <c r="G143" i="20"/>
  <c r="G29" i="20"/>
  <c r="G9" i="20"/>
  <c r="G598" i="20"/>
  <c r="G356" i="20"/>
  <c r="G322" i="20"/>
  <c r="G284" i="20"/>
  <c r="G610" i="20"/>
  <c r="G51" i="20"/>
  <c r="G556" i="20"/>
  <c r="G484" i="20"/>
  <c r="G16" i="20"/>
  <c r="G581" i="20"/>
  <c r="G568" i="20"/>
  <c r="G497" i="20"/>
  <c r="G296" i="20"/>
  <c r="G264" i="20"/>
  <c r="G628" i="20"/>
  <c r="G220" i="20"/>
  <c r="G208" i="20"/>
  <c r="G349" i="20"/>
  <c r="G37" i="20"/>
  <c r="G451" i="20"/>
  <c r="G463" i="20"/>
  <c r="F162" i="24"/>
  <c r="K162" i="24" s="1"/>
  <c r="D322" i="20" s="1"/>
  <c r="O200" i="21"/>
  <c r="I245" i="21"/>
  <c r="O245" i="21" s="1"/>
  <c r="E253" i="16"/>
  <c r="F253" i="16" s="1"/>
  <c r="K253" i="16" s="1"/>
  <c r="H748" i="15"/>
  <c r="E224" i="16"/>
  <c r="F224" i="16" s="1"/>
  <c r="K224" i="16" s="1"/>
  <c r="H693" i="15"/>
  <c r="G272" i="20"/>
  <c r="G107" i="20"/>
  <c r="G492" i="20"/>
  <c r="G88" i="20"/>
  <c r="G427" i="20"/>
  <c r="G145" i="20"/>
  <c r="G94" i="20"/>
  <c r="G73" i="20"/>
  <c r="G414" i="20"/>
  <c r="G112" i="20"/>
  <c r="G422" i="20"/>
  <c r="G59" i="20"/>
  <c r="G433" i="20"/>
  <c r="G118" i="20"/>
  <c r="G100" i="20"/>
  <c r="G251" i="20"/>
  <c r="G81" i="20"/>
  <c r="G657" i="20"/>
  <c r="G67" i="20"/>
  <c r="F642" i="20"/>
  <c r="L642" i="20" s="1"/>
  <c r="L666" i="20"/>
  <c r="I305" i="21"/>
  <c r="AD309" i="21"/>
  <c r="AF25" i="21"/>
  <c r="I30" i="21"/>
  <c r="I38" i="21"/>
  <c r="O38" i="21" s="1"/>
  <c r="AF84" i="21"/>
  <c r="I98" i="21"/>
  <c r="AF108" i="21"/>
  <c r="I113" i="21"/>
  <c r="O113" i="21" s="1"/>
  <c r="I210" i="21"/>
  <c r="AF220" i="21"/>
  <c r="AF228" i="21"/>
  <c r="AF236" i="21"/>
  <c r="I241" i="21"/>
  <c r="L615" i="20"/>
  <c r="L633" i="20"/>
  <c r="L662" i="20"/>
  <c r="G251" i="21"/>
  <c r="G557" i="19" s="1"/>
  <c r="O251" i="21"/>
  <c r="AE318" i="21"/>
  <c r="I318" i="21"/>
  <c r="E254" i="16"/>
  <c r="F254" i="16" s="1"/>
  <c r="K254" i="16" s="1"/>
  <c r="H750" i="15"/>
  <c r="H697" i="15"/>
  <c r="E226" i="16"/>
  <c r="F226" i="16" s="1"/>
  <c r="K226" i="16" s="1"/>
  <c r="G189" i="20"/>
  <c r="G172" i="20"/>
  <c r="G162" i="20"/>
  <c r="G180" i="20"/>
  <c r="H53" i="19"/>
  <c r="H40" i="19"/>
  <c r="H78" i="19"/>
  <c r="H63" i="19"/>
  <c r="H728" i="15"/>
  <c r="E246" i="16"/>
  <c r="F246" i="16" s="1"/>
  <c r="K246" i="16" s="1"/>
  <c r="E347" i="20"/>
  <c r="E353" i="20"/>
  <c r="E302" i="20"/>
  <c r="E333" i="20"/>
  <c r="E367" i="20"/>
  <c r="E227" i="16"/>
  <c r="F227" i="16" s="1"/>
  <c r="K227" i="16" s="1"/>
  <c r="H699" i="15"/>
  <c r="H652" i="15"/>
  <c r="E270" i="16"/>
  <c r="F270" i="16" s="1"/>
  <c r="K270" i="16" s="1"/>
  <c r="K292" i="16" s="1"/>
  <c r="E671" i="20"/>
  <c r="E678" i="20"/>
  <c r="E327" i="20"/>
  <c r="E195" i="20"/>
  <c r="H730" i="15"/>
  <c r="E247" i="16"/>
  <c r="F247" i="16" s="1"/>
  <c r="K247" i="16" s="1"/>
  <c r="I353" i="20"/>
  <c r="J353" i="20" s="1"/>
  <c r="J357" i="20" s="1"/>
  <c r="G51" i="18" s="1"/>
  <c r="I73" i="16" s="1"/>
  <c r="I333" i="20"/>
  <c r="J333" i="20" s="1"/>
  <c r="J337" i="20" s="1"/>
  <c r="G48" i="18" s="1"/>
  <c r="I70" i="16" s="1"/>
  <c r="I367" i="20"/>
  <c r="J367" i="20" s="1"/>
  <c r="I347" i="20"/>
  <c r="J347" i="20" s="1"/>
  <c r="J350" i="20" s="1"/>
  <c r="G50" i="18" s="1"/>
  <c r="I72" i="16" s="1"/>
  <c r="I302" i="20"/>
  <c r="J302" i="20" s="1"/>
  <c r="J305" i="20" s="1"/>
  <c r="G44" i="18" s="1"/>
  <c r="I65" i="16" s="1"/>
  <c r="E228" i="16"/>
  <c r="F228" i="16" s="1"/>
  <c r="K228" i="16" s="1"/>
  <c r="H701" i="15"/>
  <c r="H732" i="15"/>
  <c r="E248" i="16"/>
  <c r="F248" i="16" s="1"/>
  <c r="K248" i="16" s="1"/>
  <c r="H758" i="15"/>
  <c r="E258" i="16"/>
  <c r="F258" i="16" s="1"/>
  <c r="K258" i="16" s="1"/>
  <c r="G247" i="20"/>
  <c r="G130" i="20"/>
  <c r="E262" i="20"/>
  <c r="E20" i="20"/>
  <c r="E249" i="16"/>
  <c r="F249" i="16" s="1"/>
  <c r="K249" i="16" s="1"/>
  <c r="H734" i="15"/>
  <c r="H760" i="15"/>
  <c r="E259" i="16"/>
  <c r="F259" i="16" s="1"/>
  <c r="K259" i="16" s="1"/>
  <c r="E317" i="20"/>
  <c r="E308" i="20"/>
  <c r="G171" i="20"/>
  <c r="G179" i="20"/>
  <c r="G691" i="20"/>
  <c r="G188" i="20"/>
  <c r="G58" i="20"/>
  <c r="G66" i="20"/>
  <c r="G300" i="20"/>
  <c r="G375" i="20"/>
  <c r="G332" i="20"/>
  <c r="G142" i="20"/>
  <c r="G248" i="20"/>
  <c r="G161" i="20"/>
  <c r="G366" i="20"/>
  <c r="G93" i="20"/>
  <c r="H736" i="15"/>
  <c r="E250" i="16"/>
  <c r="F250" i="16" s="1"/>
  <c r="K250" i="16" s="1"/>
  <c r="H762" i="15"/>
  <c r="E260" i="16"/>
  <c r="F260" i="16" s="1"/>
  <c r="K260" i="16" s="1"/>
  <c r="E530" i="20"/>
  <c r="E477" i="20"/>
  <c r="G249" i="20"/>
  <c r="G131" i="20"/>
  <c r="E655" i="20"/>
  <c r="E34" i="20"/>
  <c r="E326" i="20"/>
  <c r="E194" i="20"/>
  <c r="E255" i="16"/>
  <c r="F255" i="16" s="1"/>
  <c r="K255" i="16" s="1"/>
  <c r="H752" i="15"/>
  <c r="E261" i="16"/>
  <c r="F261" i="16" s="1"/>
  <c r="K261" i="16" s="1"/>
  <c r="H764" i="15"/>
  <c r="E320" i="20"/>
  <c r="E311" i="20"/>
  <c r="G250" i="20"/>
  <c r="G132" i="20"/>
  <c r="H102" i="22"/>
  <c r="H90" i="22"/>
  <c r="H78" i="22"/>
  <c r="H66" i="22"/>
  <c r="H54" i="22"/>
  <c r="H42" i="22"/>
  <c r="H30" i="22"/>
  <c r="H18" i="22"/>
  <c r="H6" i="22"/>
  <c r="H113" i="22"/>
  <c r="L113" i="22" s="1"/>
  <c r="H743" i="15" s="1"/>
  <c r="H101" i="22"/>
  <c r="H89" i="22"/>
  <c r="H77" i="22"/>
  <c r="H65" i="22"/>
  <c r="H53" i="22"/>
  <c r="H41" i="22"/>
  <c r="H29" i="22"/>
  <c r="H17" i="22"/>
  <c r="H5" i="22"/>
  <c r="H112" i="22"/>
  <c r="H100" i="22"/>
  <c r="H88" i="22"/>
  <c r="H76" i="22"/>
  <c r="H64" i="22"/>
  <c r="H52" i="22"/>
  <c r="H40" i="22"/>
  <c r="H28" i="22"/>
  <c r="H16" i="22"/>
  <c r="H4" i="22"/>
  <c r="H111" i="22"/>
  <c r="L111" i="22" s="1"/>
  <c r="H655" i="15" s="1"/>
  <c r="H99" i="22"/>
  <c r="H87" i="22"/>
  <c r="H75" i="22"/>
  <c r="H63" i="22"/>
  <c r="H51" i="22"/>
  <c r="H39" i="22"/>
  <c r="H27" i="22"/>
  <c r="H15" i="22"/>
  <c r="H110" i="22"/>
  <c r="L110" i="22" s="1"/>
  <c r="H653" i="15" s="1"/>
  <c r="H98" i="22"/>
  <c r="H86" i="22"/>
  <c r="H74" i="22"/>
  <c r="H62" i="22"/>
  <c r="H50" i="22"/>
  <c r="H38" i="22"/>
  <c r="H26" i="22"/>
  <c r="H14" i="22"/>
  <c r="H109" i="22"/>
  <c r="H97" i="22"/>
  <c r="H85" i="22"/>
  <c r="H73" i="22"/>
  <c r="H61" i="22"/>
  <c r="H49" i="22"/>
  <c r="H37" i="22"/>
  <c r="H25" i="22"/>
  <c r="H13" i="22"/>
  <c r="H108" i="22"/>
  <c r="H96" i="22"/>
  <c r="H84" i="22"/>
  <c r="H72" i="22"/>
  <c r="H60" i="22"/>
  <c r="H48" i="22"/>
  <c r="H36" i="22"/>
  <c r="H24" i="22"/>
  <c r="H12" i="22"/>
  <c r="H104" i="22"/>
  <c r="H92" i="22"/>
  <c r="H80" i="22"/>
  <c r="H68" i="22"/>
  <c r="H56" i="22"/>
  <c r="H44" i="22"/>
  <c r="H32" i="22"/>
  <c r="H20" i="22"/>
  <c r="H8" i="22"/>
  <c r="H79" i="22"/>
  <c r="H43" i="22"/>
  <c r="H7" i="22"/>
  <c r="H107" i="22"/>
  <c r="H71" i="22"/>
  <c r="H35" i="22"/>
  <c r="H106" i="22"/>
  <c r="H70" i="22"/>
  <c r="H34" i="22"/>
  <c r="H105" i="22"/>
  <c r="H69" i="22"/>
  <c r="H33" i="22"/>
  <c r="H103" i="22"/>
  <c r="H67" i="22"/>
  <c r="H31" i="22"/>
  <c r="H95" i="22"/>
  <c r="H59" i="22"/>
  <c r="H23" i="22"/>
  <c r="H94" i="22"/>
  <c r="H58" i="22"/>
  <c r="H22" i="22"/>
  <c r="H93" i="22"/>
  <c r="H57" i="22"/>
  <c r="H21" i="22"/>
  <c r="H82" i="22"/>
  <c r="H46" i="22"/>
  <c r="H10" i="22"/>
  <c r="H91" i="22"/>
  <c r="H83" i="22"/>
  <c r="H81" i="22"/>
  <c r="H55" i="22"/>
  <c r="H47" i="22"/>
  <c r="H45" i="22"/>
  <c r="H19" i="22"/>
  <c r="H11" i="22"/>
  <c r="H9" i="22"/>
  <c r="I326" i="20"/>
  <c r="J326" i="20" s="1"/>
  <c r="J329" i="20" s="1"/>
  <c r="G47" i="18" s="1"/>
  <c r="I69" i="16" s="1"/>
  <c r="I194" i="20"/>
  <c r="J194" i="20" s="1"/>
  <c r="J197" i="20" s="1"/>
  <c r="G28" i="18" s="1"/>
  <c r="E256" i="16"/>
  <c r="F256" i="16" s="1"/>
  <c r="K256" i="16" s="1"/>
  <c r="H754" i="15"/>
  <c r="E48" i="20"/>
  <c r="E139" i="20"/>
  <c r="E483" i="20"/>
  <c r="E649" i="20"/>
  <c r="E257" i="16"/>
  <c r="F257" i="16" s="1"/>
  <c r="K257" i="16" s="1"/>
  <c r="H756" i="15"/>
  <c r="H687" i="15"/>
  <c r="E221" i="16"/>
  <c r="F221" i="16" s="1"/>
  <c r="K221" i="16" s="1"/>
  <c r="H691" i="15"/>
  <c r="E223" i="16"/>
  <c r="F223" i="16" s="1"/>
  <c r="K223" i="16" s="1"/>
  <c r="E201" i="16"/>
  <c r="E151" i="16"/>
  <c r="E328" i="20"/>
  <c r="E196" i="20"/>
  <c r="H738" i="15"/>
  <c r="E251" i="16"/>
  <c r="F251" i="16" s="1"/>
  <c r="K251" i="16" s="1"/>
  <c r="H689" i="15"/>
  <c r="E222" i="16"/>
  <c r="F222" i="16" s="1"/>
  <c r="G162" i="21"/>
  <c r="G389" i="19" s="1"/>
  <c r="G63" i="21"/>
  <c r="G144" i="19" s="1"/>
  <c r="G159" i="21"/>
  <c r="G382" i="19" s="1"/>
  <c r="G38" i="21"/>
  <c r="G79" i="19" s="1"/>
  <c r="K53" i="19"/>
  <c r="L53" i="19" s="1"/>
  <c r="K40" i="19"/>
  <c r="L40" i="19" s="1"/>
  <c r="G266" i="21"/>
  <c r="G587" i="19" s="1"/>
  <c r="G9" i="21"/>
  <c r="G20" i="19" s="1"/>
  <c r="G42" i="21"/>
  <c r="G88" i="19" s="1"/>
  <c r="G75" i="21"/>
  <c r="G176" i="19" s="1"/>
  <c r="G12" i="21"/>
  <c r="G30" i="19" s="1"/>
  <c r="G80" i="21"/>
  <c r="G185" i="19" s="1"/>
  <c r="G113" i="21"/>
  <c r="G253" i="19" s="1"/>
  <c r="G215" i="21"/>
  <c r="G490" i="19" s="1"/>
  <c r="G279" i="21"/>
  <c r="G616" i="19" s="1"/>
  <c r="G216" i="21"/>
  <c r="G491" i="19" s="1"/>
  <c r="G314" i="21"/>
  <c r="G675" i="19" s="1"/>
  <c r="G39" i="21"/>
  <c r="G80" i="19" s="1"/>
  <c r="G126" i="21"/>
  <c r="G298" i="19" s="1"/>
  <c r="G242" i="21"/>
  <c r="G539" i="19" s="1"/>
  <c r="G79" i="21"/>
  <c r="G184" i="19" s="1"/>
  <c r="G195" i="21"/>
  <c r="G456" i="19" s="1"/>
  <c r="G280" i="21"/>
  <c r="G617" i="19" s="1"/>
  <c r="G108" i="21"/>
  <c r="G246" i="19" s="1"/>
  <c r="G199" i="21"/>
  <c r="G462" i="19" s="1"/>
  <c r="G309" i="21"/>
  <c r="G666" i="19" s="1"/>
  <c r="G109" i="21"/>
  <c r="G247" i="19" s="1"/>
  <c r="G228" i="21"/>
  <c r="G513" i="19" s="1"/>
  <c r="G310" i="21"/>
  <c r="G667" i="19" s="1"/>
  <c r="G26" i="21"/>
  <c r="G56" i="19" s="1"/>
  <c r="G54" i="21"/>
  <c r="G120" i="19" s="1"/>
  <c r="G84" i="21"/>
  <c r="G193" i="19" s="1"/>
  <c r="G141" i="21"/>
  <c r="G340" i="19" s="1"/>
  <c r="G229" i="21"/>
  <c r="G514" i="19" s="1"/>
  <c r="G57" i="21"/>
  <c r="G128" i="19" s="1"/>
  <c r="G144" i="21"/>
  <c r="G347" i="19" s="1"/>
  <c r="G60" i="21"/>
  <c r="G136" i="19" s="1"/>
  <c r="G177" i="21"/>
  <c r="G420" i="19" s="1"/>
  <c r="G263" i="21"/>
  <c r="G581" i="19" s="1"/>
  <c r="G180" i="21"/>
  <c r="G426" i="19" s="1"/>
  <c r="G294" i="21"/>
  <c r="G641" i="19" s="1"/>
  <c r="G6" i="21"/>
  <c r="G10" i="19" s="1"/>
  <c r="G94" i="21"/>
  <c r="G218" i="19" s="1"/>
  <c r="G211" i="21"/>
  <c r="G483" i="19" s="1"/>
  <c r="G295" i="21"/>
  <c r="G642" i="19" s="1"/>
  <c r="N128" i="13"/>
  <c r="L155" i="13"/>
  <c r="AF145" i="15"/>
  <c r="M674" i="15"/>
  <c r="K674" i="15"/>
  <c r="AF562" i="15"/>
  <c r="L128" i="13"/>
  <c r="AF402" i="15"/>
  <c r="I19" i="16" l="1"/>
  <c r="I114" i="16"/>
  <c r="L436" i="15"/>
  <c r="J166" i="16"/>
  <c r="F155" i="20"/>
  <c r="I130" i="16"/>
  <c r="J519" i="20"/>
  <c r="G75" i="18" s="1"/>
  <c r="L70" i="15"/>
  <c r="J63" i="16"/>
  <c r="M70" i="15" s="1"/>
  <c r="H62" i="18"/>
  <c r="L96" i="15"/>
  <c r="J76" i="16"/>
  <c r="M96" i="15" s="1"/>
  <c r="J20" i="16"/>
  <c r="M177" i="15" s="1"/>
  <c r="L312" i="15"/>
  <c r="J120" i="16"/>
  <c r="M312" i="15" s="1"/>
  <c r="I157" i="16"/>
  <c r="H81" i="18"/>
  <c r="I101" i="16"/>
  <c r="I125" i="16"/>
  <c r="J125" i="16" s="1"/>
  <c r="L153" i="15"/>
  <c r="L155" i="15"/>
  <c r="L438" i="15"/>
  <c r="J167" i="16"/>
  <c r="M438" i="15" s="1"/>
  <c r="L304" i="15"/>
  <c r="J116" i="16"/>
  <c r="L420" i="15"/>
  <c r="J158" i="16"/>
  <c r="K66" i="14"/>
  <c r="N66" i="14" s="1"/>
  <c r="O124" i="15"/>
  <c r="Q124" i="15" s="1"/>
  <c r="O136" i="15"/>
  <c r="Q136" i="15" s="1"/>
  <c r="K72" i="14"/>
  <c r="N72" i="14" s="1"/>
  <c r="M216" i="15"/>
  <c r="M54" i="13" s="1"/>
  <c r="N54" i="13" s="1"/>
  <c r="N73" i="13" s="1"/>
  <c r="M5" i="13" s="1"/>
  <c r="N5" i="13" s="1"/>
  <c r="Q126" i="15"/>
  <c r="K67" i="14"/>
  <c r="N67" i="14" s="1"/>
  <c r="K62" i="14"/>
  <c r="N62" i="14" s="1"/>
  <c r="I216" i="15"/>
  <c r="Q120" i="15"/>
  <c r="K64" i="14"/>
  <c r="N64" i="14" s="1"/>
  <c r="K80" i="14"/>
  <c r="K77" i="14"/>
  <c r="K74" i="14"/>
  <c r="N74" i="14" s="1"/>
  <c r="Q140" i="15"/>
  <c r="K88" i="14"/>
  <c r="K85" i="14"/>
  <c r="K71" i="14"/>
  <c r="N71" i="14" s="1"/>
  <c r="Q134" i="15"/>
  <c r="K82" i="14"/>
  <c r="K79" i="14"/>
  <c r="N79" i="14" s="1"/>
  <c r="K86" i="14"/>
  <c r="K68" i="14"/>
  <c r="N68" i="14" s="1"/>
  <c r="Q128" i="15"/>
  <c r="K76" i="14"/>
  <c r="Q138" i="15"/>
  <c r="K73" i="14"/>
  <c r="N73" i="14" s="1"/>
  <c r="K83" i="14"/>
  <c r="K65" i="14"/>
  <c r="N65" i="14" s="1"/>
  <c r="Q122" i="15"/>
  <c r="Q132" i="15"/>
  <c r="K70" i="14"/>
  <c r="N70" i="14" s="1"/>
  <c r="L442" i="15"/>
  <c r="J169" i="16"/>
  <c r="M442" i="15" s="1"/>
  <c r="L422" i="15"/>
  <c r="J159" i="16"/>
  <c r="M422" i="15" s="1"/>
  <c r="L306" i="15"/>
  <c r="J117" i="16"/>
  <c r="M306" i="15" s="1"/>
  <c r="J10" i="16"/>
  <c r="M157" i="15" s="1"/>
  <c r="L201" i="15"/>
  <c r="J32" i="16"/>
  <c r="M201" i="15" s="1"/>
  <c r="J7" i="16"/>
  <c r="L481" i="15"/>
  <c r="J127" i="16"/>
  <c r="M481" i="15" s="1"/>
  <c r="L414" i="15"/>
  <c r="J155" i="16"/>
  <c r="L432" i="15"/>
  <c r="J164" i="16"/>
  <c r="M432" i="15" s="1"/>
  <c r="I128" i="16"/>
  <c r="H70" i="18"/>
  <c r="J12" i="16"/>
  <c r="M161" i="15" s="1"/>
  <c r="I103" i="16"/>
  <c r="H57" i="18"/>
  <c r="L86" i="15"/>
  <c r="J71" i="16"/>
  <c r="M86" i="15" s="1"/>
  <c r="N179" i="14"/>
  <c r="M30" i="13"/>
  <c r="N30" i="13" s="1"/>
  <c r="K30" i="13"/>
  <c r="L30" i="13" s="1"/>
  <c r="N331" i="14"/>
  <c r="L88" i="15"/>
  <c r="J72" i="16"/>
  <c r="M88" i="15" s="1"/>
  <c r="L84" i="15"/>
  <c r="J70" i="16"/>
  <c r="M84" i="15" s="1"/>
  <c r="L82" i="15"/>
  <c r="J69" i="16"/>
  <c r="M82" i="15" s="1"/>
  <c r="H263" i="19"/>
  <c r="L28" i="22"/>
  <c r="H171" i="20"/>
  <c r="K171" i="20"/>
  <c r="K628" i="20"/>
  <c r="H628" i="20"/>
  <c r="J477" i="15"/>
  <c r="N477" i="15" s="1"/>
  <c r="F244" i="14" s="1"/>
  <c r="L244" i="14" s="1"/>
  <c r="H125" i="16"/>
  <c r="L56" i="15"/>
  <c r="J56" i="16"/>
  <c r="M56" i="15" s="1"/>
  <c r="L64" i="20"/>
  <c r="L290" i="15"/>
  <c r="J109" i="16"/>
  <c r="I483" i="19"/>
  <c r="N483" i="19"/>
  <c r="L483" i="19"/>
  <c r="AE483" i="19" s="1"/>
  <c r="N514" i="19"/>
  <c r="I514" i="19"/>
  <c r="L514" i="19"/>
  <c r="AE514" i="19" s="1"/>
  <c r="N617" i="19"/>
  <c r="L617" i="19"/>
  <c r="AE617" i="19" s="1"/>
  <c r="I617" i="19"/>
  <c r="P617" i="19" s="1"/>
  <c r="N253" i="19"/>
  <c r="L253" i="19"/>
  <c r="I253" i="19"/>
  <c r="P253" i="19" s="1"/>
  <c r="G123" i="21"/>
  <c r="G292" i="19" s="1"/>
  <c r="K230" i="16"/>
  <c r="K231" i="16" s="1"/>
  <c r="K244" i="16" s="1"/>
  <c r="H125" i="19"/>
  <c r="L9" i="22"/>
  <c r="H223" i="19"/>
  <c r="L21" i="22"/>
  <c r="H285" i="19"/>
  <c r="L33" i="22"/>
  <c r="H117" i="19"/>
  <c r="L8" i="22"/>
  <c r="H16" i="19"/>
  <c r="H26" i="19"/>
  <c r="H6" i="19"/>
  <c r="L48" i="22"/>
  <c r="H526" i="19"/>
  <c r="L85" i="22"/>
  <c r="H173" i="19"/>
  <c r="L15" i="22"/>
  <c r="H321" i="19"/>
  <c r="L40" i="22"/>
  <c r="H50" i="19"/>
  <c r="L65" i="22"/>
  <c r="AB562" i="19"/>
  <c r="L90" i="22"/>
  <c r="H733" i="15" s="1"/>
  <c r="K34" i="20"/>
  <c r="F34" i="20"/>
  <c r="K161" i="20"/>
  <c r="H161" i="20"/>
  <c r="K308" i="20"/>
  <c r="F308" i="20"/>
  <c r="K327" i="20"/>
  <c r="F327" i="20"/>
  <c r="L327" i="20" s="1"/>
  <c r="K263" i="16"/>
  <c r="K264" i="16" s="1"/>
  <c r="K268" i="16" s="1"/>
  <c r="N750" i="15"/>
  <c r="I373" i="14" s="1"/>
  <c r="L373" i="14" s="1"/>
  <c r="I750" i="15"/>
  <c r="K112" i="20"/>
  <c r="H112" i="20"/>
  <c r="N748" i="15"/>
  <c r="I372" i="14" s="1"/>
  <c r="L372" i="14" s="1"/>
  <c r="I748" i="15"/>
  <c r="H264" i="20"/>
  <c r="K264" i="20"/>
  <c r="K356" i="20"/>
  <c r="H356" i="20"/>
  <c r="K592" i="20"/>
  <c r="H592" i="20"/>
  <c r="K650" i="20"/>
  <c r="H650" i="20"/>
  <c r="K301" i="20"/>
  <c r="H301" i="20"/>
  <c r="L301" i="20" s="1"/>
  <c r="G192" i="21"/>
  <c r="G450" i="19" s="1"/>
  <c r="O192" i="21"/>
  <c r="G69" i="21"/>
  <c r="G160" i="19" s="1"/>
  <c r="O69" i="21"/>
  <c r="N530" i="19"/>
  <c r="L530" i="19"/>
  <c r="AE530" i="19" s="1"/>
  <c r="I530" i="19"/>
  <c r="L487" i="15"/>
  <c r="J130" i="16"/>
  <c r="M487" i="15" s="1"/>
  <c r="G150" i="21"/>
  <c r="G361" i="19" s="1"/>
  <c r="O150" i="21"/>
  <c r="F646" i="20"/>
  <c r="G48" i="21"/>
  <c r="G104" i="19" s="1"/>
  <c r="O48" i="21"/>
  <c r="I197" i="16"/>
  <c r="I149" i="16"/>
  <c r="I126" i="16"/>
  <c r="E78" i="18"/>
  <c r="L540" i="20"/>
  <c r="J371" i="20"/>
  <c r="G53" i="18" s="1"/>
  <c r="I75" i="16" s="1"/>
  <c r="G272" i="21"/>
  <c r="G599" i="19" s="1"/>
  <c r="O272" i="21"/>
  <c r="L413" i="20"/>
  <c r="L193" i="15"/>
  <c r="J28" i="16"/>
  <c r="M193" i="15" s="1"/>
  <c r="K86" i="20"/>
  <c r="F86" i="20"/>
  <c r="J100" i="15"/>
  <c r="H78" i="16"/>
  <c r="K100" i="15" s="1"/>
  <c r="J8" i="16"/>
  <c r="M151" i="15" s="1"/>
  <c r="L274" i="15"/>
  <c r="J101" i="16"/>
  <c r="I84" i="13"/>
  <c r="P84" i="13" s="1"/>
  <c r="O84" i="13"/>
  <c r="I86" i="13"/>
  <c r="P86" i="13" s="1"/>
  <c r="O86" i="13"/>
  <c r="H35" i="19"/>
  <c r="L103" i="22"/>
  <c r="K604" i="20"/>
  <c r="H604" i="20"/>
  <c r="G220" i="21"/>
  <c r="G498" i="19" s="1"/>
  <c r="O220" i="21"/>
  <c r="G31" i="21"/>
  <c r="G65" i="19" s="1"/>
  <c r="O31" i="21"/>
  <c r="J80" i="15"/>
  <c r="H68" i="16"/>
  <c r="K80" i="15" s="1"/>
  <c r="N185" i="19"/>
  <c r="L185" i="19"/>
  <c r="AE185" i="19" s="1"/>
  <c r="I185" i="19"/>
  <c r="P185" i="19" s="1"/>
  <c r="AB604" i="19"/>
  <c r="L97" i="22"/>
  <c r="H680" i="15" s="1"/>
  <c r="K655" i="20"/>
  <c r="F655" i="20"/>
  <c r="K678" i="20"/>
  <c r="F678" i="20"/>
  <c r="H598" i="20"/>
  <c r="K598" i="20"/>
  <c r="L68" i="15"/>
  <c r="J62" i="16"/>
  <c r="M68" i="15" s="1"/>
  <c r="L66" i="15"/>
  <c r="J61" i="16"/>
  <c r="I92" i="17"/>
  <c r="P92" i="17" s="1"/>
  <c r="O92" i="17"/>
  <c r="N30" i="19"/>
  <c r="N32" i="19" s="1"/>
  <c r="M6" i="17" s="1"/>
  <c r="N6" i="17" s="1"/>
  <c r="L30" i="19"/>
  <c r="I30" i="19"/>
  <c r="P30" i="19" s="1"/>
  <c r="H455" i="19"/>
  <c r="L72" i="22"/>
  <c r="K142" i="20"/>
  <c r="H142" i="20"/>
  <c r="H213" i="20"/>
  <c r="K213" i="20"/>
  <c r="K503" i="20"/>
  <c r="H503" i="20"/>
  <c r="G152" i="16"/>
  <c r="G204" i="16"/>
  <c r="J9" i="16"/>
  <c r="L282" i="15"/>
  <c r="J105" i="16"/>
  <c r="L187" i="15"/>
  <c r="J25" i="16"/>
  <c r="L144" i="19"/>
  <c r="N144" i="19"/>
  <c r="N146" i="19" s="1"/>
  <c r="M19" i="17" s="1"/>
  <c r="N19" i="17" s="1"/>
  <c r="I144" i="19"/>
  <c r="H303" i="19"/>
  <c r="L36" i="22"/>
  <c r="N758" i="15"/>
  <c r="I377" i="14" s="1"/>
  <c r="L377" i="14" s="1"/>
  <c r="I758" i="15"/>
  <c r="K510" i="20"/>
  <c r="H510" i="20"/>
  <c r="G257" i="21"/>
  <c r="G569" i="19" s="1"/>
  <c r="O257" i="21"/>
  <c r="N551" i="19"/>
  <c r="N553" i="19" s="1"/>
  <c r="M82" i="17" s="1"/>
  <c r="N82" i="17" s="1"/>
  <c r="L551" i="19"/>
  <c r="I551" i="19"/>
  <c r="H394" i="19"/>
  <c r="L57" i="22"/>
  <c r="H468" i="19"/>
  <c r="L77" i="22"/>
  <c r="H248" i="20"/>
  <c r="K248" i="20"/>
  <c r="K414" i="20"/>
  <c r="H414" i="20"/>
  <c r="K226" i="20"/>
  <c r="H226" i="20"/>
  <c r="N633" i="19"/>
  <c r="I633" i="19"/>
  <c r="L633" i="19"/>
  <c r="G99" i="21"/>
  <c r="G233" i="19" s="1"/>
  <c r="O99" i="21"/>
  <c r="L576" i="15"/>
  <c r="J210" i="16"/>
  <c r="M576" i="15" s="1"/>
  <c r="L54" i="15"/>
  <c r="J55" i="16"/>
  <c r="N10" i="19"/>
  <c r="N12" i="19" s="1"/>
  <c r="M4" i="17" s="1"/>
  <c r="N4" i="17" s="1"/>
  <c r="L10" i="19"/>
  <c r="I10" i="19"/>
  <c r="H279" i="19"/>
  <c r="L32" i="22"/>
  <c r="H132" i="20"/>
  <c r="L132" i="20" s="1"/>
  <c r="K132" i="20"/>
  <c r="O63" i="19"/>
  <c r="I63" i="19"/>
  <c r="P63" i="19" s="1"/>
  <c r="K9" i="20"/>
  <c r="H9" i="20"/>
  <c r="L641" i="19"/>
  <c r="I641" i="19"/>
  <c r="N641" i="19"/>
  <c r="I120" i="19"/>
  <c r="N120" i="19"/>
  <c r="N122" i="19" s="1"/>
  <c r="M16" i="17" s="1"/>
  <c r="N16" i="17" s="1"/>
  <c r="L120" i="19"/>
  <c r="N539" i="19"/>
  <c r="L539" i="19"/>
  <c r="AE539" i="19" s="1"/>
  <c r="I539" i="19"/>
  <c r="L176" i="19"/>
  <c r="N176" i="19"/>
  <c r="N178" i="19" s="1"/>
  <c r="M23" i="17" s="1"/>
  <c r="N23" i="17" s="1"/>
  <c r="Q460" i="15" s="1"/>
  <c r="I176" i="19"/>
  <c r="I345" i="14"/>
  <c r="L345" i="14" s="1"/>
  <c r="N689" i="15"/>
  <c r="I689" i="15"/>
  <c r="H15" i="19"/>
  <c r="L45" i="22"/>
  <c r="H227" i="19"/>
  <c r="L22" i="22"/>
  <c r="H291" i="19"/>
  <c r="L34" i="22"/>
  <c r="H5" i="19"/>
  <c r="L44" i="22"/>
  <c r="H519" i="19"/>
  <c r="L84" i="22"/>
  <c r="H165" i="19"/>
  <c r="L14" i="22"/>
  <c r="H359" i="19"/>
  <c r="L51" i="22"/>
  <c r="H9" i="19"/>
  <c r="H19" i="19"/>
  <c r="H29" i="19"/>
  <c r="L76" i="22"/>
  <c r="H631" i="19"/>
  <c r="L101" i="22"/>
  <c r="K250" i="20"/>
  <c r="H250" i="20"/>
  <c r="L250" i="20" s="1"/>
  <c r="K249" i="20"/>
  <c r="H249" i="20"/>
  <c r="L249" i="20" s="1"/>
  <c r="H332" i="20"/>
  <c r="K332" i="20"/>
  <c r="I760" i="15"/>
  <c r="N760" i="15"/>
  <c r="I378" i="14" s="1"/>
  <c r="L378" i="14" s="1"/>
  <c r="I78" i="19"/>
  <c r="P78" i="19" s="1"/>
  <c r="O78" i="19"/>
  <c r="K67" i="20"/>
  <c r="H67" i="20"/>
  <c r="L67" i="20" s="1"/>
  <c r="K94" i="20"/>
  <c r="H94" i="20"/>
  <c r="L94" i="20" s="1"/>
  <c r="K568" i="20"/>
  <c r="H568" i="20"/>
  <c r="K29" i="20"/>
  <c r="H29" i="20"/>
  <c r="K334" i="20"/>
  <c r="H334" i="20"/>
  <c r="L334" i="20" s="1"/>
  <c r="K313" i="20"/>
  <c r="H313" i="20"/>
  <c r="E312" i="20" s="1"/>
  <c r="K586" i="20"/>
  <c r="H586" i="20"/>
  <c r="G165" i="21"/>
  <c r="G396" i="19" s="1"/>
  <c r="O165" i="21"/>
  <c r="G168" i="21"/>
  <c r="G402" i="19" s="1"/>
  <c r="O168" i="21"/>
  <c r="E239" i="20"/>
  <c r="E36" i="16"/>
  <c r="E78" i="16"/>
  <c r="H35" i="18"/>
  <c r="J566" i="15"/>
  <c r="H205" i="16"/>
  <c r="K566" i="15" s="1"/>
  <c r="K178" i="20"/>
  <c r="F178" i="20"/>
  <c r="L178" i="20" s="1"/>
  <c r="G171" i="21"/>
  <c r="G408" i="19" s="1"/>
  <c r="O171" i="21"/>
  <c r="L98" i="15"/>
  <c r="J77" i="16"/>
  <c r="M98" i="15" s="1"/>
  <c r="L284" i="15"/>
  <c r="J106" i="16"/>
  <c r="M284" i="15" s="1"/>
  <c r="K406" i="20"/>
  <c r="F406" i="20"/>
  <c r="L294" i="15"/>
  <c r="J111" i="16"/>
  <c r="M294" i="15" s="1"/>
  <c r="K56" i="20"/>
  <c r="F56" i="20"/>
  <c r="O78" i="13"/>
  <c r="I78" i="13"/>
  <c r="P78" i="13" s="1"/>
  <c r="I80" i="13"/>
  <c r="P80" i="13" s="1"/>
  <c r="O80" i="13"/>
  <c r="N490" i="19"/>
  <c r="L490" i="19"/>
  <c r="I490" i="19"/>
  <c r="I131" i="16"/>
  <c r="H72" i="18"/>
  <c r="N389" i="19"/>
  <c r="N391" i="19" s="1"/>
  <c r="M58" i="17" s="1"/>
  <c r="N58" i="17" s="1"/>
  <c r="L389" i="19"/>
  <c r="I389" i="19"/>
  <c r="P389" i="19" s="1"/>
  <c r="H259" i="19"/>
  <c r="L27" i="22"/>
  <c r="I728" i="15"/>
  <c r="N728" i="15"/>
  <c r="I362" i="14" s="1"/>
  <c r="K296" i="20"/>
  <c r="H296" i="20"/>
  <c r="G45" i="21"/>
  <c r="G96" i="19" s="1"/>
  <c r="O45" i="21"/>
  <c r="G103" i="21"/>
  <c r="G239" i="19" s="1"/>
  <c r="O103" i="21"/>
  <c r="I104" i="16"/>
  <c r="I6" i="16"/>
  <c r="L147" i="15" s="1"/>
  <c r="K222" i="16"/>
  <c r="F244" i="16"/>
  <c r="H681" i="19"/>
  <c r="L109" i="22"/>
  <c r="I351" i="14"/>
  <c r="L351" i="14" s="1"/>
  <c r="N701" i="15"/>
  <c r="I701" i="15"/>
  <c r="J412" i="15"/>
  <c r="H154" i="16"/>
  <c r="K412" i="15" s="1"/>
  <c r="N298" i="19"/>
  <c r="N300" i="19" s="1"/>
  <c r="M43" i="17" s="1"/>
  <c r="N43" i="17" s="1"/>
  <c r="Q464" i="15" s="1"/>
  <c r="L298" i="19"/>
  <c r="I298" i="19"/>
  <c r="P298" i="19" s="1"/>
  <c r="K649" i="20"/>
  <c r="F649" i="20"/>
  <c r="H17" i="19"/>
  <c r="H27" i="19"/>
  <c r="H7" i="19"/>
  <c r="L47" i="22"/>
  <c r="H401" i="19"/>
  <c r="L58" i="22"/>
  <c r="H443" i="19"/>
  <c r="L70" i="22"/>
  <c r="H387" i="19"/>
  <c r="L56" i="22"/>
  <c r="AB598" i="19"/>
  <c r="L96" i="22"/>
  <c r="H678" i="15" s="1"/>
  <c r="H252" i="19"/>
  <c r="L26" i="22"/>
  <c r="H61" i="19"/>
  <c r="L63" i="22"/>
  <c r="AB550" i="19"/>
  <c r="L88" i="22"/>
  <c r="H729" i="15" s="1"/>
  <c r="N743" i="15"/>
  <c r="F369" i="14" s="1"/>
  <c r="L369" i="14" s="1"/>
  <c r="I743" i="15"/>
  <c r="K311" i="20"/>
  <c r="F311" i="20"/>
  <c r="L311" i="20" s="1"/>
  <c r="F477" i="20"/>
  <c r="K477" i="20"/>
  <c r="K375" i="20"/>
  <c r="H375" i="20"/>
  <c r="N734" i="15"/>
  <c r="I365" i="14" s="1"/>
  <c r="I734" i="15"/>
  <c r="L74" i="15"/>
  <c r="J65" i="16"/>
  <c r="M74" i="15" s="1"/>
  <c r="N652" i="15"/>
  <c r="I333" i="14" s="1"/>
  <c r="I652" i="15"/>
  <c r="O40" i="19"/>
  <c r="I40" i="19"/>
  <c r="P40" i="19" s="1"/>
  <c r="K657" i="20"/>
  <c r="H657" i="20"/>
  <c r="H145" i="20"/>
  <c r="L145" i="20" s="1"/>
  <c r="K145" i="20"/>
  <c r="J322" i="20"/>
  <c r="F322" i="20"/>
  <c r="K581" i="20"/>
  <c r="H581" i="20"/>
  <c r="K143" i="20"/>
  <c r="H143" i="20"/>
  <c r="L143" i="20" s="1"/>
  <c r="K368" i="20"/>
  <c r="H368" i="20"/>
  <c r="L368" i="20" s="1"/>
  <c r="K376" i="20"/>
  <c r="H376" i="20"/>
  <c r="L376" i="20" s="1"/>
  <c r="K397" i="20"/>
  <c r="F397" i="20"/>
  <c r="G156" i="21"/>
  <c r="G375" i="19" s="1"/>
  <c r="O156" i="21"/>
  <c r="K635" i="20"/>
  <c r="F635" i="20"/>
  <c r="I132" i="16"/>
  <c r="H73" i="18"/>
  <c r="G34" i="21"/>
  <c r="G71" i="19" s="1"/>
  <c r="O34" i="21"/>
  <c r="G254" i="21"/>
  <c r="G563" i="19" s="1"/>
  <c r="O254" i="21"/>
  <c r="K390" i="20"/>
  <c r="F390" i="20"/>
  <c r="L469" i="20"/>
  <c r="E127" i="20"/>
  <c r="H99" i="18"/>
  <c r="L207" i="15"/>
  <c r="J35" i="16"/>
  <c r="M207" i="15" s="1"/>
  <c r="L175" i="15"/>
  <c r="J19" i="16"/>
  <c r="M175" i="15" s="1"/>
  <c r="L578" i="15"/>
  <c r="J211" i="16"/>
  <c r="M578" i="15" s="1"/>
  <c r="O52" i="13"/>
  <c r="I52" i="13"/>
  <c r="N128" i="19"/>
  <c r="N130" i="19" s="1"/>
  <c r="M17" i="17" s="1"/>
  <c r="N17" i="17" s="1"/>
  <c r="L128" i="19"/>
  <c r="I128" i="19"/>
  <c r="P128" i="19" s="1"/>
  <c r="I346" i="14"/>
  <c r="L346" i="14" s="1"/>
  <c r="N691" i="15"/>
  <c r="I691" i="15"/>
  <c r="H366" i="19"/>
  <c r="L53" i="22"/>
  <c r="I349" i="14"/>
  <c r="L349" i="14" s="1"/>
  <c r="N697" i="15"/>
  <c r="I697" i="15"/>
  <c r="I340" i="19"/>
  <c r="P340" i="19" s="1"/>
  <c r="L340" i="19"/>
  <c r="N340" i="19"/>
  <c r="N342" i="19" s="1"/>
  <c r="M51" i="17" s="1"/>
  <c r="N51" i="17" s="1"/>
  <c r="H639" i="19"/>
  <c r="L102" i="22"/>
  <c r="H207" i="19"/>
  <c r="L19" i="22"/>
  <c r="K131" i="20"/>
  <c r="H131" i="20"/>
  <c r="L131" i="20" s="1"/>
  <c r="J248" i="20"/>
  <c r="J253" i="20" s="1"/>
  <c r="G36" i="18" s="1"/>
  <c r="I37" i="16" s="1"/>
  <c r="F248" i="20"/>
  <c r="G117" i="21"/>
  <c r="G280" i="19" s="1"/>
  <c r="O117" i="21"/>
  <c r="L56" i="19"/>
  <c r="AE56" i="19" s="1"/>
  <c r="N56" i="19"/>
  <c r="I56" i="19"/>
  <c r="N88" i="19"/>
  <c r="N90" i="19" s="1"/>
  <c r="M12" i="17" s="1"/>
  <c r="N12" i="17" s="1"/>
  <c r="L88" i="19"/>
  <c r="I88" i="19"/>
  <c r="G91" i="21"/>
  <c r="G210" i="19" s="1"/>
  <c r="N667" i="19"/>
  <c r="L667" i="19"/>
  <c r="AE667" i="19" s="1"/>
  <c r="I667" i="19"/>
  <c r="N80" i="19"/>
  <c r="L80" i="19"/>
  <c r="AE80" i="19" s="1"/>
  <c r="I80" i="19"/>
  <c r="L20" i="19"/>
  <c r="N20" i="19"/>
  <c r="N22" i="19" s="1"/>
  <c r="M5" i="17" s="1"/>
  <c r="N5" i="17" s="1"/>
  <c r="I20" i="19"/>
  <c r="P20" i="19" s="1"/>
  <c r="N738" i="15"/>
  <c r="I367" i="14" s="1"/>
  <c r="I738" i="15"/>
  <c r="K483" i="20"/>
  <c r="F483" i="20"/>
  <c r="H380" i="19"/>
  <c r="L55" i="22"/>
  <c r="AB586" i="19"/>
  <c r="L94" i="22"/>
  <c r="H741" i="15" s="1"/>
  <c r="H663" i="19"/>
  <c r="L106" i="22"/>
  <c r="H431" i="19"/>
  <c r="L68" i="22"/>
  <c r="H76" i="19"/>
  <c r="L108" i="22"/>
  <c r="H311" i="19"/>
  <c r="L38" i="22"/>
  <c r="H28" i="19"/>
  <c r="H8" i="19"/>
  <c r="H18" i="19"/>
  <c r="L75" i="22"/>
  <c r="H622" i="19"/>
  <c r="L100" i="22"/>
  <c r="H101" i="19"/>
  <c r="L6" i="22"/>
  <c r="K320" i="20"/>
  <c r="F320" i="20"/>
  <c r="L320" i="20" s="1"/>
  <c r="F530" i="20"/>
  <c r="K530" i="20"/>
  <c r="H300" i="20"/>
  <c r="K300" i="20"/>
  <c r="I350" i="14"/>
  <c r="L350" i="14" s="1"/>
  <c r="I699" i="15"/>
  <c r="N699" i="15"/>
  <c r="O53" i="19"/>
  <c r="I53" i="19"/>
  <c r="P53" i="19" s="1"/>
  <c r="I557" i="19"/>
  <c r="L557" i="19"/>
  <c r="N557" i="19"/>
  <c r="N559" i="19" s="1"/>
  <c r="M83" i="17" s="1"/>
  <c r="N83" i="17" s="1"/>
  <c r="G98" i="21"/>
  <c r="G232" i="19" s="1"/>
  <c r="O98" i="21"/>
  <c r="K81" i="20"/>
  <c r="H81" i="20"/>
  <c r="K427" i="20"/>
  <c r="H427" i="20"/>
  <c r="K463" i="20"/>
  <c r="H463" i="20"/>
  <c r="K16" i="20"/>
  <c r="H16" i="20"/>
  <c r="L16" i="20" s="1"/>
  <c r="K202" i="20"/>
  <c r="H202" i="20"/>
  <c r="K457" i="20"/>
  <c r="H457" i="20"/>
  <c r="H471" i="20"/>
  <c r="K471" i="20"/>
  <c r="K5" i="20"/>
  <c r="F5" i="20"/>
  <c r="G147" i="21"/>
  <c r="G354" i="19" s="1"/>
  <c r="O147" i="21"/>
  <c r="G299" i="21"/>
  <c r="G649" i="19" s="1"/>
  <c r="O299" i="21"/>
  <c r="L493" i="15"/>
  <c r="J133" i="16"/>
  <c r="M493" i="15" s="1"/>
  <c r="G135" i="21"/>
  <c r="G328" i="19" s="1"/>
  <c r="O135" i="21"/>
  <c r="G104" i="21"/>
  <c r="G240" i="19" s="1"/>
  <c r="O104" i="21"/>
  <c r="J98" i="15"/>
  <c r="H77" i="16"/>
  <c r="K98" i="15" s="1"/>
  <c r="K270" i="20"/>
  <c r="F270" i="20"/>
  <c r="G285" i="21"/>
  <c r="G626" i="19" s="1"/>
  <c r="O285" i="21"/>
  <c r="L526" i="20"/>
  <c r="L300" i="15"/>
  <c r="J114" i="16"/>
  <c r="M300" i="15" s="1"/>
  <c r="L169" i="15"/>
  <c r="J16" i="16"/>
  <c r="M169" i="15" s="1"/>
  <c r="N642" i="19"/>
  <c r="L642" i="19"/>
  <c r="AE642" i="19" s="1"/>
  <c r="I642" i="19"/>
  <c r="N653" i="15"/>
  <c r="F333" i="14" s="1"/>
  <c r="I653" i="15"/>
  <c r="K326" i="20"/>
  <c r="F326" i="20"/>
  <c r="K347" i="20"/>
  <c r="F347" i="20"/>
  <c r="K422" i="20"/>
  <c r="H422" i="20"/>
  <c r="H616" i="20"/>
  <c r="K616" i="20"/>
  <c r="H215" i="19"/>
  <c r="L20" i="22"/>
  <c r="I208" i="16"/>
  <c r="H97" i="18"/>
  <c r="G206" i="21"/>
  <c r="G475" i="19" s="1"/>
  <c r="O206" i="21"/>
  <c r="I318" i="20"/>
  <c r="J318" i="20" s="1"/>
  <c r="J323" i="20" s="1"/>
  <c r="G46" i="18" s="1"/>
  <c r="I67" i="16" s="1"/>
  <c r="I309" i="20"/>
  <c r="J309" i="20" s="1"/>
  <c r="J314" i="20" s="1"/>
  <c r="G45" i="18" s="1"/>
  <c r="I66" i="16" s="1"/>
  <c r="I58" i="16"/>
  <c r="J209" i="15"/>
  <c r="H36" i="16"/>
  <c r="K209" i="15" s="1"/>
  <c r="AB580" i="19"/>
  <c r="L93" i="22"/>
  <c r="H739" i="15" s="1"/>
  <c r="G318" i="21"/>
  <c r="G683" i="19" s="1"/>
  <c r="O318" i="21"/>
  <c r="H73" i="20"/>
  <c r="K73" i="20"/>
  <c r="K257" i="20"/>
  <c r="H257" i="20"/>
  <c r="N675" i="19"/>
  <c r="L675" i="19"/>
  <c r="I675" i="19"/>
  <c r="P675" i="19" s="1"/>
  <c r="K196" i="20"/>
  <c r="F196" i="20"/>
  <c r="L196" i="20" s="1"/>
  <c r="H496" i="19"/>
  <c r="L81" i="22"/>
  <c r="H231" i="19"/>
  <c r="L23" i="22"/>
  <c r="H297" i="19"/>
  <c r="L35" i="22"/>
  <c r="H488" i="19"/>
  <c r="L80" i="22"/>
  <c r="H157" i="19"/>
  <c r="L13" i="22"/>
  <c r="H352" i="19"/>
  <c r="L50" i="22"/>
  <c r="AB544" i="19"/>
  <c r="L87" i="22"/>
  <c r="H727" i="15" s="1"/>
  <c r="H682" i="15"/>
  <c r="L112" i="22"/>
  <c r="H199" i="19"/>
  <c r="L18" i="22"/>
  <c r="N764" i="15"/>
  <c r="I380" i="14" s="1"/>
  <c r="L380" i="14" s="1"/>
  <c r="I764" i="15"/>
  <c r="K66" i="20"/>
  <c r="H66" i="20"/>
  <c r="F20" i="20"/>
  <c r="K20" i="20"/>
  <c r="H180" i="20"/>
  <c r="L180" i="20" s="1"/>
  <c r="K180" i="20"/>
  <c r="K251" i="20"/>
  <c r="H251" i="20"/>
  <c r="L251" i="20" s="1"/>
  <c r="K88" i="20"/>
  <c r="H88" i="20"/>
  <c r="H451" i="20"/>
  <c r="K451" i="20"/>
  <c r="K484" i="20"/>
  <c r="H484" i="20"/>
  <c r="K342" i="20"/>
  <c r="H342" i="20"/>
  <c r="H478" i="20"/>
  <c r="K478" i="20"/>
  <c r="K574" i="20"/>
  <c r="H574" i="20"/>
  <c r="G138" i="21"/>
  <c r="G334" i="19" s="1"/>
  <c r="O138" i="21"/>
  <c r="J556" i="15"/>
  <c r="H200" i="16"/>
  <c r="K556" i="15" s="1"/>
  <c r="G66" i="21"/>
  <c r="G152" i="19" s="1"/>
  <c r="O66" i="21"/>
  <c r="J207" i="15"/>
  <c r="H35" i="16"/>
  <c r="K207" i="15" s="1"/>
  <c r="G290" i="21"/>
  <c r="G634" i="19" s="1"/>
  <c r="O290" i="21"/>
  <c r="L92" i="15"/>
  <c r="J74" i="16"/>
  <c r="M92" i="15" s="1"/>
  <c r="L412" i="15"/>
  <c r="J154" i="16"/>
  <c r="M412" i="15" s="1"/>
  <c r="I60" i="16"/>
  <c r="I24" i="16"/>
  <c r="H23" i="18"/>
  <c r="G114" i="21"/>
  <c r="G254" i="19" s="1"/>
  <c r="O114" i="21"/>
  <c r="E152" i="16"/>
  <c r="E204" i="16"/>
  <c r="H76" i="18"/>
  <c r="L205" i="15"/>
  <c r="J34" i="16"/>
  <c r="M205" i="15" s="1"/>
  <c r="L582" i="15"/>
  <c r="J213" i="16"/>
  <c r="M582" i="15" s="1"/>
  <c r="L62" i="15"/>
  <c r="J59" i="16"/>
  <c r="M62" i="15" s="1"/>
  <c r="I76" i="13"/>
  <c r="O76" i="13"/>
  <c r="H504" i="19"/>
  <c r="L82" i="22"/>
  <c r="H474" i="19"/>
  <c r="L78" i="22"/>
  <c r="K195" i="20"/>
  <c r="F195" i="20"/>
  <c r="L195" i="20" s="1"/>
  <c r="G305" i="21"/>
  <c r="G658" i="19" s="1"/>
  <c r="O305" i="21"/>
  <c r="K322" i="20"/>
  <c r="H322" i="20"/>
  <c r="E321" i="20" s="1"/>
  <c r="G315" i="21"/>
  <c r="G676" i="19" s="1"/>
  <c r="O315" i="21"/>
  <c r="L39" i="19"/>
  <c r="O39" i="19"/>
  <c r="I344" i="14"/>
  <c r="L344" i="14" s="1"/>
  <c r="N687" i="15"/>
  <c r="I687" i="15"/>
  <c r="H44" i="20"/>
  <c r="K44" i="20"/>
  <c r="K186" i="20"/>
  <c r="F186" i="20"/>
  <c r="I184" i="19"/>
  <c r="N184" i="19"/>
  <c r="N187" i="19" s="1"/>
  <c r="M24" i="17" s="1"/>
  <c r="N24" i="17" s="1"/>
  <c r="L184" i="19"/>
  <c r="L444" i="15"/>
  <c r="J170" i="16"/>
  <c r="M444" i="15" s="1"/>
  <c r="N426" i="19"/>
  <c r="N428" i="19" s="1"/>
  <c r="M64" i="17" s="1"/>
  <c r="N64" i="17" s="1"/>
  <c r="L475" i="15" s="1"/>
  <c r="M475" i="15" s="1"/>
  <c r="O475" i="15" s="1"/>
  <c r="Q474" i="15" s="1"/>
  <c r="L426" i="19"/>
  <c r="I426" i="19"/>
  <c r="P426" i="19" s="1"/>
  <c r="L587" i="19"/>
  <c r="I587" i="19"/>
  <c r="N587" i="19"/>
  <c r="N589" i="19" s="1"/>
  <c r="M88" i="17" s="1"/>
  <c r="N88" i="17" s="1"/>
  <c r="K139" i="20"/>
  <c r="F139" i="20"/>
  <c r="N420" i="19"/>
  <c r="N422" i="19" s="1"/>
  <c r="M63" i="17" s="1"/>
  <c r="N63" i="17" s="1"/>
  <c r="Q472" i="15" s="1"/>
  <c r="L420" i="19"/>
  <c r="I420" i="19"/>
  <c r="N247" i="19"/>
  <c r="L247" i="19"/>
  <c r="AE247" i="19" s="1"/>
  <c r="I247" i="19"/>
  <c r="P247" i="19" s="1"/>
  <c r="N491" i="19"/>
  <c r="L491" i="19"/>
  <c r="AE491" i="19" s="1"/>
  <c r="I491" i="19"/>
  <c r="P491" i="19" s="1"/>
  <c r="F328" i="20"/>
  <c r="L328" i="20" s="1"/>
  <c r="K328" i="20"/>
  <c r="K48" i="20"/>
  <c r="F48" i="20"/>
  <c r="H511" i="19"/>
  <c r="L83" i="22"/>
  <c r="H407" i="19"/>
  <c r="L59" i="22"/>
  <c r="H449" i="19"/>
  <c r="L71" i="22"/>
  <c r="AB574" i="19"/>
  <c r="L92" i="22"/>
  <c r="H737" i="15" s="1"/>
  <c r="H245" i="19"/>
  <c r="L25" i="22"/>
  <c r="H425" i="19"/>
  <c r="L62" i="22"/>
  <c r="H614" i="19"/>
  <c r="L99" i="22"/>
  <c r="H93" i="19"/>
  <c r="L5" i="22"/>
  <c r="H271" i="19"/>
  <c r="L30" i="22"/>
  <c r="N762" i="15"/>
  <c r="I379" i="14" s="1"/>
  <c r="L379" i="14" s="1"/>
  <c r="I762" i="15"/>
  <c r="K58" i="20"/>
  <c r="H58" i="20"/>
  <c r="F262" i="20"/>
  <c r="K262" i="20"/>
  <c r="K367" i="20"/>
  <c r="F367" i="20"/>
  <c r="L367" i="20" s="1"/>
  <c r="K162" i="20"/>
  <c r="H162" i="20"/>
  <c r="L162" i="20" s="1"/>
  <c r="H100" i="20"/>
  <c r="K100" i="20"/>
  <c r="K492" i="20"/>
  <c r="H492" i="20"/>
  <c r="K37" i="20"/>
  <c r="H37" i="20"/>
  <c r="H556" i="20"/>
  <c r="K556" i="20"/>
  <c r="K445" i="20"/>
  <c r="H445" i="20"/>
  <c r="K562" i="20"/>
  <c r="H562" i="20"/>
  <c r="H22" i="20"/>
  <c r="K22" i="20"/>
  <c r="I348" i="14"/>
  <c r="L348" i="14" s="1"/>
  <c r="N695" i="15"/>
  <c r="I695" i="15"/>
  <c r="G236" i="21"/>
  <c r="G529" i="19" s="1"/>
  <c r="O236" i="21"/>
  <c r="G129" i="21"/>
  <c r="G316" i="19" s="1"/>
  <c r="O129" i="21"/>
  <c r="O77" i="19"/>
  <c r="L77" i="19"/>
  <c r="G300" i="21"/>
  <c r="G650" i="19" s="1"/>
  <c r="O300" i="21"/>
  <c r="G51" i="21"/>
  <c r="G112" i="19" s="1"/>
  <c r="O51" i="21"/>
  <c r="G21" i="21"/>
  <c r="G45" i="19" s="1"/>
  <c r="O21" i="21"/>
  <c r="L191" i="15"/>
  <c r="J27" i="16"/>
  <c r="M191" i="15" s="1"/>
  <c r="L566" i="15"/>
  <c r="J205" i="16"/>
  <c r="M566" i="15" s="1"/>
  <c r="L173" i="15"/>
  <c r="J18" i="16"/>
  <c r="M173" i="15" s="1"/>
  <c r="N499" i="19"/>
  <c r="L499" i="19"/>
  <c r="AE499" i="19" s="1"/>
  <c r="I499" i="19"/>
  <c r="L72" i="20"/>
  <c r="L171" i="15"/>
  <c r="J17" i="16"/>
  <c r="M171" i="15" s="1"/>
  <c r="N246" i="19"/>
  <c r="L246" i="19"/>
  <c r="I246" i="19"/>
  <c r="P246" i="19" s="1"/>
  <c r="H366" i="20"/>
  <c r="K366" i="20"/>
  <c r="I209" i="16"/>
  <c r="I112" i="16"/>
  <c r="H437" i="19"/>
  <c r="L69" i="22"/>
  <c r="I732" i="15"/>
  <c r="N732" i="15"/>
  <c r="I364" i="14" s="1"/>
  <c r="K407" i="20"/>
  <c r="H407" i="20"/>
  <c r="I152" i="16"/>
  <c r="I204" i="16"/>
  <c r="K28" i="20"/>
  <c r="F28" i="20"/>
  <c r="L193" i="19"/>
  <c r="N193" i="19"/>
  <c r="N196" i="19" s="1"/>
  <c r="M25" i="17" s="1"/>
  <c r="N25" i="17" s="1"/>
  <c r="I193" i="19"/>
  <c r="P193" i="19" s="1"/>
  <c r="AB556" i="19"/>
  <c r="L89" i="22"/>
  <c r="H731" i="15" s="1"/>
  <c r="G210" i="21"/>
  <c r="G482" i="19" s="1"/>
  <c r="O210" i="21"/>
  <c r="F177" i="20"/>
  <c r="K177" i="20"/>
  <c r="L513" i="19"/>
  <c r="N513" i="19"/>
  <c r="N516" i="19" s="1"/>
  <c r="M77" i="17" s="1"/>
  <c r="N77" i="17" s="1"/>
  <c r="I513" i="19"/>
  <c r="P513" i="19" s="1"/>
  <c r="G25" i="21"/>
  <c r="G55" i="19" s="1"/>
  <c r="G183" i="21"/>
  <c r="G432" i="19" s="1"/>
  <c r="H406" i="15"/>
  <c r="N406" i="15" s="1"/>
  <c r="I209" i="14" s="1"/>
  <c r="L209" i="14" s="1"/>
  <c r="F151" i="16"/>
  <c r="N754" i="15"/>
  <c r="I375" i="14" s="1"/>
  <c r="L375" i="14" s="1"/>
  <c r="I754" i="15"/>
  <c r="AB568" i="19"/>
  <c r="L91" i="22"/>
  <c r="H735" i="15" s="1"/>
  <c r="AB592" i="19"/>
  <c r="L95" i="22"/>
  <c r="H676" i="15" s="1"/>
  <c r="H672" i="19"/>
  <c r="L107" i="22"/>
  <c r="H647" i="19"/>
  <c r="L104" i="22"/>
  <c r="H307" i="19"/>
  <c r="L37" i="22"/>
  <c r="H36" i="19"/>
  <c r="L74" i="22"/>
  <c r="N655" i="15"/>
  <c r="F334" i="14" s="1"/>
  <c r="L334" i="14" s="1"/>
  <c r="I655" i="15"/>
  <c r="H190" i="19"/>
  <c r="L17" i="22"/>
  <c r="H333" i="19"/>
  <c r="L42" i="22"/>
  <c r="I752" i="15"/>
  <c r="N752" i="15"/>
  <c r="I374" i="14" s="1"/>
  <c r="L374" i="14" s="1"/>
  <c r="H188" i="20"/>
  <c r="K188" i="20"/>
  <c r="H130" i="20"/>
  <c r="K130" i="20"/>
  <c r="L90" i="15"/>
  <c r="J73" i="16"/>
  <c r="M90" i="15" s="1"/>
  <c r="K333" i="20"/>
  <c r="F333" i="20"/>
  <c r="K172" i="20"/>
  <c r="H172" i="20"/>
  <c r="L172" i="20" s="1"/>
  <c r="G30" i="21"/>
  <c r="G64" i="19" s="1"/>
  <c r="O30" i="21"/>
  <c r="K118" i="20"/>
  <c r="H118" i="20"/>
  <c r="H107" i="20"/>
  <c r="K107" i="20"/>
  <c r="K349" i="20"/>
  <c r="H349" i="20"/>
  <c r="H51" i="20"/>
  <c r="K51" i="20"/>
  <c r="H550" i="20"/>
  <c r="K550" i="20"/>
  <c r="K637" i="20"/>
  <c r="H637" i="20"/>
  <c r="H393" i="20"/>
  <c r="K393" i="20"/>
  <c r="G232" i="21"/>
  <c r="G521" i="19" s="1"/>
  <c r="O232" i="21"/>
  <c r="G120" i="21"/>
  <c r="G286" i="19" s="1"/>
  <c r="O120" i="21"/>
  <c r="L62" i="19"/>
  <c r="O62" i="19"/>
  <c r="G186" i="21"/>
  <c r="G438" i="19" s="1"/>
  <c r="O186" i="21"/>
  <c r="L189" i="15"/>
  <c r="J26" i="16"/>
  <c r="M189" i="15" s="1"/>
  <c r="L515" i="20"/>
  <c r="F519" i="20"/>
  <c r="L519" i="20" s="1"/>
  <c r="L298" i="15"/>
  <c r="J113" i="16"/>
  <c r="M298" i="15" s="1"/>
  <c r="L155" i="20"/>
  <c r="N194" i="19"/>
  <c r="L194" i="19"/>
  <c r="AE194" i="19" s="1"/>
  <c r="I194" i="19"/>
  <c r="P194" i="19" s="1"/>
  <c r="K79" i="20"/>
  <c r="F79" i="20"/>
  <c r="I125" i="20"/>
  <c r="J125" i="20" s="1"/>
  <c r="J134" i="20" s="1"/>
  <c r="G21" i="18" s="1"/>
  <c r="I22" i="16" s="1"/>
  <c r="I11" i="16"/>
  <c r="L159" i="15" s="1"/>
  <c r="J15" i="16"/>
  <c r="M167" i="15" s="1"/>
  <c r="O470" i="19"/>
  <c r="I470" i="19"/>
  <c r="P470" i="19" s="1"/>
  <c r="Q86" i="13"/>
  <c r="H461" i="19"/>
  <c r="L73" i="22"/>
  <c r="I218" i="19"/>
  <c r="P218" i="19" s="1"/>
  <c r="N218" i="19"/>
  <c r="N220" i="19" s="1"/>
  <c r="M28" i="17" s="1"/>
  <c r="N28" i="17" s="1"/>
  <c r="L218" i="19"/>
  <c r="H141" i="19"/>
  <c r="L11" i="22"/>
  <c r="H38" i="19"/>
  <c r="L52" i="22"/>
  <c r="L477" i="15"/>
  <c r="N756" i="15"/>
  <c r="I376" i="14" s="1"/>
  <c r="L376" i="14" s="1"/>
  <c r="I756" i="15"/>
  <c r="H315" i="19"/>
  <c r="L39" i="22"/>
  <c r="N581" i="19"/>
  <c r="N583" i="19" s="1"/>
  <c r="M87" i="17" s="1"/>
  <c r="N87" i="17" s="1"/>
  <c r="L581" i="19"/>
  <c r="I581" i="19"/>
  <c r="L136" i="19"/>
  <c r="I136" i="19"/>
  <c r="N136" i="19"/>
  <c r="N138" i="19" s="1"/>
  <c r="M18" i="17" s="1"/>
  <c r="N18" i="17" s="1"/>
  <c r="G260" i="21"/>
  <c r="G575" i="19" s="1"/>
  <c r="N666" i="19"/>
  <c r="N669" i="19" s="1"/>
  <c r="M99" i="17" s="1"/>
  <c r="N99" i="17" s="1"/>
  <c r="I666" i="19"/>
  <c r="L666" i="19"/>
  <c r="N616" i="19"/>
  <c r="N619" i="19" s="1"/>
  <c r="M93" i="17" s="1"/>
  <c r="N93" i="17" s="1"/>
  <c r="L616" i="19"/>
  <c r="I616" i="19"/>
  <c r="N79" i="19"/>
  <c r="N82" i="19" s="1"/>
  <c r="M11" i="17" s="1"/>
  <c r="N11" i="17" s="1"/>
  <c r="L79" i="19"/>
  <c r="AE79" i="19" s="1"/>
  <c r="AE82" i="19" s="1"/>
  <c r="AC82" i="19" s="1"/>
  <c r="I79" i="19"/>
  <c r="P79" i="19" s="1"/>
  <c r="H558" i="15"/>
  <c r="N558" i="15" s="1"/>
  <c r="I286" i="14" s="1"/>
  <c r="L286" i="14" s="1"/>
  <c r="F201" i="16"/>
  <c r="H133" i="19"/>
  <c r="L10" i="22"/>
  <c r="H275" i="19"/>
  <c r="L31" i="22"/>
  <c r="H109" i="19"/>
  <c r="L7" i="22"/>
  <c r="H149" i="19"/>
  <c r="L12" i="22"/>
  <c r="H345" i="19"/>
  <c r="L49" i="22"/>
  <c r="H535" i="19"/>
  <c r="L86" i="22"/>
  <c r="H85" i="19"/>
  <c r="L4" i="22"/>
  <c r="H267" i="19"/>
  <c r="L29" i="22"/>
  <c r="H373" i="19"/>
  <c r="L54" i="22"/>
  <c r="I736" i="15"/>
  <c r="N736" i="15"/>
  <c r="I366" i="14" s="1"/>
  <c r="K691" i="20"/>
  <c r="H691" i="20"/>
  <c r="K247" i="20"/>
  <c r="H247" i="20"/>
  <c r="K302" i="20"/>
  <c r="F302" i="20"/>
  <c r="K189" i="20"/>
  <c r="H189" i="20"/>
  <c r="L189" i="20" s="1"/>
  <c r="H433" i="20"/>
  <c r="K433" i="20"/>
  <c r="K272" i="20"/>
  <c r="H272" i="20"/>
  <c r="K208" i="20"/>
  <c r="H208" i="20"/>
  <c r="K610" i="20"/>
  <c r="H610" i="20"/>
  <c r="K622" i="20"/>
  <c r="H622" i="20"/>
  <c r="K290" i="20"/>
  <c r="H290" i="20"/>
  <c r="K439" i="20"/>
  <c r="H439" i="20"/>
  <c r="I746" i="15"/>
  <c r="N746" i="15"/>
  <c r="I371" i="14" s="1"/>
  <c r="L371" i="14" s="1"/>
  <c r="G88" i="21"/>
  <c r="G202" i="19" s="1"/>
  <c r="O88" i="21"/>
  <c r="E240" i="20"/>
  <c r="G19" i="21"/>
  <c r="G43" i="19" s="1"/>
  <c r="O19" i="21"/>
  <c r="F386" i="20"/>
  <c r="L386" i="20" s="1"/>
  <c r="N44" i="19"/>
  <c r="L44" i="19"/>
  <c r="AE44" i="19" s="1"/>
  <c r="I44" i="19"/>
  <c r="P44" i="19" s="1"/>
  <c r="N605" i="19"/>
  <c r="N607" i="19" s="1"/>
  <c r="M91" i="17" s="1"/>
  <c r="N91" i="17" s="1"/>
  <c r="L605" i="19"/>
  <c r="I605" i="19"/>
  <c r="L100" i="15"/>
  <c r="J78" i="16"/>
  <c r="M100" i="15" s="1"/>
  <c r="L580" i="15"/>
  <c r="J212" i="16"/>
  <c r="M580" i="15" s="1"/>
  <c r="E34" i="18"/>
  <c r="L231" i="20"/>
  <c r="L292" i="15"/>
  <c r="J110" i="16"/>
  <c r="I82" i="13"/>
  <c r="P82" i="13" s="1"/>
  <c r="O82" i="13"/>
  <c r="H480" i="19"/>
  <c r="L79" i="22"/>
  <c r="E102" i="18"/>
  <c r="H102" i="18" s="1"/>
  <c r="L688" i="20"/>
  <c r="N456" i="19"/>
  <c r="N458" i="19" s="1"/>
  <c r="M69" i="17" s="1"/>
  <c r="N69" i="17" s="1"/>
  <c r="L456" i="19"/>
  <c r="I456" i="19"/>
  <c r="P456" i="19" s="1"/>
  <c r="H413" i="19"/>
  <c r="L60" i="22"/>
  <c r="K317" i="20"/>
  <c r="F317" i="20"/>
  <c r="H655" i="19"/>
  <c r="L105" i="22"/>
  <c r="H37" i="19"/>
  <c r="L64" i="22"/>
  <c r="K671" i="20"/>
  <c r="F671" i="20"/>
  <c r="H497" i="20"/>
  <c r="K497" i="20"/>
  <c r="G174" i="21"/>
  <c r="G414" i="19" s="1"/>
  <c r="O174" i="21"/>
  <c r="N347" i="19"/>
  <c r="N349" i="19" s="1"/>
  <c r="M52" i="17" s="1"/>
  <c r="N52" i="17" s="1"/>
  <c r="L347" i="19"/>
  <c r="I347" i="19"/>
  <c r="N462" i="19"/>
  <c r="N465" i="19" s="1"/>
  <c r="M70" i="17" s="1"/>
  <c r="N70" i="17" s="1"/>
  <c r="L462" i="19"/>
  <c r="I462" i="19"/>
  <c r="G245" i="21"/>
  <c r="G545" i="19" s="1"/>
  <c r="I382" i="19"/>
  <c r="L382" i="19"/>
  <c r="N382" i="19"/>
  <c r="N384" i="19" s="1"/>
  <c r="M57" i="17" s="1"/>
  <c r="N57" i="17" s="1"/>
  <c r="I68" i="16"/>
  <c r="I29" i="16"/>
  <c r="H25" i="19"/>
  <c r="L46" i="22"/>
  <c r="H54" i="19"/>
  <c r="L67" i="22"/>
  <c r="H339" i="19"/>
  <c r="L43" i="22"/>
  <c r="H238" i="19"/>
  <c r="L24" i="22"/>
  <c r="H419" i="19"/>
  <c r="L61" i="22"/>
  <c r="AB610" i="19"/>
  <c r="L98" i="22"/>
  <c r="H651" i="15" s="1"/>
  <c r="H181" i="19"/>
  <c r="L16" i="22"/>
  <c r="H327" i="19"/>
  <c r="L41" i="22"/>
  <c r="H51" i="19"/>
  <c r="L66" i="22"/>
  <c r="K194" i="20"/>
  <c r="F194" i="20"/>
  <c r="H93" i="20"/>
  <c r="K93" i="20"/>
  <c r="K179" i="20"/>
  <c r="H179" i="20"/>
  <c r="I730" i="15"/>
  <c r="N730" i="15"/>
  <c r="I363" i="14" s="1"/>
  <c r="K353" i="20"/>
  <c r="F353" i="20"/>
  <c r="G241" i="21"/>
  <c r="G538" i="19" s="1"/>
  <c r="O241" i="21"/>
  <c r="K59" i="20"/>
  <c r="H59" i="20"/>
  <c r="L59" i="20" s="1"/>
  <c r="I347" i="14"/>
  <c r="L347" i="14" s="1"/>
  <c r="N693" i="15"/>
  <c r="I693" i="15"/>
  <c r="K220" i="20"/>
  <c r="H220" i="20"/>
  <c r="H284" i="20"/>
  <c r="K284" i="20"/>
  <c r="K277" i="20"/>
  <c r="H277" i="20"/>
  <c r="L277" i="20" s="1"/>
  <c r="K361" i="20"/>
  <c r="H361" i="20"/>
  <c r="L361" i="20" s="1"/>
  <c r="K544" i="20"/>
  <c r="H544" i="20"/>
  <c r="G224" i="21"/>
  <c r="G506" i="19" s="1"/>
  <c r="O224" i="21"/>
  <c r="G72" i="21"/>
  <c r="G168" i="19" s="1"/>
  <c r="O72" i="21"/>
  <c r="I657" i="19"/>
  <c r="L657" i="19"/>
  <c r="N657" i="19"/>
  <c r="O52" i="19"/>
  <c r="L52" i="19"/>
  <c r="G153" i="21"/>
  <c r="G368" i="19" s="1"/>
  <c r="O153" i="21"/>
  <c r="G269" i="21"/>
  <c r="G593" i="19" s="1"/>
  <c r="O269" i="21"/>
  <c r="G132" i="21"/>
  <c r="G322" i="19" s="1"/>
  <c r="O132" i="21"/>
  <c r="J195" i="15"/>
  <c r="H29" i="16"/>
  <c r="K195" i="15" s="1"/>
  <c r="L209" i="15"/>
  <c r="J36" i="16"/>
  <c r="M209" i="15" s="1"/>
  <c r="G189" i="21"/>
  <c r="G444" i="19" s="1"/>
  <c r="O189" i="21"/>
  <c r="I129" i="16"/>
  <c r="I207" i="16"/>
  <c r="I54" i="16"/>
  <c r="J274" i="15"/>
  <c r="N274" i="15" s="1"/>
  <c r="I142" i="14" s="1"/>
  <c r="L142" i="14" s="1"/>
  <c r="H101" i="16"/>
  <c r="J14" i="16"/>
  <c r="M165" i="15" s="1"/>
  <c r="L58" i="15"/>
  <c r="J57" i="16"/>
  <c r="N154" i="13"/>
  <c r="L154" i="13"/>
  <c r="L313" i="20" l="1"/>
  <c r="M436" i="15"/>
  <c r="K166" i="16"/>
  <c r="O436" i="15" s="1"/>
  <c r="Q435" i="15" s="1"/>
  <c r="H75" i="18"/>
  <c r="I150" i="16"/>
  <c r="I198" i="16"/>
  <c r="M32" i="13"/>
  <c r="N32" i="13" s="1"/>
  <c r="K32" i="13"/>
  <c r="L32" i="13" s="1"/>
  <c r="M153" i="15"/>
  <c r="M155" i="15"/>
  <c r="M420" i="15"/>
  <c r="K158" i="16"/>
  <c r="O420" i="15" s="1"/>
  <c r="Q419" i="15" s="1"/>
  <c r="L418" i="15"/>
  <c r="J157" i="16"/>
  <c r="M304" i="15"/>
  <c r="K116" i="16"/>
  <c r="O304" i="15" s="1"/>
  <c r="Q303" i="15" s="1"/>
  <c r="M149" i="15"/>
  <c r="M79" i="13" s="1"/>
  <c r="K112" i="14"/>
  <c r="H54" i="13"/>
  <c r="O216" i="15"/>
  <c r="Q116" i="15"/>
  <c r="L278" i="15"/>
  <c r="J103" i="16"/>
  <c r="L483" i="15"/>
  <c r="J128" i="16"/>
  <c r="M414" i="15"/>
  <c r="K155" i="16"/>
  <c r="O414" i="15" s="1"/>
  <c r="Q413" i="15" s="1"/>
  <c r="L104" i="19"/>
  <c r="N104" i="19"/>
  <c r="N106" i="19" s="1"/>
  <c r="M14" i="17" s="1"/>
  <c r="N14" i="17" s="1"/>
  <c r="I104" i="19"/>
  <c r="N450" i="19"/>
  <c r="N452" i="19" s="1"/>
  <c r="M68" i="17" s="1"/>
  <c r="N68" i="17" s="1"/>
  <c r="L450" i="19"/>
  <c r="I450" i="19"/>
  <c r="E35" i="20"/>
  <c r="L34" i="20"/>
  <c r="E629" i="20"/>
  <c r="L628" i="20"/>
  <c r="H630" i="20"/>
  <c r="F93" i="18" s="1"/>
  <c r="G171" i="16" s="1"/>
  <c r="I322" i="19"/>
  <c r="P322" i="19" s="1"/>
  <c r="N322" i="19"/>
  <c r="N324" i="19" s="1"/>
  <c r="M48" i="17" s="1"/>
  <c r="N48" i="17" s="1"/>
  <c r="L322" i="19"/>
  <c r="K347" i="14"/>
  <c r="N347" i="14" s="1"/>
  <c r="O693" i="15"/>
  <c r="Q692" i="15" s="1"/>
  <c r="L80" i="15"/>
  <c r="J68" i="16"/>
  <c r="M80" i="15" s="1"/>
  <c r="N414" i="19"/>
  <c r="N416" i="19" s="1"/>
  <c r="M62" i="17" s="1"/>
  <c r="N62" i="17" s="1"/>
  <c r="L414" i="19"/>
  <c r="I414" i="19"/>
  <c r="P414" i="19" s="1"/>
  <c r="O413" i="19"/>
  <c r="I413" i="19"/>
  <c r="M292" i="15"/>
  <c r="K110" i="16"/>
  <c r="O292" i="15" s="1"/>
  <c r="Q291" i="15" s="1"/>
  <c r="E434" i="20"/>
  <c r="L433" i="20"/>
  <c r="H435" i="20"/>
  <c r="AC373" i="19"/>
  <c r="AC374" i="19" s="1"/>
  <c r="O373" i="19"/>
  <c r="I373" i="19"/>
  <c r="AC109" i="19"/>
  <c r="AC111" i="19" s="1"/>
  <c r="I109" i="19"/>
  <c r="O109" i="19"/>
  <c r="O315" i="19"/>
  <c r="I315" i="19"/>
  <c r="L637" i="20"/>
  <c r="H638" i="20"/>
  <c r="F94" i="18" s="1"/>
  <c r="G199" i="16" s="1"/>
  <c r="N432" i="19"/>
  <c r="N434" i="19" s="1"/>
  <c r="M65" i="17" s="1"/>
  <c r="N65" i="17" s="1"/>
  <c r="L432" i="19"/>
  <c r="I432" i="19"/>
  <c r="L296" i="15"/>
  <c r="J112" i="16"/>
  <c r="M296" i="15" s="1"/>
  <c r="P499" i="19"/>
  <c r="AE587" i="19"/>
  <c r="AE589" i="19" s="1"/>
  <c r="AC589" i="19" s="1"/>
  <c r="L589" i="19"/>
  <c r="K88" i="17" s="1"/>
  <c r="L88" i="17" s="1"/>
  <c r="AD589" i="19"/>
  <c r="L44" i="20"/>
  <c r="H45" i="20"/>
  <c r="F9" i="18" s="1"/>
  <c r="G10" i="16" s="1"/>
  <c r="J157" i="15" s="1"/>
  <c r="E43" i="20"/>
  <c r="I334" i="19"/>
  <c r="P334" i="19" s="1"/>
  <c r="L334" i="19"/>
  <c r="N334" i="19"/>
  <c r="N336" i="19" s="1"/>
  <c r="M50" i="17" s="1"/>
  <c r="N50" i="17" s="1"/>
  <c r="I199" i="19"/>
  <c r="O199" i="19"/>
  <c r="AC199" i="19"/>
  <c r="AC201" i="19" s="1"/>
  <c r="I297" i="19"/>
  <c r="O297" i="19"/>
  <c r="I475" i="19"/>
  <c r="P475" i="19" s="1"/>
  <c r="N475" i="19"/>
  <c r="N477" i="19" s="1"/>
  <c r="M72" i="17" s="1"/>
  <c r="N72" i="17" s="1"/>
  <c r="L475" i="19"/>
  <c r="L202" i="20"/>
  <c r="H203" i="20"/>
  <c r="F29" i="18" s="1"/>
  <c r="G30" i="16" s="1"/>
  <c r="E201" i="20"/>
  <c r="K367" i="14"/>
  <c r="O738" i="15"/>
  <c r="P88" i="19"/>
  <c r="O366" i="19"/>
  <c r="AC366" i="19"/>
  <c r="AC367" i="19" s="1"/>
  <c r="I366" i="19"/>
  <c r="I563" i="19"/>
  <c r="N563" i="19"/>
  <c r="N565" i="19" s="1"/>
  <c r="M84" i="17" s="1"/>
  <c r="N84" i="17" s="1"/>
  <c r="L563" i="19"/>
  <c r="L477" i="20"/>
  <c r="O259" i="19"/>
  <c r="I259" i="19"/>
  <c r="N408" i="19"/>
  <c r="N410" i="19" s="1"/>
  <c r="M61" i="17" s="1"/>
  <c r="N61" i="17" s="1"/>
  <c r="L408" i="19"/>
  <c r="I408" i="19"/>
  <c r="N396" i="19"/>
  <c r="N398" i="19" s="1"/>
  <c r="M59" i="17" s="1"/>
  <c r="N59" i="17" s="1"/>
  <c r="L396" i="19"/>
  <c r="I396" i="19"/>
  <c r="I519" i="19"/>
  <c r="O519" i="19"/>
  <c r="AC519" i="19"/>
  <c r="AC520" i="19" s="1"/>
  <c r="P176" i="19"/>
  <c r="H10" i="20"/>
  <c r="F4" i="18" s="1"/>
  <c r="G5" i="16" s="1"/>
  <c r="J145" i="15" s="1"/>
  <c r="E8" i="20"/>
  <c r="L9" i="20"/>
  <c r="E599" i="20"/>
  <c r="L598" i="20"/>
  <c r="H600" i="20"/>
  <c r="E95" i="18"/>
  <c r="L646" i="20"/>
  <c r="L112" i="20"/>
  <c r="E113" i="20"/>
  <c r="H114" i="20"/>
  <c r="F19" i="18" s="1"/>
  <c r="G20" i="16" s="1"/>
  <c r="O6" i="19"/>
  <c r="I6" i="19"/>
  <c r="P6" i="19" s="1"/>
  <c r="N292" i="19"/>
  <c r="N294" i="19" s="1"/>
  <c r="M42" i="17" s="1"/>
  <c r="N42" i="17" s="1"/>
  <c r="Q462" i="15" s="1"/>
  <c r="L292" i="19"/>
  <c r="I292" i="19"/>
  <c r="P292" i="19" s="1"/>
  <c r="P483" i="19"/>
  <c r="N737" i="15"/>
  <c r="F366" i="14" s="1"/>
  <c r="L366" i="14" s="1"/>
  <c r="I737" i="15"/>
  <c r="I311" i="19"/>
  <c r="O311" i="19"/>
  <c r="F341" i="14"/>
  <c r="L341" i="14" s="1"/>
  <c r="N678" i="15"/>
  <c r="I678" i="15"/>
  <c r="M54" i="15"/>
  <c r="K55" i="16"/>
  <c r="O54" i="15" s="1"/>
  <c r="Q53" i="15" s="1"/>
  <c r="I461" i="19"/>
  <c r="O461" i="19"/>
  <c r="K374" i="14"/>
  <c r="N374" i="14" s="1"/>
  <c r="O752" i="15"/>
  <c r="Q751" i="15" s="1"/>
  <c r="K344" i="14"/>
  <c r="O687" i="15"/>
  <c r="Q686" i="15" s="1"/>
  <c r="L626" i="19"/>
  <c r="I626" i="19"/>
  <c r="N626" i="19"/>
  <c r="N628" i="19" s="1"/>
  <c r="M94" i="17" s="1"/>
  <c r="N94" i="17" s="1"/>
  <c r="K346" i="14"/>
  <c r="N346" i="14" s="1"/>
  <c r="O691" i="15"/>
  <c r="Q690" i="15" s="1"/>
  <c r="AD458" i="19"/>
  <c r="AE456" i="19"/>
  <c r="AE458" i="19" s="1"/>
  <c r="AC458" i="19" s="1"/>
  <c r="L458" i="19"/>
  <c r="K69" i="17" s="1"/>
  <c r="L69" i="17" s="1"/>
  <c r="E23" i="20"/>
  <c r="L22" i="20"/>
  <c r="H24" i="20"/>
  <c r="F6" i="18" s="1"/>
  <c r="G7" i="16" s="1"/>
  <c r="J149" i="15" s="1"/>
  <c r="L280" i="15"/>
  <c r="J104" i="16"/>
  <c r="M280" i="15" s="1"/>
  <c r="AE176" i="19"/>
  <c r="AE178" i="19" s="1"/>
  <c r="AC178" i="19" s="1"/>
  <c r="AD178" i="19"/>
  <c r="H177" i="19" s="1"/>
  <c r="L178" i="19"/>
  <c r="K23" i="17" s="1"/>
  <c r="L23" i="17" s="1"/>
  <c r="L194" i="20"/>
  <c r="F197" i="20"/>
  <c r="P382" i="19"/>
  <c r="E672" i="20"/>
  <c r="L671" i="20"/>
  <c r="E238" i="20"/>
  <c r="E35" i="16"/>
  <c r="E77" i="16"/>
  <c r="H34" i="18"/>
  <c r="E623" i="20"/>
  <c r="H624" i="20"/>
  <c r="F92" i="18" s="1"/>
  <c r="G170" i="16" s="1"/>
  <c r="L622" i="20"/>
  <c r="L302" i="20"/>
  <c r="M477" i="15"/>
  <c r="N438" i="19"/>
  <c r="N440" i="19" s="1"/>
  <c r="M66" i="17" s="1"/>
  <c r="N66" i="17" s="1"/>
  <c r="L438" i="19"/>
  <c r="I438" i="19"/>
  <c r="E551" i="20"/>
  <c r="L550" i="20"/>
  <c r="H552" i="20"/>
  <c r="O333" i="19"/>
  <c r="I333" i="19"/>
  <c r="O672" i="19"/>
  <c r="AC672" i="19"/>
  <c r="AC674" i="19" s="1"/>
  <c r="I672" i="19"/>
  <c r="E369" i="20"/>
  <c r="H371" i="20"/>
  <c r="F53" i="18" s="1"/>
  <c r="G75" i="16" s="1"/>
  <c r="N650" i="19"/>
  <c r="L650" i="19"/>
  <c r="AE650" i="19" s="1"/>
  <c r="I650" i="19"/>
  <c r="E563" i="20"/>
  <c r="L562" i="20"/>
  <c r="H564" i="20"/>
  <c r="O474" i="19"/>
  <c r="I474" i="19"/>
  <c r="N727" i="15"/>
  <c r="F361" i="14" s="1"/>
  <c r="L361" i="14" s="1"/>
  <c r="I727" i="15"/>
  <c r="L683" i="19"/>
  <c r="I683" i="19"/>
  <c r="P683" i="19" s="1"/>
  <c r="N683" i="19"/>
  <c r="N685" i="19" s="1"/>
  <c r="M101" i="17" s="1"/>
  <c r="N101" i="17" s="1"/>
  <c r="P642" i="19"/>
  <c r="N649" i="19"/>
  <c r="N652" i="19" s="1"/>
  <c r="M97" i="17" s="1"/>
  <c r="N97" i="17" s="1"/>
  <c r="L649" i="19"/>
  <c r="I649" i="19"/>
  <c r="P649" i="19" s="1"/>
  <c r="I101" i="19"/>
  <c r="O101" i="19"/>
  <c r="AC101" i="19"/>
  <c r="AC103" i="19" s="1"/>
  <c r="O431" i="19"/>
  <c r="I431" i="19"/>
  <c r="P56" i="19"/>
  <c r="K333" i="14"/>
  <c r="O652" i="15"/>
  <c r="H369" i="14"/>
  <c r="N369" i="14" s="1"/>
  <c r="O743" i="15"/>
  <c r="Q743" i="15" s="1"/>
  <c r="K312" i="20"/>
  <c r="F312" i="20"/>
  <c r="L312" i="20" s="1"/>
  <c r="P539" i="19"/>
  <c r="O468" i="19"/>
  <c r="I468" i="19"/>
  <c r="AE30" i="19"/>
  <c r="AE32" i="19" s="1"/>
  <c r="AC32" i="19" s="1"/>
  <c r="L32" i="19"/>
  <c r="K6" i="17" s="1"/>
  <c r="L6" i="17" s="1"/>
  <c r="AD32" i="19"/>
  <c r="E656" i="20"/>
  <c r="L655" i="20"/>
  <c r="I498" i="19"/>
  <c r="N498" i="19"/>
  <c r="N501" i="19" s="1"/>
  <c r="M75" i="17" s="1"/>
  <c r="N75" i="17" s="1"/>
  <c r="L498" i="19"/>
  <c r="K8" i="16"/>
  <c r="L79" i="20"/>
  <c r="E190" i="20"/>
  <c r="L188" i="20"/>
  <c r="H191" i="20"/>
  <c r="F27" i="18" s="1"/>
  <c r="G28" i="16" s="1"/>
  <c r="K379" i="14"/>
  <c r="N379" i="14" s="1"/>
  <c r="N385" i="14" s="1"/>
  <c r="O762" i="15"/>
  <c r="Q761" i="15" s="1"/>
  <c r="L88" i="20"/>
  <c r="H89" i="20"/>
  <c r="F15" i="18" s="1"/>
  <c r="E87" i="20"/>
  <c r="L210" i="19"/>
  <c r="N210" i="19"/>
  <c r="N212" i="19" s="1"/>
  <c r="M27" i="17" s="1"/>
  <c r="N27" i="17" s="1"/>
  <c r="I210" i="19"/>
  <c r="P210" i="19" s="1"/>
  <c r="H659" i="20"/>
  <c r="E658" i="20"/>
  <c r="H291" i="20"/>
  <c r="F42" i="18" s="1"/>
  <c r="G63" i="16" s="1"/>
  <c r="E289" i="20"/>
  <c r="L290" i="20"/>
  <c r="L574" i="15"/>
  <c r="J209" i="16"/>
  <c r="M574" i="15" s="1"/>
  <c r="I455" i="19"/>
  <c r="O455" i="19"/>
  <c r="L270" i="20"/>
  <c r="L391" i="19"/>
  <c r="K58" i="17" s="1"/>
  <c r="L58" i="17" s="1"/>
  <c r="AE389" i="19"/>
  <c r="AE391" i="19" s="1"/>
  <c r="AC391" i="19" s="1"/>
  <c r="AD391" i="19"/>
  <c r="I599" i="19"/>
  <c r="N599" i="19"/>
  <c r="N601" i="19" s="1"/>
  <c r="M90" i="17" s="1"/>
  <c r="N90" i="17" s="1"/>
  <c r="L599" i="19"/>
  <c r="O16" i="19"/>
  <c r="I16" i="19"/>
  <c r="P16" i="19" s="1"/>
  <c r="N368" i="19"/>
  <c r="N370" i="19" s="1"/>
  <c r="M55" i="17" s="1"/>
  <c r="N55" i="17" s="1"/>
  <c r="L368" i="19"/>
  <c r="I368" i="19"/>
  <c r="N545" i="19"/>
  <c r="N547" i="19" s="1"/>
  <c r="M81" i="17" s="1"/>
  <c r="N81" i="17" s="1"/>
  <c r="L545" i="19"/>
  <c r="I545" i="19"/>
  <c r="L43" i="19"/>
  <c r="AE43" i="19" s="1"/>
  <c r="I43" i="19"/>
  <c r="P43" i="19" s="1"/>
  <c r="N43" i="19"/>
  <c r="AC85" i="19"/>
  <c r="AC87" i="19" s="1"/>
  <c r="O85" i="19"/>
  <c r="I85" i="19"/>
  <c r="I133" i="19"/>
  <c r="AC133" i="19"/>
  <c r="AC135" i="19" s="1"/>
  <c r="O133" i="19"/>
  <c r="N575" i="19"/>
  <c r="N577" i="19" s="1"/>
  <c r="M86" i="17" s="1"/>
  <c r="N86" i="17" s="1"/>
  <c r="L575" i="19"/>
  <c r="I575" i="19"/>
  <c r="L333" i="20"/>
  <c r="F340" i="14"/>
  <c r="L340" i="14" s="1"/>
  <c r="N676" i="15"/>
  <c r="I676" i="15"/>
  <c r="AD516" i="19"/>
  <c r="H515" i="19" s="1"/>
  <c r="AE513" i="19"/>
  <c r="AE516" i="19" s="1"/>
  <c r="AC516" i="19" s="1"/>
  <c r="L516" i="19"/>
  <c r="K77" i="17" s="1"/>
  <c r="L77" i="17" s="1"/>
  <c r="L564" i="15"/>
  <c r="J204" i="16"/>
  <c r="M564" i="15" s="1"/>
  <c r="P77" i="19"/>
  <c r="AD82" i="19"/>
  <c r="H81" i="19" s="1"/>
  <c r="L82" i="19"/>
  <c r="K11" i="17" s="1"/>
  <c r="L11" i="17" s="1"/>
  <c r="O93" i="19"/>
  <c r="I93" i="19"/>
  <c r="AC93" i="19"/>
  <c r="AC95" i="19" s="1"/>
  <c r="O407" i="19"/>
  <c r="I407" i="19"/>
  <c r="H564" i="15"/>
  <c r="N564" i="15" s="1"/>
  <c r="I289" i="14" s="1"/>
  <c r="L289" i="14" s="1"/>
  <c r="F204" i="16"/>
  <c r="L634" i="19"/>
  <c r="AE634" i="19" s="1"/>
  <c r="N634" i="19"/>
  <c r="I634" i="19"/>
  <c r="P634" i="19" s="1"/>
  <c r="E479" i="20"/>
  <c r="H480" i="20"/>
  <c r="F69" i="18" s="1"/>
  <c r="G127" i="16" s="1"/>
  <c r="L478" i="20"/>
  <c r="I496" i="19"/>
  <c r="O496" i="19"/>
  <c r="AC496" i="19"/>
  <c r="AC497" i="19" s="1"/>
  <c r="N739" i="15"/>
  <c r="F367" i="14" s="1"/>
  <c r="L367" i="14" s="1"/>
  <c r="I739" i="15"/>
  <c r="AC215" i="19"/>
  <c r="AC217" i="19" s="1"/>
  <c r="O215" i="19"/>
  <c r="I215" i="19"/>
  <c r="E464" i="20"/>
  <c r="L463" i="20"/>
  <c r="H465" i="20"/>
  <c r="F67" i="18" s="1"/>
  <c r="G121" i="16" s="1"/>
  <c r="AE20" i="19"/>
  <c r="AE22" i="19" s="1"/>
  <c r="AC22" i="19" s="1"/>
  <c r="L22" i="19"/>
  <c r="K5" i="17" s="1"/>
  <c r="L5" i="17" s="1"/>
  <c r="AD22" i="19"/>
  <c r="AC639" i="19"/>
  <c r="AC640" i="19" s="1"/>
  <c r="O639" i="19"/>
  <c r="I639" i="19"/>
  <c r="K127" i="20"/>
  <c r="F127" i="20"/>
  <c r="L127" i="20" s="1"/>
  <c r="L491" i="15"/>
  <c r="J132" i="16"/>
  <c r="L333" i="14"/>
  <c r="O443" i="19"/>
  <c r="I443" i="19"/>
  <c r="N239" i="19"/>
  <c r="L239" i="19"/>
  <c r="I239" i="19"/>
  <c r="O29" i="19"/>
  <c r="I29" i="19"/>
  <c r="P29" i="19" s="1"/>
  <c r="I291" i="19"/>
  <c r="O291" i="19"/>
  <c r="N233" i="19"/>
  <c r="L233" i="19"/>
  <c r="AE233" i="19" s="1"/>
  <c r="I233" i="19"/>
  <c r="P233" i="19" s="1"/>
  <c r="I303" i="19"/>
  <c r="O303" i="19"/>
  <c r="J564" i="15"/>
  <c r="H204" i="16"/>
  <c r="K564" i="15" s="1"/>
  <c r="E605" i="20"/>
  <c r="H606" i="20"/>
  <c r="F89" i="18" s="1"/>
  <c r="G167" i="16" s="1"/>
  <c r="L604" i="20"/>
  <c r="L94" i="15"/>
  <c r="J75" i="16"/>
  <c r="M94" i="15" s="1"/>
  <c r="E593" i="20"/>
  <c r="H594" i="20"/>
  <c r="F87" i="18" s="1"/>
  <c r="G165" i="16" s="1"/>
  <c r="L592" i="20"/>
  <c r="O50" i="19"/>
  <c r="I50" i="19"/>
  <c r="AC117" i="19"/>
  <c r="AC119" i="19" s="1"/>
  <c r="O117" i="19"/>
  <c r="I117" i="19"/>
  <c r="O263" i="19"/>
  <c r="I263" i="19"/>
  <c r="E181" i="20"/>
  <c r="L179" i="20"/>
  <c r="H182" i="20"/>
  <c r="F26" i="18" s="1"/>
  <c r="G27" i="16" s="1"/>
  <c r="O437" i="19"/>
  <c r="I437" i="19"/>
  <c r="I506" i="19"/>
  <c r="N506" i="19"/>
  <c r="N508" i="19" s="1"/>
  <c r="M76" i="17" s="1"/>
  <c r="N76" i="17" s="1"/>
  <c r="L506" i="19"/>
  <c r="L112" i="19"/>
  <c r="I112" i="19"/>
  <c r="N112" i="19"/>
  <c r="N114" i="19" s="1"/>
  <c r="M15" i="17" s="1"/>
  <c r="N15" i="17" s="1"/>
  <c r="N65" i="19"/>
  <c r="L65" i="19"/>
  <c r="AE65" i="19" s="1"/>
  <c r="I65" i="19"/>
  <c r="P65" i="19" s="1"/>
  <c r="AD428" i="19"/>
  <c r="H427" i="19" s="1"/>
  <c r="AE426" i="19"/>
  <c r="AE428" i="19" s="1"/>
  <c r="AC428" i="19" s="1"/>
  <c r="L428" i="19"/>
  <c r="K64" i="17" s="1"/>
  <c r="L64" i="17" s="1"/>
  <c r="O231" i="19"/>
  <c r="I231" i="19"/>
  <c r="O387" i="19"/>
  <c r="AC387" i="19"/>
  <c r="AC388" i="19" s="1"/>
  <c r="I387" i="19"/>
  <c r="E170" i="20"/>
  <c r="H173" i="20"/>
  <c r="F25" i="18" s="1"/>
  <c r="G26" i="16" s="1"/>
  <c r="L171" i="20"/>
  <c r="L570" i="15"/>
  <c r="J207" i="16"/>
  <c r="M570" i="15" s="1"/>
  <c r="L485" i="15"/>
  <c r="J129" i="16"/>
  <c r="M485" i="15" s="1"/>
  <c r="E362" i="20"/>
  <c r="H363" i="20"/>
  <c r="F52" i="18" s="1"/>
  <c r="G74" i="16" s="1"/>
  <c r="I238" i="19"/>
  <c r="O238" i="19"/>
  <c r="P52" i="19"/>
  <c r="P462" i="19"/>
  <c r="E611" i="20"/>
  <c r="H612" i="20"/>
  <c r="F90" i="18" s="1"/>
  <c r="G168" i="16" s="1"/>
  <c r="L610" i="20"/>
  <c r="E252" i="20"/>
  <c r="L247" i="20"/>
  <c r="I558" i="15"/>
  <c r="K286" i="14" s="1"/>
  <c r="N286" i="14" s="1"/>
  <c r="K201" i="16"/>
  <c r="O558" i="15" s="1"/>
  <c r="Q557" i="15" s="1"/>
  <c r="P62" i="19"/>
  <c r="H52" i="20"/>
  <c r="F10" i="18" s="1"/>
  <c r="E50" i="20"/>
  <c r="L51" i="20"/>
  <c r="AC190" i="19"/>
  <c r="AC192" i="19" s="1"/>
  <c r="O190" i="19"/>
  <c r="I190" i="19"/>
  <c r="L408" i="15"/>
  <c r="J152" i="16"/>
  <c r="M408" i="15" s="1"/>
  <c r="AE246" i="19"/>
  <c r="AE249" i="19" s="1"/>
  <c r="AC249" i="19" s="1"/>
  <c r="AD249" i="19"/>
  <c r="H248" i="19" s="1"/>
  <c r="L249" i="19"/>
  <c r="K33" i="17" s="1"/>
  <c r="L33" i="17" s="1"/>
  <c r="E446" i="20"/>
  <c r="L445" i="20"/>
  <c r="H447" i="20"/>
  <c r="F64" i="18" s="1"/>
  <c r="G118" i="16" s="1"/>
  <c r="P420" i="19"/>
  <c r="L47" i="19"/>
  <c r="K7" i="17" s="1"/>
  <c r="L7" i="17" s="1"/>
  <c r="P39" i="19"/>
  <c r="AD47" i="19"/>
  <c r="AC504" i="19"/>
  <c r="AC505" i="19" s="1"/>
  <c r="I504" i="19"/>
  <c r="O504" i="19"/>
  <c r="H408" i="15"/>
  <c r="N408" i="15" s="1"/>
  <c r="I210" i="14" s="1"/>
  <c r="L210" i="14" s="1"/>
  <c r="F152" i="16"/>
  <c r="H343" i="20"/>
  <c r="F49" i="18" s="1"/>
  <c r="G71" i="16" s="1"/>
  <c r="E341" i="20"/>
  <c r="L342" i="20"/>
  <c r="N354" i="19"/>
  <c r="N356" i="19" s="1"/>
  <c r="M53" i="17" s="1"/>
  <c r="N53" i="17" s="1"/>
  <c r="Q470" i="15" s="1"/>
  <c r="L354" i="19"/>
  <c r="I354" i="19"/>
  <c r="O622" i="19"/>
  <c r="I622" i="19"/>
  <c r="AC622" i="19"/>
  <c r="AC624" i="19" s="1"/>
  <c r="AC663" i="19"/>
  <c r="AC665" i="19" s="1"/>
  <c r="O663" i="19"/>
  <c r="I663" i="19"/>
  <c r="P80" i="19"/>
  <c r="AE128" i="19"/>
  <c r="AE130" i="19" s="1"/>
  <c r="AC130" i="19" s="1"/>
  <c r="L130" i="19"/>
  <c r="K17" i="17" s="1"/>
  <c r="L17" i="17" s="1"/>
  <c r="AD130" i="19"/>
  <c r="H129" i="19" s="1"/>
  <c r="L635" i="20"/>
  <c r="F638" i="20"/>
  <c r="L581" i="20"/>
  <c r="E580" i="20"/>
  <c r="H582" i="20"/>
  <c r="F85" i="18" s="1"/>
  <c r="G163" i="16" s="1"/>
  <c r="I729" i="15"/>
  <c r="N729" i="15"/>
  <c r="F362" i="14" s="1"/>
  <c r="L489" i="15"/>
  <c r="J131" i="16"/>
  <c r="L406" i="20"/>
  <c r="I19" i="19"/>
  <c r="P19" i="19" s="1"/>
  <c r="O19" i="19"/>
  <c r="AE633" i="19"/>
  <c r="AE636" i="19" s="1"/>
  <c r="AC636" i="19" s="1"/>
  <c r="L636" i="19"/>
  <c r="K95" i="17" s="1"/>
  <c r="L95" i="17" s="1"/>
  <c r="AD636" i="19"/>
  <c r="AC394" i="19"/>
  <c r="AC395" i="19" s="1"/>
  <c r="O394" i="19"/>
  <c r="I394" i="19"/>
  <c r="P144" i="19"/>
  <c r="J408" i="15"/>
  <c r="H152" i="16"/>
  <c r="K408" i="15" s="1"/>
  <c r="F342" i="14"/>
  <c r="L342" i="14" s="1"/>
  <c r="N680" i="15"/>
  <c r="I680" i="15"/>
  <c r="P530" i="19"/>
  <c r="K274" i="15"/>
  <c r="K101" i="16"/>
  <c r="AE616" i="19"/>
  <c r="AE619" i="19" s="1"/>
  <c r="AC619" i="19" s="1"/>
  <c r="AD619" i="19"/>
  <c r="H618" i="19" s="1"/>
  <c r="L619" i="19"/>
  <c r="K93" i="17" s="1"/>
  <c r="L93" i="17" s="1"/>
  <c r="N658" i="19"/>
  <c r="L658" i="19"/>
  <c r="AE658" i="19" s="1"/>
  <c r="I658" i="19"/>
  <c r="F533" i="20"/>
  <c r="L530" i="20"/>
  <c r="E509" i="20"/>
  <c r="L510" i="20"/>
  <c r="H511" i="20"/>
  <c r="F74" i="18" s="1"/>
  <c r="G133" i="16" s="1"/>
  <c r="O647" i="19"/>
  <c r="I647" i="19"/>
  <c r="AC647" i="19"/>
  <c r="AC648" i="19" s="1"/>
  <c r="I76" i="19"/>
  <c r="O76" i="19"/>
  <c r="E587" i="20"/>
  <c r="H588" i="20"/>
  <c r="F86" i="18" s="1"/>
  <c r="G164" i="16" s="1"/>
  <c r="L586" i="20"/>
  <c r="E679" i="20"/>
  <c r="L678" i="20"/>
  <c r="E95" i="20"/>
  <c r="L93" i="20"/>
  <c r="H96" i="20"/>
  <c r="F16" i="18" s="1"/>
  <c r="P666" i="19"/>
  <c r="O271" i="19"/>
  <c r="I271" i="19"/>
  <c r="L572" i="15"/>
  <c r="J208" i="16"/>
  <c r="AC207" i="19"/>
  <c r="AC209" i="19" s="1"/>
  <c r="O207" i="19"/>
  <c r="I207" i="19"/>
  <c r="O631" i="19"/>
  <c r="I631" i="19"/>
  <c r="AC631" i="19"/>
  <c r="AC632" i="19" s="1"/>
  <c r="I361" i="19"/>
  <c r="L361" i="19"/>
  <c r="N361" i="19"/>
  <c r="N363" i="19" s="1"/>
  <c r="M54" i="17" s="1"/>
  <c r="N54" i="17" s="1"/>
  <c r="AE253" i="19"/>
  <c r="N444" i="19"/>
  <c r="N446" i="19" s="1"/>
  <c r="M67" i="17" s="1"/>
  <c r="N67" i="17" s="1"/>
  <c r="L444" i="19"/>
  <c r="I444" i="19"/>
  <c r="E278" i="20"/>
  <c r="H279" i="20"/>
  <c r="F40" i="18" s="1"/>
  <c r="I538" i="19"/>
  <c r="P538" i="19" s="1"/>
  <c r="L538" i="19"/>
  <c r="N538" i="19"/>
  <c r="N541" i="19" s="1"/>
  <c r="M80" i="17" s="1"/>
  <c r="N80" i="17" s="1"/>
  <c r="I51" i="19"/>
  <c r="P51" i="19" s="1"/>
  <c r="O51" i="19"/>
  <c r="O339" i="19"/>
  <c r="I339" i="19"/>
  <c r="AE462" i="19"/>
  <c r="AE465" i="19" s="1"/>
  <c r="AC465" i="19" s="1"/>
  <c r="AD465" i="19"/>
  <c r="H464" i="19" s="1"/>
  <c r="L465" i="19"/>
  <c r="K70" i="17" s="1"/>
  <c r="L70" i="17" s="1"/>
  <c r="O37" i="19"/>
  <c r="I37" i="19"/>
  <c r="P37" i="19" s="1"/>
  <c r="F240" i="20"/>
  <c r="O535" i="19"/>
  <c r="I535" i="19"/>
  <c r="AC535" i="19"/>
  <c r="AC537" i="19" s="1"/>
  <c r="P136" i="19"/>
  <c r="AC38" i="19"/>
  <c r="AC42" i="19" s="1"/>
  <c r="O38" i="19"/>
  <c r="I38" i="19"/>
  <c r="P38" i="19" s="1"/>
  <c r="E348" i="20"/>
  <c r="L349" i="20"/>
  <c r="H350" i="20"/>
  <c r="F50" i="18" s="1"/>
  <c r="G72" i="16" s="1"/>
  <c r="H334" i="14"/>
  <c r="N334" i="14" s="1"/>
  <c r="O655" i="15"/>
  <c r="N735" i="15"/>
  <c r="F365" i="14" s="1"/>
  <c r="I735" i="15"/>
  <c r="L177" i="20"/>
  <c r="L407" i="20"/>
  <c r="H409" i="20"/>
  <c r="F58" i="18" s="1"/>
  <c r="G107" i="16" s="1"/>
  <c r="E408" i="20"/>
  <c r="N249" i="19"/>
  <c r="M33" i="17" s="1"/>
  <c r="N33" i="17" s="1"/>
  <c r="AC614" i="19"/>
  <c r="AC615" i="19" s="1"/>
  <c r="I614" i="19"/>
  <c r="O614" i="19"/>
  <c r="O511" i="19"/>
  <c r="I511" i="19"/>
  <c r="AC511" i="19"/>
  <c r="AC512" i="19" s="1"/>
  <c r="AD422" i="19"/>
  <c r="AE420" i="19"/>
  <c r="AE422" i="19" s="1"/>
  <c r="AC422" i="19" s="1"/>
  <c r="L422" i="19"/>
  <c r="K63" i="17" s="1"/>
  <c r="L63" i="17" s="1"/>
  <c r="AE184" i="19"/>
  <c r="AE187" i="19" s="1"/>
  <c r="AC187" i="19" s="1"/>
  <c r="AD187" i="19"/>
  <c r="H186" i="19" s="1"/>
  <c r="L187" i="19"/>
  <c r="K24" i="17" s="1"/>
  <c r="L24" i="17" s="1"/>
  <c r="E21" i="20"/>
  <c r="L20" i="20"/>
  <c r="AC352" i="19"/>
  <c r="AC353" i="19" s="1"/>
  <c r="O352" i="19"/>
  <c r="I352" i="19"/>
  <c r="E617" i="20"/>
  <c r="L616" i="20"/>
  <c r="H618" i="20"/>
  <c r="F91" i="18" s="1"/>
  <c r="G169" i="16" s="1"/>
  <c r="E6" i="20"/>
  <c r="L5" i="20"/>
  <c r="E7" i="20"/>
  <c r="E428" i="20"/>
  <c r="L427" i="20"/>
  <c r="H429" i="20"/>
  <c r="F61" i="18" s="1"/>
  <c r="G115" i="16" s="1"/>
  <c r="K350" i="14"/>
  <c r="N350" i="14" s="1"/>
  <c r="O699" i="15"/>
  <c r="Q698" i="15" s="1"/>
  <c r="N741" i="15"/>
  <c r="F368" i="14" s="1"/>
  <c r="L368" i="14" s="1"/>
  <c r="I741" i="15"/>
  <c r="AD342" i="19"/>
  <c r="AE340" i="19"/>
  <c r="AE342" i="19" s="1"/>
  <c r="AC342" i="19" s="1"/>
  <c r="L342" i="19"/>
  <c r="K51" i="17" s="1"/>
  <c r="L51" i="17" s="1"/>
  <c r="O401" i="19"/>
  <c r="I401" i="19"/>
  <c r="O701" i="15"/>
  <c r="N96" i="19"/>
  <c r="N98" i="19" s="1"/>
  <c r="M13" i="17" s="1"/>
  <c r="N13" i="17" s="1"/>
  <c r="L96" i="19"/>
  <c r="I96" i="19"/>
  <c r="P490" i="19"/>
  <c r="H100" i="15"/>
  <c r="N100" i="15" s="1"/>
  <c r="I54" i="14" s="1"/>
  <c r="L54" i="14" s="1"/>
  <c r="F78" i="16"/>
  <c r="K378" i="14"/>
  <c r="N378" i="14" s="1"/>
  <c r="O760" i="15"/>
  <c r="Q759" i="15" s="1"/>
  <c r="I9" i="19"/>
  <c r="P9" i="19" s="1"/>
  <c r="O9" i="19"/>
  <c r="I227" i="19"/>
  <c r="O227" i="19"/>
  <c r="AE120" i="19"/>
  <c r="AE122" i="19" s="1"/>
  <c r="AC122" i="19" s="1"/>
  <c r="L122" i="19"/>
  <c r="K16" i="17" s="1"/>
  <c r="L16" i="17" s="1"/>
  <c r="AD122" i="19"/>
  <c r="P633" i="19"/>
  <c r="P551" i="19"/>
  <c r="E504" i="20"/>
  <c r="L503" i="20"/>
  <c r="H505" i="20"/>
  <c r="E205" i="16"/>
  <c r="E154" i="16"/>
  <c r="H78" i="18"/>
  <c r="L356" i="20"/>
  <c r="H357" i="20"/>
  <c r="F51" i="18" s="1"/>
  <c r="G73" i="16" s="1"/>
  <c r="E355" i="20"/>
  <c r="O321" i="19"/>
  <c r="I321" i="19"/>
  <c r="I285" i="19"/>
  <c r="O285" i="19"/>
  <c r="L168" i="19"/>
  <c r="I168" i="19"/>
  <c r="P168" i="19" s="1"/>
  <c r="N168" i="19"/>
  <c r="N170" i="19" s="1"/>
  <c r="M22" i="17" s="1"/>
  <c r="N22" i="17" s="1"/>
  <c r="Q458" i="15" s="1"/>
  <c r="L195" i="15"/>
  <c r="J29" i="16"/>
  <c r="M195" i="15" s="1"/>
  <c r="E440" i="20"/>
  <c r="H441" i="20"/>
  <c r="F63" i="18" s="1"/>
  <c r="G117" i="16" s="1"/>
  <c r="L439" i="20"/>
  <c r="N232" i="19"/>
  <c r="I232" i="19"/>
  <c r="L232" i="19"/>
  <c r="AE193" i="19"/>
  <c r="AE196" i="19" s="1"/>
  <c r="AC196" i="19" s="1"/>
  <c r="L196" i="19"/>
  <c r="K25" i="17" s="1"/>
  <c r="L25" i="17" s="1"/>
  <c r="AD196" i="19"/>
  <c r="H195" i="19" s="1"/>
  <c r="E74" i="20"/>
  <c r="L73" i="20"/>
  <c r="H75" i="20"/>
  <c r="F13" i="18" s="1"/>
  <c r="AE557" i="19"/>
  <c r="AE559" i="19" s="1"/>
  <c r="AC559" i="19" s="1"/>
  <c r="AD559" i="19"/>
  <c r="L559" i="19"/>
  <c r="K83" i="17" s="1"/>
  <c r="L83" i="17" s="1"/>
  <c r="L56" i="20"/>
  <c r="K377" i="14"/>
  <c r="N377" i="14" s="1"/>
  <c r="O758" i="15"/>
  <c r="Q757" i="15" s="1"/>
  <c r="O26" i="19"/>
  <c r="I26" i="19"/>
  <c r="P26" i="19" s="1"/>
  <c r="E545" i="20"/>
  <c r="L544" i="20"/>
  <c r="H546" i="20"/>
  <c r="E498" i="20"/>
  <c r="H499" i="20"/>
  <c r="L497" i="20"/>
  <c r="E101" i="20"/>
  <c r="L100" i="20"/>
  <c r="H102" i="20"/>
  <c r="F17" i="18" s="1"/>
  <c r="E651" i="20"/>
  <c r="L650" i="20"/>
  <c r="H652" i="20"/>
  <c r="F96" i="18" s="1"/>
  <c r="G206" i="16" s="1"/>
  <c r="M58" i="15"/>
  <c r="K57" i="16"/>
  <c r="O58" i="15" s="1"/>
  <c r="Q57" i="15" s="1"/>
  <c r="AE136" i="19"/>
  <c r="AE138" i="19" s="1"/>
  <c r="AC138" i="19" s="1"/>
  <c r="AD138" i="19"/>
  <c r="H137" i="19" s="1"/>
  <c r="L138" i="19"/>
  <c r="K18" i="17" s="1"/>
  <c r="L18" i="17" s="1"/>
  <c r="K15" i="16"/>
  <c r="N286" i="19"/>
  <c r="N288" i="19" s="1"/>
  <c r="M41" i="17" s="1"/>
  <c r="N41" i="17" s="1"/>
  <c r="L286" i="19"/>
  <c r="I286" i="19"/>
  <c r="P286" i="19" s="1"/>
  <c r="I316" i="19"/>
  <c r="N316" i="19"/>
  <c r="N318" i="19" s="1"/>
  <c r="M47" i="17" s="1"/>
  <c r="N47" i="17" s="1"/>
  <c r="Q468" i="15" s="1"/>
  <c r="L316" i="19"/>
  <c r="E49" i="20"/>
  <c r="L48" i="20"/>
  <c r="L676" i="19"/>
  <c r="AE676" i="19" s="1"/>
  <c r="I676" i="19"/>
  <c r="P676" i="19" s="1"/>
  <c r="N676" i="19"/>
  <c r="N254" i="19"/>
  <c r="N256" i="19" s="1"/>
  <c r="M34" i="17" s="1"/>
  <c r="N34" i="17" s="1"/>
  <c r="L254" i="19"/>
  <c r="AE254" i="19" s="1"/>
  <c r="I254" i="19"/>
  <c r="P254" i="19" s="1"/>
  <c r="E485" i="20"/>
  <c r="L484" i="20"/>
  <c r="H486" i="20"/>
  <c r="E65" i="20"/>
  <c r="H68" i="20"/>
  <c r="F12" i="18" s="1"/>
  <c r="G13" i="16" s="1"/>
  <c r="J163" i="15" s="1"/>
  <c r="L66" i="20"/>
  <c r="H423" i="20"/>
  <c r="F60" i="18" s="1"/>
  <c r="E421" i="20"/>
  <c r="L422" i="20"/>
  <c r="O18" i="19"/>
  <c r="I18" i="19"/>
  <c r="P18" i="19" s="1"/>
  <c r="N280" i="19"/>
  <c r="N282" i="19" s="1"/>
  <c r="M40" i="17" s="1"/>
  <c r="N40" i="17" s="1"/>
  <c r="L280" i="19"/>
  <c r="I280" i="19"/>
  <c r="P280" i="19" s="1"/>
  <c r="P52" i="13"/>
  <c r="L322" i="20"/>
  <c r="K365" i="14"/>
  <c r="O734" i="15"/>
  <c r="L296" i="20"/>
  <c r="E295" i="20"/>
  <c r="H297" i="20"/>
  <c r="F43" i="18" s="1"/>
  <c r="G64" i="16" s="1"/>
  <c r="AD493" i="19"/>
  <c r="AE490" i="19"/>
  <c r="AE493" i="19" s="1"/>
  <c r="AC493" i="19" s="1"/>
  <c r="L493" i="19"/>
  <c r="K74" i="17" s="1"/>
  <c r="L74" i="17" s="1"/>
  <c r="H209" i="15"/>
  <c r="N209" i="15" s="1"/>
  <c r="F108" i="14" s="1"/>
  <c r="L108" i="14" s="1"/>
  <c r="F36" i="16"/>
  <c r="E30" i="20"/>
  <c r="H31" i="20"/>
  <c r="L29" i="20"/>
  <c r="I279" i="19"/>
  <c r="O279" i="19"/>
  <c r="N636" i="19"/>
  <c r="M95" i="17" s="1"/>
  <c r="N95" i="17" s="1"/>
  <c r="AE551" i="19"/>
  <c r="AE553" i="19" s="1"/>
  <c r="AC553" i="19" s="1"/>
  <c r="L553" i="19"/>
  <c r="K82" i="17" s="1"/>
  <c r="L82" i="17" s="1"/>
  <c r="AD553" i="19"/>
  <c r="H552" i="19" s="1"/>
  <c r="AE144" i="19"/>
  <c r="AE146" i="19" s="1"/>
  <c r="AC146" i="19" s="1"/>
  <c r="AD146" i="19"/>
  <c r="H145" i="19" s="1"/>
  <c r="L146" i="19"/>
  <c r="K19" i="17" s="1"/>
  <c r="L19" i="17" s="1"/>
  <c r="M66" i="15"/>
  <c r="K61" i="16"/>
  <c r="O66" i="15" s="1"/>
  <c r="Q65" i="15" s="1"/>
  <c r="O35" i="19"/>
  <c r="I35" i="19"/>
  <c r="L86" i="20"/>
  <c r="L479" i="15"/>
  <c r="J126" i="16"/>
  <c r="M479" i="15" s="1"/>
  <c r="L308" i="20"/>
  <c r="K477" i="15"/>
  <c r="K125" i="16"/>
  <c r="P587" i="19"/>
  <c r="M282" i="15"/>
  <c r="K105" i="16"/>
  <c r="O282" i="15" s="1"/>
  <c r="Q281" i="15" s="1"/>
  <c r="K376" i="14"/>
  <c r="N376" i="14" s="1"/>
  <c r="O756" i="15"/>
  <c r="Q755" i="15" s="1"/>
  <c r="E575" i="20"/>
  <c r="L574" i="20"/>
  <c r="H576" i="20"/>
  <c r="F84" i="18" s="1"/>
  <c r="G160" i="16" s="1"/>
  <c r="AE88" i="19"/>
  <c r="AE90" i="19" s="1"/>
  <c r="AC90" i="19" s="1"/>
  <c r="L90" i="19"/>
  <c r="K12" i="17" s="1"/>
  <c r="L12" i="17" s="1"/>
  <c r="AD90" i="19"/>
  <c r="H89" i="19" s="1"/>
  <c r="N733" i="15"/>
  <c r="F364" i="14" s="1"/>
  <c r="I733" i="15"/>
  <c r="N593" i="19"/>
  <c r="N595" i="19" s="1"/>
  <c r="M89" i="17" s="1"/>
  <c r="N89" i="17" s="1"/>
  <c r="L593" i="19"/>
  <c r="I593" i="19"/>
  <c r="O419" i="19"/>
  <c r="I419" i="19"/>
  <c r="O267" i="19"/>
  <c r="I267" i="19"/>
  <c r="L28" i="20"/>
  <c r="P557" i="19"/>
  <c r="N660" i="19"/>
  <c r="M98" i="17" s="1"/>
  <c r="N98" i="17" s="1"/>
  <c r="L353" i="20"/>
  <c r="E207" i="20"/>
  <c r="L208" i="20"/>
  <c r="H209" i="20"/>
  <c r="F30" i="18" s="1"/>
  <c r="G31" i="16" s="1"/>
  <c r="AE657" i="19"/>
  <c r="AE660" i="19" s="1"/>
  <c r="AC660" i="19" s="1"/>
  <c r="L660" i="19"/>
  <c r="K98" i="17" s="1"/>
  <c r="L98" i="17" s="1"/>
  <c r="AD660" i="19"/>
  <c r="H659" i="19" s="1"/>
  <c r="O327" i="19"/>
  <c r="I327" i="19"/>
  <c r="O54" i="19"/>
  <c r="I54" i="19"/>
  <c r="P54" i="19" s="1"/>
  <c r="P347" i="19"/>
  <c r="I655" i="19"/>
  <c r="AC655" i="19"/>
  <c r="AC656" i="19" s="1"/>
  <c r="O655" i="19"/>
  <c r="P605" i="19"/>
  <c r="N202" i="19"/>
  <c r="N204" i="19" s="1"/>
  <c r="M26" i="17" s="1"/>
  <c r="N26" i="17" s="1"/>
  <c r="L202" i="19"/>
  <c r="I202" i="19"/>
  <c r="O345" i="19"/>
  <c r="AC345" i="19"/>
  <c r="AC346" i="19" s="1"/>
  <c r="I345" i="19"/>
  <c r="P581" i="19"/>
  <c r="AC141" i="19"/>
  <c r="AC143" i="19" s="1"/>
  <c r="O141" i="19"/>
  <c r="I141" i="19"/>
  <c r="K375" i="14"/>
  <c r="N375" i="14" s="1"/>
  <c r="O754" i="15"/>
  <c r="Q753" i="15" s="1"/>
  <c r="N482" i="19"/>
  <c r="N485" i="19" s="1"/>
  <c r="M73" i="17" s="1"/>
  <c r="N73" i="17" s="1"/>
  <c r="L482" i="19"/>
  <c r="I482" i="19"/>
  <c r="P482" i="19" s="1"/>
  <c r="L364" i="14"/>
  <c r="E557" i="20"/>
  <c r="H558" i="20"/>
  <c r="L556" i="20"/>
  <c r="E263" i="20"/>
  <c r="L262" i="20"/>
  <c r="I425" i="19"/>
  <c r="O425" i="19"/>
  <c r="E140" i="20"/>
  <c r="L139" i="20"/>
  <c r="P184" i="19"/>
  <c r="K321" i="20"/>
  <c r="F321" i="20"/>
  <c r="L321" i="20" s="1"/>
  <c r="I100" i="13"/>
  <c r="P76" i="13"/>
  <c r="I152" i="19"/>
  <c r="N152" i="19"/>
  <c r="N154" i="19" s="1"/>
  <c r="M20" i="17" s="1"/>
  <c r="N20" i="17" s="1"/>
  <c r="L152" i="19"/>
  <c r="O157" i="19"/>
  <c r="I157" i="19"/>
  <c r="AC157" i="19"/>
  <c r="AC159" i="19" s="1"/>
  <c r="AE675" i="19"/>
  <c r="AE678" i="19" s="1"/>
  <c r="AC678" i="19" s="1"/>
  <c r="AD678" i="19"/>
  <c r="L678" i="19"/>
  <c r="K100" i="17" s="1"/>
  <c r="L100" i="17" s="1"/>
  <c r="L60" i="15"/>
  <c r="J58" i="16"/>
  <c r="M60" i="15" s="1"/>
  <c r="L81" i="20"/>
  <c r="E80" i="20"/>
  <c r="H82" i="20"/>
  <c r="O8" i="19"/>
  <c r="I8" i="19"/>
  <c r="P8" i="19" s="1"/>
  <c r="P667" i="19"/>
  <c r="L657" i="20"/>
  <c r="K349" i="14"/>
  <c r="N349" i="14" s="1"/>
  <c r="O697" i="15"/>
  <c r="Q696" i="15" s="1"/>
  <c r="N375" i="19"/>
  <c r="N377" i="19" s="1"/>
  <c r="M56" i="17" s="1"/>
  <c r="N56" i="17" s="1"/>
  <c r="L375" i="19"/>
  <c r="I375" i="19"/>
  <c r="L365" i="14"/>
  <c r="O61" i="19"/>
  <c r="I61" i="19"/>
  <c r="O7" i="19"/>
  <c r="I7" i="19"/>
  <c r="P7" i="19" s="1"/>
  <c r="N493" i="19"/>
  <c r="M74" i="17" s="1"/>
  <c r="N74" i="17" s="1"/>
  <c r="K239" i="20"/>
  <c r="F239" i="20"/>
  <c r="L239" i="20" s="1"/>
  <c r="E335" i="20"/>
  <c r="H337" i="20"/>
  <c r="F48" i="18" s="1"/>
  <c r="G70" i="16" s="1"/>
  <c r="L332" i="20"/>
  <c r="AC359" i="19"/>
  <c r="AC360" i="19" s="1"/>
  <c r="O359" i="19"/>
  <c r="I359" i="19"/>
  <c r="I15" i="19"/>
  <c r="O15" i="19"/>
  <c r="P120" i="19"/>
  <c r="P10" i="19"/>
  <c r="H227" i="20"/>
  <c r="F33" i="18" s="1"/>
  <c r="G34" i="16" s="1"/>
  <c r="E225" i="20"/>
  <c r="L226" i="20"/>
  <c r="L402" i="15"/>
  <c r="J149" i="16"/>
  <c r="AC173" i="19"/>
  <c r="AC175" i="19" s="1"/>
  <c r="O173" i="19"/>
  <c r="I173" i="19"/>
  <c r="O223" i="19"/>
  <c r="I223" i="19"/>
  <c r="P514" i="19"/>
  <c r="N651" i="15"/>
  <c r="F332" i="14" s="1"/>
  <c r="L332" i="14" s="1"/>
  <c r="I651" i="15"/>
  <c r="L393" i="20"/>
  <c r="H394" i="20"/>
  <c r="F56" i="18" s="1"/>
  <c r="G102" i="16" s="1"/>
  <c r="I307" i="19"/>
  <c r="O307" i="19"/>
  <c r="E491" i="20"/>
  <c r="H493" i="20"/>
  <c r="F71" i="18" s="1"/>
  <c r="L492" i="20"/>
  <c r="I328" i="19"/>
  <c r="N328" i="19"/>
  <c r="N330" i="19" s="1"/>
  <c r="M49" i="17" s="1"/>
  <c r="N49" i="17" s="1"/>
  <c r="L328" i="19"/>
  <c r="L649" i="20"/>
  <c r="AD644" i="19"/>
  <c r="H643" i="19" s="1"/>
  <c r="L644" i="19"/>
  <c r="K96" i="17" s="1"/>
  <c r="L96" i="17" s="1"/>
  <c r="AE641" i="19"/>
  <c r="AE644" i="19" s="1"/>
  <c r="AC644" i="19" s="1"/>
  <c r="AE666" i="19"/>
  <c r="AE669" i="19" s="1"/>
  <c r="AC669" i="19" s="1"/>
  <c r="AD669" i="19"/>
  <c r="H668" i="19" s="1"/>
  <c r="L669" i="19"/>
  <c r="K99" i="17" s="1"/>
  <c r="L99" i="17" s="1"/>
  <c r="N55" i="19"/>
  <c r="N58" i="19" s="1"/>
  <c r="M8" i="17" s="1"/>
  <c r="N8" i="17" s="1"/>
  <c r="L55" i="19"/>
  <c r="AE55" i="19" s="1"/>
  <c r="AE58" i="19" s="1"/>
  <c r="AC58" i="19" s="1"/>
  <c r="I55" i="19"/>
  <c r="P55" i="19" s="1"/>
  <c r="H333" i="14"/>
  <c r="O653" i="15"/>
  <c r="Q653" i="15" s="1"/>
  <c r="J6" i="16"/>
  <c r="M147" i="15" s="1"/>
  <c r="M274" i="15"/>
  <c r="M290" i="15"/>
  <c r="K109" i="16"/>
  <c r="O290" i="15" s="1"/>
  <c r="Q289" i="15" s="1"/>
  <c r="L52" i="15"/>
  <c r="J54" i="16"/>
  <c r="AE382" i="19"/>
  <c r="AE384" i="19" s="1"/>
  <c r="AC384" i="19" s="1"/>
  <c r="AD384" i="19"/>
  <c r="L384" i="19"/>
  <c r="K57" i="17" s="1"/>
  <c r="L57" i="17" s="1"/>
  <c r="O275" i="19"/>
  <c r="I275" i="19"/>
  <c r="O449" i="19"/>
  <c r="I449" i="19"/>
  <c r="F343" i="14"/>
  <c r="L343" i="14" s="1"/>
  <c r="I682" i="15"/>
  <c r="N682" i="15"/>
  <c r="E15" i="20"/>
  <c r="H17" i="20"/>
  <c r="F5" i="18" s="1"/>
  <c r="N71" i="19"/>
  <c r="N73" i="19" s="1"/>
  <c r="M10" i="17" s="1"/>
  <c r="N10" i="17" s="1"/>
  <c r="L71" i="19"/>
  <c r="I71" i="19"/>
  <c r="AE298" i="19"/>
  <c r="AE300" i="19" s="1"/>
  <c r="AC300" i="19" s="1"/>
  <c r="AD300" i="19"/>
  <c r="H299" i="19" s="1"/>
  <c r="L300" i="19"/>
  <c r="K43" i="17" s="1"/>
  <c r="L43" i="17" s="1"/>
  <c r="O5" i="19"/>
  <c r="I5" i="19"/>
  <c r="K373" i="14"/>
  <c r="N373" i="14" s="1"/>
  <c r="O750" i="15"/>
  <c r="Q749" i="15" s="1"/>
  <c r="AC480" i="19"/>
  <c r="AC481" i="19" s="1"/>
  <c r="O480" i="19"/>
  <c r="I480" i="19"/>
  <c r="H692" i="20"/>
  <c r="L691" i="20"/>
  <c r="P657" i="19"/>
  <c r="L284" i="20"/>
  <c r="H285" i="20"/>
  <c r="F41" i="18" s="1"/>
  <c r="G62" i="16" s="1"/>
  <c r="E283" i="20"/>
  <c r="L349" i="19"/>
  <c r="K52" i="17" s="1"/>
  <c r="L52" i="17" s="1"/>
  <c r="AE347" i="19"/>
  <c r="AE349" i="19" s="1"/>
  <c r="AC349" i="19" s="1"/>
  <c r="AD349" i="19"/>
  <c r="H348" i="19" s="1"/>
  <c r="L317" i="20"/>
  <c r="AE605" i="19"/>
  <c r="AE607" i="19" s="1"/>
  <c r="AC607" i="19" s="1"/>
  <c r="L607" i="19"/>
  <c r="K91" i="17" s="1"/>
  <c r="L91" i="17" s="1"/>
  <c r="AD607" i="19"/>
  <c r="H273" i="20"/>
  <c r="E271" i="20"/>
  <c r="L272" i="20"/>
  <c r="AE581" i="19"/>
  <c r="AE583" i="19" s="1"/>
  <c r="AC583" i="19" s="1"/>
  <c r="AD583" i="19"/>
  <c r="H582" i="19" s="1"/>
  <c r="L583" i="19"/>
  <c r="K87" i="17" s="1"/>
  <c r="L87" i="17" s="1"/>
  <c r="AE218" i="19"/>
  <c r="AE220" i="19" s="1"/>
  <c r="AC220" i="19" s="1"/>
  <c r="L220" i="19"/>
  <c r="K28" i="17" s="1"/>
  <c r="L28" i="17" s="1"/>
  <c r="AD220" i="19"/>
  <c r="J11" i="16"/>
  <c r="M159" i="15" s="1"/>
  <c r="N521" i="19"/>
  <c r="N523" i="19" s="1"/>
  <c r="M78" i="17" s="1"/>
  <c r="N78" i="17" s="1"/>
  <c r="L521" i="19"/>
  <c r="I521" i="19"/>
  <c r="E106" i="20"/>
  <c r="H108" i="20"/>
  <c r="F18" i="18" s="1"/>
  <c r="L107" i="20"/>
  <c r="E133" i="20"/>
  <c r="L130" i="20"/>
  <c r="O36" i="19"/>
  <c r="I36" i="19"/>
  <c r="P36" i="19" s="1"/>
  <c r="N731" i="15"/>
  <c r="F363" i="14" s="1"/>
  <c r="L363" i="14" s="1"/>
  <c r="I731" i="15"/>
  <c r="K364" i="14"/>
  <c r="O732" i="15"/>
  <c r="N529" i="19"/>
  <c r="N532" i="19" s="1"/>
  <c r="M79" i="17" s="1"/>
  <c r="N79" i="17" s="1"/>
  <c r="L529" i="19"/>
  <c r="I529" i="19"/>
  <c r="P529" i="19" s="1"/>
  <c r="L37" i="20"/>
  <c r="H38" i="20"/>
  <c r="F8" i="18" s="1"/>
  <c r="E36" i="20"/>
  <c r="E57" i="20"/>
  <c r="H60" i="20"/>
  <c r="F11" i="18" s="1"/>
  <c r="G12" i="16" s="1"/>
  <c r="J161" i="15" s="1"/>
  <c r="L58" i="20"/>
  <c r="L186" i="20"/>
  <c r="L185" i="15"/>
  <c r="J24" i="16"/>
  <c r="K380" i="14"/>
  <c r="N380" i="14" s="1"/>
  <c r="O764" i="15"/>
  <c r="Q763" i="15" s="1"/>
  <c r="N678" i="19"/>
  <c r="M100" i="17" s="1"/>
  <c r="N100" i="17" s="1"/>
  <c r="L76" i="15"/>
  <c r="J66" i="16"/>
  <c r="M76" i="15" s="1"/>
  <c r="L347" i="20"/>
  <c r="N240" i="19"/>
  <c r="L240" i="19"/>
  <c r="AE240" i="19" s="1"/>
  <c r="I240" i="19"/>
  <c r="E472" i="20"/>
  <c r="L471" i="20"/>
  <c r="H473" i="20"/>
  <c r="F68" i="18" s="1"/>
  <c r="H305" i="20"/>
  <c r="F44" i="18" s="1"/>
  <c r="G65" i="16" s="1"/>
  <c r="E303" i="20"/>
  <c r="L300" i="20"/>
  <c r="I28" i="19"/>
  <c r="P28" i="19" s="1"/>
  <c r="O28" i="19"/>
  <c r="AC380" i="19"/>
  <c r="AC381" i="19" s="1"/>
  <c r="O380" i="19"/>
  <c r="I380" i="19"/>
  <c r="L248" i="20"/>
  <c r="L390" i="20"/>
  <c r="F394" i="20"/>
  <c r="L397" i="20"/>
  <c r="E399" i="20"/>
  <c r="E398" i="20"/>
  <c r="E377" i="20"/>
  <c r="L375" i="20"/>
  <c r="H378" i="20"/>
  <c r="F54" i="18" s="1"/>
  <c r="G76" i="16" s="1"/>
  <c r="O27" i="19"/>
  <c r="I27" i="19"/>
  <c r="P27" i="19" s="1"/>
  <c r="L362" i="14"/>
  <c r="E569" i="20"/>
  <c r="H570" i="20"/>
  <c r="F83" i="18" s="1"/>
  <c r="G159" i="16" s="1"/>
  <c r="L568" i="20"/>
  <c r="K345" i="14"/>
  <c r="N345" i="14" s="1"/>
  <c r="O689" i="15"/>
  <c r="Q688" i="15" s="1"/>
  <c r="N644" i="19"/>
  <c r="M96" i="17" s="1"/>
  <c r="N96" i="17" s="1"/>
  <c r="AE10" i="19"/>
  <c r="AE12" i="19" s="1"/>
  <c r="AC12" i="19" s="1"/>
  <c r="L12" i="19"/>
  <c r="K4" i="17" s="1"/>
  <c r="L4" i="17" s="1"/>
  <c r="AD12" i="19"/>
  <c r="M187" i="15"/>
  <c r="K25" i="16"/>
  <c r="O187" i="15" s="1"/>
  <c r="Q186" i="15" s="1"/>
  <c r="E214" i="20"/>
  <c r="H215" i="20"/>
  <c r="F31" i="18" s="1"/>
  <c r="G32" i="16" s="1"/>
  <c r="L213" i="20"/>
  <c r="L550" i="15"/>
  <c r="J197" i="16"/>
  <c r="N160" i="19"/>
  <c r="N162" i="19" s="1"/>
  <c r="M21" i="17" s="1"/>
  <c r="N21" i="17" s="1"/>
  <c r="L160" i="19"/>
  <c r="I160" i="19"/>
  <c r="E265" i="20"/>
  <c r="L264" i="20"/>
  <c r="H266" i="20"/>
  <c r="F38" i="18" s="1"/>
  <c r="E163" i="20"/>
  <c r="H164" i="20"/>
  <c r="L161" i="20"/>
  <c r="L366" i="20"/>
  <c r="L326" i="20"/>
  <c r="F329" i="20"/>
  <c r="L64" i="19"/>
  <c r="AE64" i="19" s="1"/>
  <c r="AE67" i="19" s="1"/>
  <c r="AC67" i="19" s="1"/>
  <c r="I64" i="19"/>
  <c r="P64" i="19" s="1"/>
  <c r="N64" i="19"/>
  <c r="N67" i="19" s="1"/>
  <c r="M9" i="17" s="1"/>
  <c r="N9" i="17" s="1"/>
  <c r="L220" i="20"/>
  <c r="E219" i="20"/>
  <c r="H221" i="20"/>
  <c r="F32" i="18" s="1"/>
  <c r="G33" i="16" s="1"/>
  <c r="K363" i="14"/>
  <c r="O730" i="15"/>
  <c r="AC181" i="19"/>
  <c r="AC183" i="19" s="1"/>
  <c r="O181" i="19"/>
  <c r="I181" i="19"/>
  <c r="O25" i="19"/>
  <c r="I25" i="19"/>
  <c r="K371" i="14"/>
  <c r="N371" i="14" s="1"/>
  <c r="O746" i="15"/>
  <c r="Q745" i="15" s="1"/>
  <c r="K366" i="14"/>
  <c r="O736" i="15"/>
  <c r="AC149" i="19"/>
  <c r="AC151" i="19" s="1"/>
  <c r="O149" i="19"/>
  <c r="I149" i="19"/>
  <c r="P616" i="19"/>
  <c r="L181" i="15"/>
  <c r="J22" i="16"/>
  <c r="M181" i="15" s="1"/>
  <c r="E119" i="20"/>
  <c r="H120" i="20"/>
  <c r="F20" i="18" s="1"/>
  <c r="G21" i="16" s="1"/>
  <c r="L118" i="20"/>
  <c r="I406" i="15"/>
  <c r="K209" i="14" s="1"/>
  <c r="N209" i="14" s="1"/>
  <c r="K151" i="16"/>
  <c r="O406" i="15" s="1"/>
  <c r="Q405" i="15" s="1"/>
  <c r="L45" i="19"/>
  <c r="AE45" i="19" s="1"/>
  <c r="I45" i="19"/>
  <c r="P45" i="19" s="1"/>
  <c r="N45" i="19"/>
  <c r="K348" i="14"/>
  <c r="N348" i="14" s="1"/>
  <c r="O695" i="15"/>
  <c r="Q694" i="15" s="1"/>
  <c r="O245" i="19"/>
  <c r="I245" i="19"/>
  <c r="L64" i="15"/>
  <c r="J60" i="16"/>
  <c r="E452" i="20"/>
  <c r="L451" i="20"/>
  <c r="H453" i="20"/>
  <c r="F65" i="18" s="1"/>
  <c r="G119" i="16" s="1"/>
  <c r="O488" i="19"/>
  <c r="I488" i="19"/>
  <c r="AC488" i="19"/>
  <c r="AC489" i="19" s="1"/>
  <c r="E258" i="20"/>
  <c r="L257" i="20"/>
  <c r="H259" i="20"/>
  <c r="F37" i="18" s="1"/>
  <c r="G53" i="16" s="1"/>
  <c r="L78" i="15"/>
  <c r="J67" i="16"/>
  <c r="M78" i="15" s="1"/>
  <c r="L211" i="15"/>
  <c r="J37" i="16"/>
  <c r="M211" i="15" s="1"/>
  <c r="E458" i="20"/>
  <c r="H459" i="20"/>
  <c r="F66" i="18" s="1"/>
  <c r="G120" i="16" s="1"/>
  <c r="L457" i="20"/>
  <c r="L483" i="20"/>
  <c r="I252" i="19"/>
  <c r="O252" i="19"/>
  <c r="I17" i="19"/>
  <c r="P17" i="19" s="1"/>
  <c r="O17" i="19"/>
  <c r="AC681" i="19"/>
  <c r="AC682" i="19" s="1"/>
  <c r="I681" i="19"/>
  <c r="O681" i="19"/>
  <c r="K362" i="14"/>
  <c r="I776" i="15"/>
  <c r="I133" i="13" s="1"/>
  <c r="P133" i="13" s="1"/>
  <c r="O728" i="15"/>
  <c r="N402" i="19"/>
  <c r="N404" i="19" s="1"/>
  <c r="M60" i="17" s="1"/>
  <c r="N60" i="17" s="1"/>
  <c r="L402" i="19"/>
  <c r="I402" i="19"/>
  <c r="I165" i="19"/>
  <c r="O165" i="19"/>
  <c r="AC165" i="19"/>
  <c r="AC167" i="19" s="1"/>
  <c r="P641" i="19"/>
  <c r="E415" i="20"/>
  <c r="H416" i="20"/>
  <c r="F59" i="18" s="1"/>
  <c r="G108" i="16" s="1"/>
  <c r="L414" i="20"/>
  <c r="N569" i="19"/>
  <c r="N571" i="19" s="1"/>
  <c r="M85" i="17" s="1"/>
  <c r="N85" i="17" s="1"/>
  <c r="L569" i="19"/>
  <c r="I569" i="19"/>
  <c r="E144" i="20"/>
  <c r="H146" i="20"/>
  <c r="L142" i="20"/>
  <c r="K372" i="14"/>
  <c r="N372" i="14" s="1"/>
  <c r="O748" i="15"/>
  <c r="Q747" i="15" s="1"/>
  <c r="AC526" i="19"/>
  <c r="AC528" i="19" s="1"/>
  <c r="O526" i="19"/>
  <c r="I526" i="19"/>
  <c r="O125" i="19"/>
  <c r="I125" i="19"/>
  <c r="AC125" i="19"/>
  <c r="AC127" i="19" s="1"/>
  <c r="N50" i="13"/>
  <c r="L50" i="13"/>
  <c r="I725" i="15"/>
  <c r="I674" i="15"/>
  <c r="L552" i="15" l="1"/>
  <c r="J198" i="16"/>
  <c r="L404" i="15"/>
  <c r="J150" i="16"/>
  <c r="N333" i="14"/>
  <c r="N79" i="13"/>
  <c r="P79" i="13" s="1"/>
  <c r="Q78" i="13" s="1"/>
  <c r="O79" i="13"/>
  <c r="O167" i="15"/>
  <c r="Q166" i="15" s="1"/>
  <c r="O151" i="15"/>
  <c r="Q150" i="15" s="1"/>
  <c r="M418" i="15"/>
  <c r="K157" i="16"/>
  <c r="O418" i="15" s="1"/>
  <c r="Q417" i="15" s="1"/>
  <c r="I54" i="13"/>
  <c r="O54" i="13"/>
  <c r="M483" i="15"/>
  <c r="K128" i="16"/>
  <c r="O483" i="15" s="1"/>
  <c r="Q482" i="15" s="1"/>
  <c r="M278" i="15"/>
  <c r="K103" i="16"/>
  <c r="O278" i="15" s="1"/>
  <c r="Q277" i="15" s="1"/>
  <c r="K338" i="14"/>
  <c r="H30" i="13"/>
  <c r="H104" i="13"/>
  <c r="I131" i="13"/>
  <c r="H32" i="13"/>
  <c r="P327" i="19"/>
  <c r="K498" i="20"/>
  <c r="F498" i="20"/>
  <c r="O274" i="15"/>
  <c r="J430" i="15"/>
  <c r="H163" i="16"/>
  <c r="K430" i="15" s="1"/>
  <c r="P504" i="19"/>
  <c r="AD505" i="19"/>
  <c r="H505" i="19" s="1"/>
  <c r="J92" i="15"/>
  <c r="H74" i="16"/>
  <c r="K92" i="15" s="1"/>
  <c r="P231" i="19"/>
  <c r="P50" i="19"/>
  <c r="P443" i="19"/>
  <c r="AE599" i="19"/>
  <c r="AE601" i="19" s="1"/>
  <c r="AC601" i="19" s="1"/>
  <c r="AD601" i="19"/>
  <c r="L601" i="19"/>
  <c r="K90" i="17" s="1"/>
  <c r="L90" i="17" s="1"/>
  <c r="P438" i="19"/>
  <c r="H207" i="15"/>
  <c r="N207" i="15" s="1"/>
  <c r="F107" i="14" s="1"/>
  <c r="L107" i="14" s="1"/>
  <c r="F35" i="16"/>
  <c r="P311" i="19"/>
  <c r="I312" i="19"/>
  <c r="P396" i="19"/>
  <c r="P563" i="19"/>
  <c r="H588" i="19"/>
  <c r="P413" i="19"/>
  <c r="J446" i="15"/>
  <c r="H171" i="16"/>
  <c r="K446" i="15" s="1"/>
  <c r="AE569" i="19"/>
  <c r="AE571" i="19" s="1"/>
  <c r="AC571" i="19" s="1"/>
  <c r="AD571" i="19"/>
  <c r="H570" i="19" s="1"/>
  <c r="L571" i="19"/>
  <c r="K85" i="17" s="1"/>
  <c r="L85" i="17" s="1"/>
  <c r="O776" i="15"/>
  <c r="Q735" i="15"/>
  <c r="K219" i="20"/>
  <c r="F219" i="20"/>
  <c r="H11" i="19"/>
  <c r="J96" i="15"/>
  <c r="H76" i="16"/>
  <c r="K96" i="15" s="1"/>
  <c r="H12" i="16"/>
  <c r="K161" i="15" s="1"/>
  <c r="H219" i="19"/>
  <c r="F103" i="18"/>
  <c r="L692" i="20"/>
  <c r="AE71" i="19"/>
  <c r="AE73" i="19" s="1"/>
  <c r="AC73" i="19" s="1"/>
  <c r="AD73" i="19"/>
  <c r="H72" i="19" s="1"/>
  <c r="L73" i="19"/>
  <c r="K10" i="17" s="1"/>
  <c r="L10" i="17" s="1"/>
  <c r="H383" i="19"/>
  <c r="H332" i="14"/>
  <c r="I673" i="15"/>
  <c r="O651" i="15"/>
  <c r="J205" i="15"/>
  <c r="H34" i="16"/>
  <c r="K205" i="15" s="1"/>
  <c r="AE482" i="19"/>
  <c r="AE485" i="19" s="1"/>
  <c r="AC485" i="19" s="1"/>
  <c r="L485" i="19"/>
  <c r="K73" i="17" s="1"/>
  <c r="L73" i="17" s="1"/>
  <c r="AD485" i="19"/>
  <c r="P202" i="19"/>
  <c r="I209" i="15"/>
  <c r="H108" i="14" s="1"/>
  <c r="N108" i="14" s="1"/>
  <c r="K36" i="16"/>
  <c r="O209" i="15" s="1"/>
  <c r="Q208" i="15" s="1"/>
  <c r="H13" i="16"/>
  <c r="K163" i="15" s="1"/>
  <c r="G56" i="16"/>
  <c r="G14" i="16"/>
  <c r="J165" i="15" s="1"/>
  <c r="K351" i="14"/>
  <c r="N351" i="14" s="1"/>
  <c r="Q700" i="15"/>
  <c r="K428" i="20"/>
  <c r="F428" i="20"/>
  <c r="AD615" i="19"/>
  <c r="H615" i="19" s="1"/>
  <c r="P614" i="19"/>
  <c r="J88" i="15"/>
  <c r="H72" i="16"/>
  <c r="K88" i="15" s="1"/>
  <c r="G309" i="20"/>
  <c r="H309" i="20" s="1"/>
  <c r="H314" i="20" s="1"/>
  <c r="F45" i="18" s="1"/>
  <c r="G66" i="16" s="1"/>
  <c r="G318" i="20"/>
  <c r="H318" i="20" s="1"/>
  <c r="H323" i="20" s="1"/>
  <c r="F46" i="18" s="1"/>
  <c r="G67" i="16" s="1"/>
  <c r="G58" i="16"/>
  <c r="P631" i="19"/>
  <c r="AD632" i="19"/>
  <c r="H632" i="19" s="1"/>
  <c r="F95" i="20"/>
  <c r="K95" i="20"/>
  <c r="J493" i="15"/>
  <c r="H133" i="16"/>
  <c r="K493" i="15" s="1"/>
  <c r="H635" i="19"/>
  <c r="K580" i="20"/>
  <c r="F580" i="20"/>
  <c r="AB622" i="19"/>
  <c r="AB623" i="19" s="1"/>
  <c r="H623" i="19" s="1"/>
  <c r="P622" i="19"/>
  <c r="F362" i="20"/>
  <c r="K362" i="20"/>
  <c r="P506" i="19"/>
  <c r="I304" i="19"/>
  <c r="P303" i="19"/>
  <c r="J314" i="15"/>
  <c r="H121" i="16"/>
  <c r="K314" i="15" s="1"/>
  <c r="AD497" i="19"/>
  <c r="H497" i="19" s="1"/>
  <c r="P496" i="19"/>
  <c r="AB93" i="19"/>
  <c r="AB94" i="19" s="1"/>
  <c r="H94" i="19" s="1"/>
  <c r="P93" i="19"/>
  <c r="N47" i="19"/>
  <c r="M7" i="17" s="1"/>
  <c r="N7" i="17" s="1"/>
  <c r="K289" i="20"/>
  <c r="F289" i="20"/>
  <c r="J193" i="15"/>
  <c r="H28" i="16"/>
  <c r="K193" i="15" s="1"/>
  <c r="AD440" i="19"/>
  <c r="H439" i="19" s="1"/>
  <c r="AE438" i="19"/>
  <c r="AE440" i="19" s="1"/>
  <c r="AC440" i="19" s="1"/>
  <c r="L440" i="19"/>
  <c r="K66" i="17" s="1"/>
  <c r="L66" i="17" s="1"/>
  <c r="K238" i="20"/>
  <c r="F238" i="20"/>
  <c r="H7" i="16"/>
  <c r="K149" i="15" s="1"/>
  <c r="K360" i="14"/>
  <c r="N344" i="14"/>
  <c r="H366" i="14"/>
  <c r="O737" i="15"/>
  <c r="E200" i="16"/>
  <c r="H95" i="18"/>
  <c r="AE396" i="19"/>
  <c r="AE398" i="19" s="1"/>
  <c r="AC398" i="19" s="1"/>
  <c r="AD398" i="19"/>
  <c r="L398" i="19"/>
  <c r="K59" i="17" s="1"/>
  <c r="L59" i="17" s="1"/>
  <c r="AD367" i="19"/>
  <c r="H367" i="19" s="1"/>
  <c r="P366" i="19"/>
  <c r="AD489" i="19"/>
  <c r="H489" i="19" s="1"/>
  <c r="P488" i="19"/>
  <c r="O659" i="19"/>
  <c r="I659" i="19"/>
  <c r="P659" i="19" s="1"/>
  <c r="K49" i="20"/>
  <c r="F49" i="20"/>
  <c r="P227" i="19"/>
  <c r="I228" i="19"/>
  <c r="F252" i="20"/>
  <c r="L252" i="20" s="1"/>
  <c r="K252" i="20"/>
  <c r="J94" i="15"/>
  <c r="H75" i="16"/>
  <c r="K94" i="15" s="1"/>
  <c r="P109" i="19"/>
  <c r="AB109" i="19"/>
  <c r="AB110" i="19" s="1"/>
  <c r="H110" i="19" s="1"/>
  <c r="K629" i="20"/>
  <c r="F629" i="20"/>
  <c r="K385" i="14"/>
  <c r="F458" i="20"/>
  <c r="K458" i="20"/>
  <c r="P160" i="19"/>
  <c r="K377" i="20"/>
  <c r="F377" i="20"/>
  <c r="K36" i="20"/>
  <c r="F36" i="20"/>
  <c r="L36" i="20" s="1"/>
  <c r="G104" i="16"/>
  <c r="G6" i="16"/>
  <c r="J147" i="15" s="1"/>
  <c r="M52" i="15"/>
  <c r="J99" i="16"/>
  <c r="AD330" i="19"/>
  <c r="AE328" i="19"/>
  <c r="AE330" i="19" s="1"/>
  <c r="AC330" i="19" s="1"/>
  <c r="L330" i="19"/>
  <c r="K49" i="17" s="1"/>
  <c r="L49" i="17" s="1"/>
  <c r="I268" i="19"/>
  <c r="P267" i="19"/>
  <c r="J424" i="15"/>
  <c r="H160" i="16"/>
  <c r="K424" i="15" s="1"/>
  <c r="AD318" i="19"/>
  <c r="AE316" i="19"/>
  <c r="AE318" i="19" s="1"/>
  <c r="AC318" i="19" s="1"/>
  <c r="L318" i="19"/>
  <c r="K47" i="17" s="1"/>
  <c r="L47" i="17" s="1"/>
  <c r="K545" i="20"/>
  <c r="F545" i="20"/>
  <c r="K74" i="20"/>
  <c r="F74" i="20"/>
  <c r="H566" i="15"/>
  <c r="N566" i="15" s="1"/>
  <c r="I290" i="14" s="1"/>
  <c r="L290" i="14" s="1"/>
  <c r="F205" i="16"/>
  <c r="F348" i="20"/>
  <c r="K348" i="20"/>
  <c r="P444" i="19"/>
  <c r="AB207" i="19"/>
  <c r="AB208" i="19" s="1"/>
  <c r="H208" i="19" s="1"/>
  <c r="P207" i="19"/>
  <c r="F509" i="20"/>
  <c r="K509" i="20"/>
  <c r="E94" i="18"/>
  <c r="L638" i="20"/>
  <c r="P354" i="19"/>
  <c r="J434" i="15"/>
  <c r="H165" i="16"/>
  <c r="K434" i="15" s="1"/>
  <c r="M491" i="15"/>
  <c r="K132" i="16"/>
  <c r="O491" i="15" s="1"/>
  <c r="Q490" i="15" s="1"/>
  <c r="K464" i="20"/>
  <c r="F464" i="20"/>
  <c r="J481" i="15"/>
  <c r="H127" i="16"/>
  <c r="K481" i="15" s="1"/>
  <c r="AE47" i="19"/>
  <c r="AC47" i="19" s="1"/>
  <c r="H390" i="19"/>
  <c r="F658" i="20"/>
  <c r="L658" i="20" s="1"/>
  <c r="K658" i="20"/>
  <c r="K190" i="20"/>
  <c r="F190" i="20"/>
  <c r="H31" i="19"/>
  <c r="AE683" i="19"/>
  <c r="AE685" i="19" s="1"/>
  <c r="AC685" i="19" s="1"/>
  <c r="L685" i="19"/>
  <c r="K101" i="17" s="1"/>
  <c r="L101" i="17" s="1"/>
  <c r="AD685" i="19"/>
  <c r="K369" i="20"/>
  <c r="F369" i="20"/>
  <c r="J147" i="16"/>
  <c r="K23" i="20"/>
  <c r="F23" i="20"/>
  <c r="L23" i="20" s="1"/>
  <c r="P408" i="19"/>
  <c r="AD416" i="19"/>
  <c r="H415" i="19" s="1"/>
  <c r="AE414" i="19"/>
  <c r="AE416" i="19" s="1"/>
  <c r="AC416" i="19" s="1"/>
  <c r="L416" i="19"/>
  <c r="K62" i="17" s="1"/>
  <c r="L62" i="17" s="1"/>
  <c r="I643" i="19"/>
  <c r="P643" i="19" s="1"/>
  <c r="O643" i="19"/>
  <c r="O89" i="19"/>
  <c r="I89" i="19"/>
  <c r="P89" i="19" s="1"/>
  <c r="I137" i="19"/>
  <c r="P137" i="19" s="1"/>
  <c r="O137" i="19"/>
  <c r="AB125" i="19"/>
  <c r="AB126" i="19" s="1"/>
  <c r="H126" i="19" s="1"/>
  <c r="P125" i="19"/>
  <c r="K57" i="20"/>
  <c r="F57" i="20"/>
  <c r="K278" i="20"/>
  <c r="F278" i="20"/>
  <c r="J288" i="15"/>
  <c r="H108" i="16"/>
  <c r="K288" i="15" s="1"/>
  <c r="AE354" i="19"/>
  <c r="AE356" i="19" s="1"/>
  <c r="AC356" i="19" s="1"/>
  <c r="L356" i="19"/>
  <c r="K53" i="17" s="1"/>
  <c r="L53" i="17" s="1"/>
  <c r="AD356" i="19"/>
  <c r="H361" i="14"/>
  <c r="O727" i="15"/>
  <c r="I775" i="15"/>
  <c r="I132" i="13" s="1"/>
  <c r="P132" i="13" s="1"/>
  <c r="K303" i="20"/>
  <c r="F303" i="20"/>
  <c r="P419" i="19"/>
  <c r="F575" i="20"/>
  <c r="K575" i="20"/>
  <c r="H492" i="19"/>
  <c r="AE280" i="19"/>
  <c r="AE282" i="19" s="1"/>
  <c r="AC282" i="19" s="1"/>
  <c r="AD282" i="19"/>
  <c r="L282" i="19"/>
  <c r="K40" i="17" s="1"/>
  <c r="L40" i="17" s="1"/>
  <c r="F485" i="20"/>
  <c r="K485" i="20"/>
  <c r="P316" i="19"/>
  <c r="AE168" i="19"/>
  <c r="AE170" i="19" s="1"/>
  <c r="AC170" i="19" s="1"/>
  <c r="L170" i="19"/>
  <c r="K22" i="17" s="1"/>
  <c r="L22" i="17" s="1"/>
  <c r="AD170" i="19"/>
  <c r="K6" i="20"/>
  <c r="F6" i="20"/>
  <c r="J286" i="15"/>
  <c r="H107" i="16"/>
  <c r="K286" i="15" s="1"/>
  <c r="E77" i="18"/>
  <c r="L533" i="20"/>
  <c r="I129" i="19"/>
  <c r="P129" i="19" s="1"/>
  <c r="O129" i="19"/>
  <c r="K611" i="20"/>
  <c r="F611" i="20"/>
  <c r="AE575" i="19"/>
  <c r="AE577" i="19" s="1"/>
  <c r="AC577" i="19" s="1"/>
  <c r="AD577" i="19"/>
  <c r="H576" i="19" s="1"/>
  <c r="L577" i="19"/>
  <c r="K86" i="17" s="1"/>
  <c r="L86" i="17" s="1"/>
  <c r="AE545" i="19"/>
  <c r="AE547" i="19" s="1"/>
  <c r="AC547" i="19" s="1"/>
  <c r="L547" i="19"/>
  <c r="K81" i="17" s="1"/>
  <c r="L81" i="17" s="1"/>
  <c r="AD547" i="19"/>
  <c r="H546" i="19" s="1"/>
  <c r="P461" i="19"/>
  <c r="AE292" i="19"/>
  <c r="AE294" i="19" s="1"/>
  <c r="AC294" i="19" s="1"/>
  <c r="AD294" i="19"/>
  <c r="H293" i="19" s="1"/>
  <c r="L294" i="19"/>
  <c r="K42" i="17" s="1"/>
  <c r="L42" i="17" s="1"/>
  <c r="Q737" i="15"/>
  <c r="P199" i="19"/>
  <c r="AB199" i="19"/>
  <c r="AB200" i="19" s="1"/>
  <c r="H200" i="19" s="1"/>
  <c r="K35" i="20"/>
  <c r="F35" i="20"/>
  <c r="G129" i="16"/>
  <c r="G207" i="16"/>
  <c r="G54" i="16"/>
  <c r="N366" i="14"/>
  <c r="O186" i="19"/>
  <c r="I186" i="19"/>
  <c r="P186" i="19" s="1"/>
  <c r="AD446" i="19"/>
  <c r="AE444" i="19"/>
  <c r="AE446" i="19" s="1"/>
  <c r="AC446" i="19" s="1"/>
  <c r="L446" i="19"/>
  <c r="K67" i="17" s="1"/>
  <c r="L67" i="17" s="1"/>
  <c r="H342" i="14"/>
  <c r="N342" i="14" s="1"/>
  <c r="O680" i="15"/>
  <c r="Q680" i="15" s="1"/>
  <c r="AB672" i="19"/>
  <c r="AB673" i="19" s="1"/>
  <c r="H673" i="19" s="1"/>
  <c r="P672" i="19"/>
  <c r="P681" i="19"/>
  <c r="AD682" i="19"/>
  <c r="H682" i="19" s="1"/>
  <c r="P25" i="19"/>
  <c r="E47" i="18"/>
  <c r="L329" i="20"/>
  <c r="M550" i="15"/>
  <c r="J219" i="16"/>
  <c r="J74" i="15"/>
  <c r="H65" i="16"/>
  <c r="K74" i="15" s="1"/>
  <c r="G213" i="16"/>
  <c r="G114" i="16"/>
  <c r="G19" i="16"/>
  <c r="H343" i="14"/>
  <c r="N343" i="14" s="1"/>
  <c r="O682" i="15"/>
  <c r="AA173" i="19"/>
  <c r="AA174" i="19" s="1"/>
  <c r="H174" i="19" s="1"/>
  <c r="P173" i="19"/>
  <c r="P359" i="19"/>
  <c r="AD360" i="19"/>
  <c r="H360" i="19" s="1"/>
  <c r="K80" i="20"/>
  <c r="F80" i="20"/>
  <c r="P152" i="19"/>
  <c r="J72" i="15"/>
  <c r="H64" i="16"/>
  <c r="K72" i="15" s="1"/>
  <c r="K651" i="20"/>
  <c r="F651" i="20"/>
  <c r="K504" i="20"/>
  <c r="F504" i="20"/>
  <c r="H341" i="19"/>
  <c r="J442" i="15"/>
  <c r="H169" i="16"/>
  <c r="K442" i="15" s="1"/>
  <c r="P339" i="19"/>
  <c r="AD256" i="19"/>
  <c r="M572" i="15"/>
  <c r="K208" i="16"/>
  <c r="O572" i="15" s="1"/>
  <c r="Q571" i="15" s="1"/>
  <c r="J432" i="15"/>
  <c r="H164" i="16"/>
  <c r="K432" i="15" s="1"/>
  <c r="P658" i="19"/>
  <c r="J308" i="15"/>
  <c r="H118" i="16"/>
  <c r="K308" i="15" s="1"/>
  <c r="K50" i="20"/>
  <c r="F50" i="20"/>
  <c r="L50" i="20" s="1"/>
  <c r="K181" i="20"/>
  <c r="F181" i="20"/>
  <c r="P291" i="19"/>
  <c r="P215" i="19"/>
  <c r="AB215" i="19"/>
  <c r="AB216" i="19" s="1"/>
  <c r="H216" i="19" s="1"/>
  <c r="I471" i="19"/>
  <c r="P468" i="19"/>
  <c r="P474" i="19"/>
  <c r="E28" i="18"/>
  <c r="L197" i="20"/>
  <c r="H457" i="19"/>
  <c r="K8" i="20"/>
  <c r="F8" i="20"/>
  <c r="L8" i="20" s="1"/>
  <c r="I260" i="19"/>
  <c r="P259" i="19"/>
  <c r="P432" i="19"/>
  <c r="P450" i="19"/>
  <c r="F225" i="20"/>
  <c r="K225" i="20"/>
  <c r="F30" i="20"/>
  <c r="K30" i="20"/>
  <c r="F140" i="20"/>
  <c r="K140" i="20"/>
  <c r="K65" i="20"/>
  <c r="F65" i="20"/>
  <c r="H412" i="15"/>
  <c r="N412" i="15" s="1"/>
  <c r="I212" i="14" s="1"/>
  <c r="L212" i="14" s="1"/>
  <c r="F154" i="16"/>
  <c r="AB190" i="19"/>
  <c r="AB191" i="19" s="1"/>
  <c r="H191" i="19" s="1"/>
  <c r="P190" i="19"/>
  <c r="K452" i="20"/>
  <c r="F452" i="20"/>
  <c r="F133" i="20"/>
  <c r="L133" i="20" s="1"/>
  <c r="K133" i="20"/>
  <c r="J568" i="15"/>
  <c r="H206" i="16"/>
  <c r="K568" i="15" s="1"/>
  <c r="O464" i="19"/>
  <c r="I464" i="19"/>
  <c r="P464" i="19" s="1"/>
  <c r="K593" i="20"/>
  <c r="F593" i="20"/>
  <c r="AD410" i="19"/>
  <c r="H409" i="19" s="1"/>
  <c r="AE408" i="19"/>
  <c r="AE410" i="19" s="1"/>
  <c r="AC410" i="19" s="1"/>
  <c r="L410" i="19"/>
  <c r="K61" i="17" s="1"/>
  <c r="L61" i="17" s="1"/>
  <c r="J179" i="15"/>
  <c r="H21" i="16"/>
  <c r="K179" i="15" s="1"/>
  <c r="O582" i="19"/>
  <c r="I582" i="19"/>
  <c r="P328" i="19"/>
  <c r="AB141" i="19"/>
  <c r="AB142" i="19" s="1"/>
  <c r="H142" i="19" s="1"/>
  <c r="P141" i="19"/>
  <c r="K119" i="20"/>
  <c r="F119" i="20"/>
  <c r="I249" i="19"/>
  <c r="P245" i="19"/>
  <c r="P181" i="19"/>
  <c r="AB181" i="19"/>
  <c r="AB182" i="19" s="1"/>
  <c r="H182" i="19" s="1"/>
  <c r="G197" i="16"/>
  <c r="G149" i="16"/>
  <c r="G126" i="16"/>
  <c r="AE529" i="19"/>
  <c r="AE532" i="19" s="1"/>
  <c r="AC532" i="19" s="1"/>
  <c r="AD532" i="19"/>
  <c r="H531" i="19" s="1"/>
  <c r="L532" i="19"/>
  <c r="K79" i="17" s="1"/>
  <c r="L79" i="17" s="1"/>
  <c r="K106" i="20"/>
  <c r="F106" i="20"/>
  <c r="P5" i="19"/>
  <c r="J123" i="16"/>
  <c r="G210" i="16"/>
  <c r="G130" i="16"/>
  <c r="K263" i="20"/>
  <c r="F263" i="20"/>
  <c r="F207" i="20"/>
  <c r="K207" i="20"/>
  <c r="P593" i="19"/>
  <c r="K295" i="20"/>
  <c r="F295" i="20"/>
  <c r="AE286" i="19"/>
  <c r="AE288" i="19" s="1"/>
  <c r="AC288" i="19" s="1"/>
  <c r="AD288" i="19"/>
  <c r="H287" i="19" s="1"/>
  <c r="L288" i="19"/>
  <c r="K41" i="17" s="1"/>
  <c r="L41" i="17" s="1"/>
  <c r="G212" i="16"/>
  <c r="G113" i="16"/>
  <c r="G18" i="16"/>
  <c r="AD235" i="19"/>
  <c r="AE232" i="19"/>
  <c r="AE235" i="19" s="1"/>
  <c r="AC235" i="19" s="1"/>
  <c r="L235" i="19"/>
  <c r="K31" i="17" s="1"/>
  <c r="L31" i="17" s="1"/>
  <c r="P285" i="19"/>
  <c r="I100" i="15"/>
  <c r="K54" i="14" s="1"/>
  <c r="N54" i="14" s="1"/>
  <c r="K78" i="16"/>
  <c r="O100" i="15" s="1"/>
  <c r="Q99" i="15" s="1"/>
  <c r="H368" i="14"/>
  <c r="N368" i="14" s="1"/>
  <c r="O741" i="15"/>
  <c r="Q741" i="15" s="1"/>
  <c r="AE256" i="19"/>
  <c r="AC256" i="19" s="1"/>
  <c r="F587" i="20"/>
  <c r="K587" i="20"/>
  <c r="F341" i="20"/>
  <c r="K341" i="20"/>
  <c r="G125" i="20"/>
  <c r="H125" i="20" s="1"/>
  <c r="H134" i="20" s="1"/>
  <c r="F21" i="18" s="1"/>
  <c r="G22" i="16" s="1"/>
  <c r="G11" i="16"/>
  <c r="J159" i="15" s="1"/>
  <c r="L58" i="19"/>
  <c r="K8" i="17" s="1"/>
  <c r="L8" i="17" s="1"/>
  <c r="J189" i="15"/>
  <c r="H26" i="16"/>
  <c r="K189" i="15" s="1"/>
  <c r="P263" i="19"/>
  <c r="I264" i="19"/>
  <c r="P639" i="19"/>
  <c r="AD640" i="19"/>
  <c r="H640" i="19" s="1"/>
  <c r="P368" i="19"/>
  <c r="AE210" i="19"/>
  <c r="AE212" i="19" s="1"/>
  <c r="AC212" i="19" s="1"/>
  <c r="L212" i="19"/>
  <c r="K27" i="17" s="1"/>
  <c r="L27" i="17" s="1"/>
  <c r="AD212" i="19"/>
  <c r="H211" i="19" s="1"/>
  <c r="P333" i="19"/>
  <c r="H5" i="16"/>
  <c r="K145" i="15" s="1"/>
  <c r="K201" i="20"/>
  <c r="F201" i="20"/>
  <c r="AD336" i="19"/>
  <c r="AE334" i="19"/>
  <c r="AE336" i="19" s="1"/>
  <c r="AC336" i="19" s="1"/>
  <c r="L336" i="19"/>
  <c r="K50" i="17" s="1"/>
  <c r="L50" i="17" s="1"/>
  <c r="AD434" i="19"/>
  <c r="AE432" i="19"/>
  <c r="AE434" i="19" s="1"/>
  <c r="AC434" i="19" s="1"/>
  <c r="L434" i="19"/>
  <c r="K65" i="17" s="1"/>
  <c r="L65" i="17" s="1"/>
  <c r="AD452" i="19"/>
  <c r="AE450" i="19"/>
  <c r="AE452" i="19" s="1"/>
  <c r="AC452" i="19" s="1"/>
  <c r="L452" i="19"/>
  <c r="K68" i="17" s="1"/>
  <c r="L68" i="17" s="1"/>
  <c r="J312" i="15"/>
  <c r="H120" i="16"/>
  <c r="K312" i="15" s="1"/>
  <c r="O145" i="19"/>
  <c r="I145" i="19"/>
  <c r="P145" i="19" s="1"/>
  <c r="K7" i="20"/>
  <c r="F7" i="20"/>
  <c r="L7" i="20" s="1"/>
  <c r="H46" i="19"/>
  <c r="P437" i="19"/>
  <c r="F656" i="20"/>
  <c r="K656" i="20"/>
  <c r="P526" i="19"/>
  <c r="AB526" i="19"/>
  <c r="AB527" i="19" s="1"/>
  <c r="H527" i="19" s="1"/>
  <c r="K398" i="20"/>
  <c r="F398" i="20"/>
  <c r="O348" i="19"/>
  <c r="I348" i="19"/>
  <c r="P348" i="19" s="1"/>
  <c r="AE152" i="19"/>
  <c r="AE154" i="19" s="1"/>
  <c r="AC154" i="19" s="1"/>
  <c r="L154" i="19"/>
  <c r="K20" i="17" s="1"/>
  <c r="L20" i="17" s="1"/>
  <c r="AD154" i="19"/>
  <c r="J191" i="15"/>
  <c r="H27" i="16"/>
  <c r="K191" i="15" s="1"/>
  <c r="O81" i="19"/>
  <c r="I81" i="19"/>
  <c r="P81" i="19" s="1"/>
  <c r="P545" i="19"/>
  <c r="P431" i="19"/>
  <c r="F415" i="20"/>
  <c r="K415" i="20"/>
  <c r="J199" i="15"/>
  <c r="H31" i="16"/>
  <c r="K199" i="15" s="1"/>
  <c r="J50" i="15"/>
  <c r="H53" i="16"/>
  <c r="J422" i="15"/>
  <c r="H159" i="16"/>
  <c r="K422" i="15" s="1"/>
  <c r="E56" i="18"/>
  <c r="L394" i="20"/>
  <c r="M185" i="15"/>
  <c r="M217" i="15" s="1"/>
  <c r="M55" i="13" s="1"/>
  <c r="N55" i="13" s="1"/>
  <c r="K24" i="16"/>
  <c r="O185" i="15" s="1"/>
  <c r="Q184" i="15" s="1"/>
  <c r="P521" i="19"/>
  <c r="K283" i="20"/>
  <c r="F283" i="20"/>
  <c r="P449" i="19"/>
  <c r="M326" i="15"/>
  <c r="M77" i="13" s="1"/>
  <c r="N77" i="13" s="1"/>
  <c r="O668" i="19"/>
  <c r="I668" i="19"/>
  <c r="P668" i="19" s="1"/>
  <c r="K491" i="20"/>
  <c r="F491" i="20"/>
  <c r="P375" i="19"/>
  <c r="P100" i="13"/>
  <c r="H7" i="13"/>
  <c r="AD656" i="19"/>
  <c r="H656" i="19" s="1"/>
  <c r="P655" i="19"/>
  <c r="AE593" i="19"/>
  <c r="AE595" i="19" s="1"/>
  <c r="AC595" i="19" s="1"/>
  <c r="L595" i="19"/>
  <c r="K89" i="17" s="1"/>
  <c r="L89" i="17" s="1"/>
  <c r="AD595" i="19"/>
  <c r="P232" i="19"/>
  <c r="P321" i="19"/>
  <c r="K617" i="20"/>
  <c r="F617" i="20"/>
  <c r="H421" i="19"/>
  <c r="L256" i="19"/>
  <c r="K34" i="17" s="1"/>
  <c r="L34" i="17" s="1"/>
  <c r="I272" i="19"/>
  <c r="P271" i="19"/>
  <c r="M489" i="15"/>
  <c r="K131" i="16"/>
  <c r="O489" i="15" s="1"/>
  <c r="Q488" i="15" s="1"/>
  <c r="J86" i="15"/>
  <c r="H71" i="16"/>
  <c r="K86" i="15" s="1"/>
  <c r="K446" i="20"/>
  <c r="F446" i="20"/>
  <c r="AD67" i="19"/>
  <c r="H66" i="19" s="1"/>
  <c r="K170" i="20"/>
  <c r="F170" i="20"/>
  <c r="Q456" i="15"/>
  <c r="J438" i="15"/>
  <c r="H167" i="16"/>
  <c r="K438" i="15" s="1"/>
  <c r="I564" i="15"/>
  <c r="K289" i="14" s="1"/>
  <c r="N289" i="14" s="1"/>
  <c r="K204" i="16"/>
  <c r="O564" i="15" s="1"/>
  <c r="Q563" i="15" s="1"/>
  <c r="L370" i="19"/>
  <c r="K55" i="17" s="1"/>
  <c r="L55" i="17" s="1"/>
  <c r="AE368" i="19"/>
  <c r="AE370" i="19" s="1"/>
  <c r="AC370" i="19" s="1"/>
  <c r="AD370" i="19"/>
  <c r="K87" i="20"/>
  <c r="F87" i="20"/>
  <c r="P101" i="19"/>
  <c r="AB101" i="19"/>
  <c r="AB102" i="19" s="1"/>
  <c r="H102" i="19" s="1"/>
  <c r="J444" i="15"/>
  <c r="H170" i="16"/>
  <c r="K444" i="15" s="1"/>
  <c r="H341" i="14"/>
  <c r="N341" i="14" s="1"/>
  <c r="O678" i="15"/>
  <c r="Q678" i="15" s="1"/>
  <c r="J197" i="15"/>
  <c r="H30" i="16"/>
  <c r="K197" i="15" s="1"/>
  <c r="P569" i="19"/>
  <c r="F440" i="20"/>
  <c r="K440" i="20"/>
  <c r="AB157" i="19"/>
  <c r="AB158" i="19" s="1"/>
  <c r="H158" i="19" s="1"/>
  <c r="P157" i="19"/>
  <c r="K21" i="20"/>
  <c r="F21" i="20"/>
  <c r="AE160" i="19"/>
  <c r="AE162" i="19" s="1"/>
  <c r="AC162" i="19" s="1"/>
  <c r="L162" i="19"/>
  <c r="K21" i="17" s="1"/>
  <c r="L21" i="17" s="1"/>
  <c r="AD162" i="19"/>
  <c r="H161" i="19" s="1"/>
  <c r="K15" i="20"/>
  <c r="F15" i="20"/>
  <c r="I224" i="19"/>
  <c r="P223" i="19"/>
  <c r="J440" i="15"/>
  <c r="H168" i="16"/>
  <c r="K440" i="15" s="1"/>
  <c r="K479" i="20"/>
  <c r="F479" i="20"/>
  <c r="M64" i="15"/>
  <c r="K60" i="16"/>
  <c r="O64" i="15" s="1"/>
  <c r="Q63" i="15" s="1"/>
  <c r="K399" i="20"/>
  <c r="F399" i="20"/>
  <c r="L399" i="20" s="1"/>
  <c r="P15" i="19"/>
  <c r="P61" i="19"/>
  <c r="P165" i="19"/>
  <c r="AA165" i="19"/>
  <c r="AA166" i="19" s="1"/>
  <c r="H166" i="19" s="1"/>
  <c r="J201" i="15"/>
  <c r="H32" i="16"/>
  <c r="K201" i="15" s="1"/>
  <c r="F569" i="20"/>
  <c r="K569" i="20"/>
  <c r="K472" i="20"/>
  <c r="F472" i="20"/>
  <c r="AE521" i="19"/>
  <c r="AE523" i="19" s="1"/>
  <c r="AC523" i="19" s="1"/>
  <c r="L523" i="19"/>
  <c r="K78" i="17" s="1"/>
  <c r="L78" i="17" s="1"/>
  <c r="AD523" i="19"/>
  <c r="H522" i="19" s="1"/>
  <c r="K271" i="20"/>
  <c r="F271" i="20"/>
  <c r="J68" i="15"/>
  <c r="H62" i="16"/>
  <c r="K68" i="15" s="1"/>
  <c r="M402" i="15"/>
  <c r="J195" i="16"/>
  <c r="AE375" i="19"/>
  <c r="AE377" i="19" s="1"/>
  <c r="AC377" i="19" s="1"/>
  <c r="L377" i="19"/>
  <c r="K56" i="17" s="1"/>
  <c r="L56" i="17" s="1"/>
  <c r="AD377" i="19"/>
  <c r="H376" i="19" s="1"/>
  <c r="AD42" i="19"/>
  <c r="H42" i="19" s="1"/>
  <c r="P35" i="19"/>
  <c r="P279" i="19"/>
  <c r="K101" i="20"/>
  <c r="F101" i="20"/>
  <c r="N235" i="19"/>
  <c r="M31" i="17" s="1"/>
  <c r="N31" i="17" s="1"/>
  <c r="AD353" i="19"/>
  <c r="H353" i="19" s="1"/>
  <c r="P352" i="19"/>
  <c r="H365" i="14"/>
  <c r="O735" i="15"/>
  <c r="P535" i="19"/>
  <c r="AB535" i="19"/>
  <c r="AB536" i="19" s="1"/>
  <c r="H536" i="19" s="1"/>
  <c r="I82" i="19"/>
  <c r="P76" i="19"/>
  <c r="AB663" i="19"/>
  <c r="AB664" i="19" s="1"/>
  <c r="H664" i="19" s="1"/>
  <c r="P663" i="19"/>
  <c r="I408" i="15"/>
  <c r="K210" i="14" s="1"/>
  <c r="N210" i="14" s="1"/>
  <c r="K152" i="16"/>
  <c r="O408" i="15" s="1"/>
  <c r="Q407" i="15" s="1"/>
  <c r="L67" i="19"/>
  <c r="K9" i="17" s="1"/>
  <c r="L9" i="17" s="1"/>
  <c r="AD58" i="19"/>
  <c r="H57" i="19" s="1"/>
  <c r="AD388" i="19"/>
  <c r="H388" i="19" s="1"/>
  <c r="P387" i="19"/>
  <c r="P112" i="19"/>
  <c r="AB117" i="19"/>
  <c r="AB118" i="19" s="1"/>
  <c r="H118" i="19" s="1"/>
  <c r="P117" i="19"/>
  <c r="F605" i="20"/>
  <c r="K605" i="20"/>
  <c r="P239" i="19"/>
  <c r="H367" i="14"/>
  <c r="N367" i="14" s="1"/>
  <c r="O739" i="15"/>
  <c r="Q739" i="15" s="1"/>
  <c r="P133" i="19"/>
  <c r="AB133" i="19"/>
  <c r="AB134" i="19" s="1"/>
  <c r="H134" i="19" s="1"/>
  <c r="P455" i="19"/>
  <c r="G16" i="16"/>
  <c r="G211" i="16"/>
  <c r="G111" i="16"/>
  <c r="AD501" i="19"/>
  <c r="H500" i="19" s="1"/>
  <c r="AE498" i="19"/>
  <c r="AE501" i="19" s="1"/>
  <c r="AC501" i="19" s="1"/>
  <c r="L501" i="19"/>
  <c r="K75" i="17" s="1"/>
  <c r="L75" i="17" s="1"/>
  <c r="K623" i="20"/>
  <c r="F623" i="20"/>
  <c r="O177" i="19"/>
  <c r="I177" i="19"/>
  <c r="P177" i="19" s="1"/>
  <c r="J177" i="15"/>
  <c r="H20" i="16"/>
  <c r="K177" i="15" s="1"/>
  <c r="K43" i="20"/>
  <c r="F43" i="20"/>
  <c r="J554" i="15"/>
  <c r="H199" i="16"/>
  <c r="K554" i="15" s="1"/>
  <c r="K434" i="20"/>
  <c r="F434" i="20"/>
  <c r="AD324" i="19"/>
  <c r="AE322" i="19"/>
  <c r="AE324" i="19" s="1"/>
  <c r="AC324" i="19" s="1"/>
  <c r="L324" i="19"/>
  <c r="K48" i="17" s="1"/>
  <c r="L48" i="17" s="1"/>
  <c r="P104" i="19"/>
  <c r="P71" i="19"/>
  <c r="J310" i="15"/>
  <c r="H119" i="16"/>
  <c r="K310" i="15" s="1"/>
  <c r="AE202" i="19"/>
  <c r="AE204" i="19" s="1"/>
  <c r="AC204" i="19" s="1"/>
  <c r="AD204" i="19"/>
  <c r="H203" i="19" s="1"/>
  <c r="L204" i="19"/>
  <c r="K26" i="17" s="1"/>
  <c r="L26" i="17" s="1"/>
  <c r="P401" i="19"/>
  <c r="P599" i="19"/>
  <c r="G106" i="16"/>
  <c r="G9" i="16"/>
  <c r="P425" i="19"/>
  <c r="I552" i="19"/>
  <c r="O552" i="19"/>
  <c r="I195" i="19"/>
  <c r="P195" i="19" s="1"/>
  <c r="O195" i="19"/>
  <c r="K408" i="20"/>
  <c r="F408" i="20"/>
  <c r="K599" i="20"/>
  <c r="F599" i="20"/>
  <c r="P252" i="19"/>
  <c r="I299" i="19"/>
  <c r="P299" i="19" s="1"/>
  <c r="O299" i="19"/>
  <c r="I276" i="19"/>
  <c r="P275" i="19"/>
  <c r="I308" i="19"/>
  <c r="P307" i="19"/>
  <c r="J84" i="15"/>
  <c r="H70" i="16"/>
  <c r="K84" i="15" s="1"/>
  <c r="F557" i="20"/>
  <c r="K557" i="20"/>
  <c r="AD346" i="19"/>
  <c r="H346" i="19" s="1"/>
  <c r="P345" i="19"/>
  <c r="H364" i="14"/>
  <c r="N364" i="14" s="1"/>
  <c r="O733" i="15"/>
  <c r="Q733" i="15" s="1"/>
  <c r="N365" i="14"/>
  <c r="K421" i="20"/>
  <c r="F421" i="20"/>
  <c r="F355" i="20"/>
  <c r="K355" i="20"/>
  <c r="H121" i="19"/>
  <c r="P96" i="19"/>
  <c r="AD512" i="19"/>
  <c r="H512" i="19" s="1"/>
  <c r="P511" i="19"/>
  <c r="AE361" i="19"/>
  <c r="AE363" i="19" s="1"/>
  <c r="AC363" i="19" s="1"/>
  <c r="AD363" i="19"/>
  <c r="L363" i="19"/>
  <c r="K54" i="17" s="1"/>
  <c r="L54" i="17" s="1"/>
  <c r="O618" i="19"/>
  <c r="I618" i="19"/>
  <c r="P618" i="19" s="1"/>
  <c r="AD395" i="19"/>
  <c r="H395" i="19" s="1"/>
  <c r="P394" i="19"/>
  <c r="I248" i="19"/>
  <c r="P248" i="19" s="1"/>
  <c r="O248" i="19"/>
  <c r="AE112" i="19"/>
  <c r="AE114" i="19" s="1"/>
  <c r="AC114" i="19" s="1"/>
  <c r="AD114" i="19"/>
  <c r="L114" i="19"/>
  <c r="K15" i="17" s="1"/>
  <c r="L15" i="17" s="1"/>
  <c r="L242" i="19"/>
  <c r="K32" i="17" s="1"/>
  <c r="L32" i="17" s="1"/>
  <c r="AD242" i="19"/>
  <c r="H241" i="19" s="1"/>
  <c r="AE239" i="19"/>
  <c r="AE242" i="19" s="1"/>
  <c r="AC242" i="19" s="1"/>
  <c r="H21" i="19"/>
  <c r="P407" i="19"/>
  <c r="I515" i="19"/>
  <c r="P515" i="19" s="1"/>
  <c r="O515" i="19"/>
  <c r="AB85" i="19"/>
  <c r="AB86" i="19" s="1"/>
  <c r="H86" i="19" s="1"/>
  <c r="P85" i="19"/>
  <c r="AE649" i="19"/>
  <c r="AE652" i="19" s="1"/>
  <c r="AC652" i="19" s="1"/>
  <c r="AD652" i="19"/>
  <c r="H651" i="19" s="1"/>
  <c r="L652" i="19"/>
  <c r="K97" i="17" s="1"/>
  <c r="L97" i="17" s="1"/>
  <c r="K563" i="20"/>
  <c r="F563" i="20"/>
  <c r="P626" i="19"/>
  <c r="F113" i="20"/>
  <c r="K113" i="20"/>
  <c r="AE563" i="19"/>
  <c r="AE565" i="19" s="1"/>
  <c r="AC565" i="19" s="1"/>
  <c r="L565" i="19"/>
  <c r="K84" i="17" s="1"/>
  <c r="L84" i="17" s="1"/>
  <c r="AD565" i="19"/>
  <c r="H564" i="19" s="1"/>
  <c r="AE475" i="19"/>
  <c r="AE477" i="19" s="1"/>
  <c r="AC477" i="19" s="1"/>
  <c r="L477" i="19"/>
  <c r="K72" i="17" s="1"/>
  <c r="L72" i="17" s="1"/>
  <c r="AD477" i="19"/>
  <c r="H476" i="19" s="1"/>
  <c r="H10" i="16"/>
  <c r="K157" i="15" s="1"/>
  <c r="J203" i="15"/>
  <c r="H33" i="16"/>
  <c r="K203" i="15" s="1"/>
  <c r="O477" i="15"/>
  <c r="Q476" i="15" s="1"/>
  <c r="K265" i="20"/>
  <c r="F265" i="20"/>
  <c r="L265" i="20" s="1"/>
  <c r="P480" i="19"/>
  <c r="AD481" i="19"/>
  <c r="H481" i="19" s="1"/>
  <c r="J70" i="15"/>
  <c r="H63" i="16"/>
  <c r="K70" i="15" s="1"/>
  <c r="P297" i="19"/>
  <c r="K679" i="20"/>
  <c r="F679" i="20"/>
  <c r="O427" i="19"/>
  <c r="I427" i="19"/>
  <c r="P427" i="19" s="1"/>
  <c r="P575" i="19"/>
  <c r="F672" i="20"/>
  <c r="K672" i="20"/>
  <c r="AD374" i="19"/>
  <c r="H374" i="19" s="1"/>
  <c r="P373" i="19"/>
  <c r="P402" i="19"/>
  <c r="K258" i="20"/>
  <c r="F258" i="20"/>
  <c r="AB149" i="19"/>
  <c r="AB150" i="19" s="1"/>
  <c r="H150" i="19" s="1"/>
  <c r="P149" i="19"/>
  <c r="K214" i="20"/>
  <c r="F214" i="20"/>
  <c r="P240" i="19"/>
  <c r="K144" i="20"/>
  <c r="F144" i="20"/>
  <c r="L144" i="20" s="1"/>
  <c r="AD404" i="19"/>
  <c r="H403" i="19" s="1"/>
  <c r="AE402" i="19"/>
  <c r="AE404" i="19" s="1"/>
  <c r="AC404" i="19" s="1"/>
  <c r="L404" i="19"/>
  <c r="K60" i="17" s="1"/>
  <c r="L60" i="17" s="1"/>
  <c r="K163" i="20"/>
  <c r="F163" i="20"/>
  <c r="P380" i="19"/>
  <c r="AD381" i="19"/>
  <c r="H381" i="19" s="1"/>
  <c r="H363" i="14"/>
  <c r="N363" i="14" s="1"/>
  <c r="O731" i="15"/>
  <c r="Q731" i="15" s="1"/>
  <c r="H606" i="19"/>
  <c r="J51" i="16"/>
  <c r="J276" i="15"/>
  <c r="H102" i="16"/>
  <c r="K335" i="20"/>
  <c r="F335" i="20"/>
  <c r="H677" i="19"/>
  <c r="G209" i="16"/>
  <c r="G112" i="16"/>
  <c r="H558" i="19"/>
  <c r="J306" i="15"/>
  <c r="H117" i="16"/>
  <c r="K306" i="15" s="1"/>
  <c r="J90" i="15"/>
  <c r="H73" i="16"/>
  <c r="K90" i="15" s="1"/>
  <c r="AE96" i="19"/>
  <c r="AE98" i="19" s="1"/>
  <c r="AC98" i="19" s="1"/>
  <c r="AD98" i="19"/>
  <c r="H97" i="19" s="1"/>
  <c r="L98" i="19"/>
  <c r="K13" i="17" s="1"/>
  <c r="L13" i="17" s="1"/>
  <c r="J302" i="15"/>
  <c r="H115" i="16"/>
  <c r="K302" i="15" s="1"/>
  <c r="Q655" i="15"/>
  <c r="AE538" i="19"/>
  <c r="AE541" i="19" s="1"/>
  <c r="AC541" i="19" s="1"/>
  <c r="L541" i="19"/>
  <c r="K80" i="17" s="1"/>
  <c r="L80" i="17" s="1"/>
  <c r="AD541" i="19"/>
  <c r="P361" i="19"/>
  <c r="G17" i="16"/>
  <c r="G59" i="16"/>
  <c r="AD648" i="19"/>
  <c r="H648" i="19" s="1"/>
  <c r="P647" i="19"/>
  <c r="H362" i="14"/>
  <c r="N362" i="14" s="1"/>
  <c r="O729" i="15"/>
  <c r="Q729" i="15" s="1"/>
  <c r="P238" i="19"/>
  <c r="AE506" i="19"/>
  <c r="AE508" i="19" s="1"/>
  <c r="AC508" i="19" s="1"/>
  <c r="L508" i="19"/>
  <c r="K76" i="17" s="1"/>
  <c r="L76" i="17" s="1"/>
  <c r="AD508" i="19"/>
  <c r="H507" i="19" s="1"/>
  <c r="N242" i="19"/>
  <c r="M32" i="17" s="1"/>
  <c r="N32" i="17" s="1"/>
  <c r="H340" i="14"/>
  <c r="I724" i="15"/>
  <c r="O676" i="15"/>
  <c r="P498" i="19"/>
  <c r="P650" i="19"/>
  <c r="F551" i="20"/>
  <c r="K551" i="20"/>
  <c r="H98" i="15"/>
  <c r="N98" i="15" s="1"/>
  <c r="I53" i="14" s="1"/>
  <c r="L53" i="14" s="1"/>
  <c r="F77" i="16"/>
  <c r="AE626" i="19"/>
  <c r="AE628" i="19" s="1"/>
  <c r="AC628" i="19" s="1"/>
  <c r="L628" i="19"/>
  <c r="K94" i="17" s="1"/>
  <c r="L94" i="17" s="1"/>
  <c r="AD628" i="19"/>
  <c r="H627" i="19" s="1"/>
  <c r="AD520" i="19"/>
  <c r="H520" i="19" s="1"/>
  <c r="P519" i="19"/>
  <c r="P315" i="19"/>
  <c r="AE104" i="19"/>
  <c r="AE106" i="19" s="1"/>
  <c r="AC106" i="19" s="1"/>
  <c r="L106" i="19"/>
  <c r="K14" i="17" s="1"/>
  <c r="L14" i="17" s="1"/>
  <c r="AD106" i="19"/>
  <c r="O674" i="15"/>
  <c r="O725" i="15"/>
  <c r="M404" i="15" l="1"/>
  <c r="K150" i="16"/>
  <c r="O404" i="15" s="1"/>
  <c r="Q403" i="15" s="1"/>
  <c r="M454" i="15"/>
  <c r="M81" i="13" s="1"/>
  <c r="N81" i="13" s="1"/>
  <c r="N101" i="13" s="1"/>
  <c r="M8" i="13" s="1"/>
  <c r="N8" i="13" s="1"/>
  <c r="M552" i="15"/>
  <c r="K198" i="16"/>
  <c r="O552" i="15" s="1"/>
  <c r="Q551" i="15" s="1"/>
  <c r="J153" i="15"/>
  <c r="J155" i="15"/>
  <c r="P54" i="13"/>
  <c r="I73" i="13"/>
  <c r="L551" i="20"/>
  <c r="F552" i="20"/>
  <c r="L552" i="20" s="1"/>
  <c r="J574" i="15"/>
  <c r="H209" i="16"/>
  <c r="K574" i="15" s="1"/>
  <c r="O476" i="19"/>
  <c r="I476" i="19"/>
  <c r="O522" i="19"/>
  <c r="I522" i="19"/>
  <c r="P522" i="19" s="1"/>
  <c r="L295" i="20"/>
  <c r="F297" i="20"/>
  <c r="O682" i="19"/>
  <c r="I682" i="19"/>
  <c r="L611" i="20"/>
  <c r="F612" i="20"/>
  <c r="L303" i="20"/>
  <c r="F305" i="20"/>
  <c r="L57" i="20"/>
  <c r="F60" i="20"/>
  <c r="O31" i="19"/>
  <c r="I31" i="19"/>
  <c r="J280" i="15"/>
  <c r="H104" i="16"/>
  <c r="K280" i="15" s="1"/>
  <c r="H556" i="15"/>
  <c r="N556" i="15" s="1"/>
  <c r="I285" i="14" s="1"/>
  <c r="L285" i="14" s="1"/>
  <c r="F200" i="16"/>
  <c r="O383" i="19"/>
  <c r="I383" i="19"/>
  <c r="P383" i="19" s="1"/>
  <c r="L219" i="20"/>
  <c r="F221" i="20"/>
  <c r="O588" i="19"/>
  <c r="I588" i="19"/>
  <c r="I677" i="19"/>
  <c r="P677" i="19" s="1"/>
  <c r="O677" i="19"/>
  <c r="L672" i="20"/>
  <c r="F674" i="20"/>
  <c r="H362" i="19"/>
  <c r="H39" i="17"/>
  <c r="P276" i="19"/>
  <c r="J294" i="15"/>
  <c r="H111" i="16"/>
  <c r="K294" i="15" s="1"/>
  <c r="O42" i="19"/>
  <c r="I42" i="19"/>
  <c r="H153" i="19"/>
  <c r="L656" i="20"/>
  <c r="F659" i="20"/>
  <c r="L659" i="20" s="1"/>
  <c r="H451" i="19"/>
  <c r="L106" i="20"/>
  <c r="F108" i="20"/>
  <c r="F453" i="20"/>
  <c r="L452" i="20"/>
  <c r="L140" i="20"/>
  <c r="F146" i="20"/>
  <c r="L146" i="20" s="1"/>
  <c r="O457" i="19"/>
  <c r="I457" i="19"/>
  <c r="H255" i="19"/>
  <c r="J175" i="15"/>
  <c r="H19" i="16"/>
  <c r="K175" i="15" s="1"/>
  <c r="L190" i="20"/>
  <c r="F191" i="20"/>
  <c r="O110" i="19"/>
  <c r="I110" i="19"/>
  <c r="O635" i="19"/>
  <c r="I635" i="19"/>
  <c r="P635" i="19" s="1"/>
  <c r="I203" i="19"/>
  <c r="P203" i="19" s="1"/>
  <c r="O203" i="19"/>
  <c r="L43" i="20"/>
  <c r="F45" i="20"/>
  <c r="O211" i="19"/>
  <c r="I211" i="19"/>
  <c r="P211" i="19" s="1"/>
  <c r="H33" i="17"/>
  <c r="P249" i="19"/>
  <c r="Q273" i="15"/>
  <c r="O724" i="15"/>
  <c r="Q676" i="15"/>
  <c r="O150" i="19"/>
  <c r="I150" i="19"/>
  <c r="O564" i="19"/>
  <c r="I564" i="19"/>
  <c r="H113" i="19"/>
  <c r="J169" i="15"/>
  <c r="H16" i="16"/>
  <c r="K169" i="15" s="1"/>
  <c r="O376" i="19"/>
  <c r="I376" i="19"/>
  <c r="P376" i="19" s="1"/>
  <c r="H29" i="17"/>
  <c r="P224" i="19"/>
  <c r="O656" i="19"/>
  <c r="I656" i="19"/>
  <c r="J181" i="15"/>
  <c r="H22" i="16"/>
  <c r="K181" i="15" s="1"/>
  <c r="L119" i="20"/>
  <c r="F120" i="20"/>
  <c r="L30" i="20"/>
  <c r="F31" i="20"/>
  <c r="L31" i="20" s="1"/>
  <c r="E68" i="16"/>
  <c r="E29" i="16"/>
  <c r="H28" i="18"/>
  <c r="J582" i="15"/>
  <c r="H213" i="16"/>
  <c r="K582" i="15" s="1"/>
  <c r="J52" i="15"/>
  <c r="H54" i="16"/>
  <c r="K52" i="15" s="1"/>
  <c r="L485" i="20"/>
  <c r="F486" i="20"/>
  <c r="L486" i="20" s="1"/>
  <c r="O775" i="15"/>
  <c r="I566" i="15"/>
  <c r="K290" i="14" s="1"/>
  <c r="N290" i="14" s="1"/>
  <c r="K205" i="16"/>
  <c r="O566" i="15" s="1"/>
  <c r="Q565" i="15" s="1"/>
  <c r="L377" i="20"/>
  <c r="F378" i="20"/>
  <c r="H44" i="17"/>
  <c r="P304" i="19"/>
  <c r="Q727" i="15"/>
  <c r="L498" i="20"/>
  <c r="F499" i="20"/>
  <c r="L499" i="20" s="1"/>
  <c r="O500" i="19"/>
  <c r="I500" i="19"/>
  <c r="P500" i="19" s="1"/>
  <c r="I293" i="19"/>
  <c r="O293" i="19"/>
  <c r="L348" i="20"/>
  <c r="F350" i="20"/>
  <c r="H31" i="13"/>
  <c r="I130" i="13"/>
  <c r="I648" i="19"/>
  <c r="O648" i="19"/>
  <c r="I97" i="19"/>
  <c r="P97" i="19" s="1"/>
  <c r="O97" i="19"/>
  <c r="K276" i="15"/>
  <c r="O346" i="19"/>
  <c r="I346" i="19"/>
  <c r="I428" i="19"/>
  <c r="I353" i="19"/>
  <c r="O353" i="19"/>
  <c r="L472" i="20"/>
  <c r="F473" i="20"/>
  <c r="L15" i="20"/>
  <c r="F17" i="20"/>
  <c r="L440" i="20"/>
  <c r="F441" i="20"/>
  <c r="L170" i="20"/>
  <c r="F173" i="20"/>
  <c r="O421" i="19"/>
  <c r="I421" i="19"/>
  <c r="I7" i="13"/>
  <c r="P7" i="13" s="1"/>
  <c r="O7" i="13"/>
  <c r="L415" i="20"/>
  <c r="F416" i="20"/>
  <c r="O46" i="19"/>
  <c r="I46" i="19"/>
  <c r="P46" i="19" s="1"/>
  <c r="H433" i="19"/>
  <c r="O531" i="19"/>
  <c r="I531" i="19"/>
  <c r="P531" i="19" s="1"/>
  <c r="I409" i="19"/>
  <c r="O409" i="19"/>
  <c r="O360" i="19"/>
  <c r="I360" i="19"/>
  <c r="O673" i="19"/>
  <c r="I673" i="19"/>
  <c r="J570" i="15"/>
  <c r="H207" i="16"/>
  <c r="K570" i="15" s="1"/>
  <c r="H385" i="14"/>
  <c r="N361" i="14"/>
  <c r="O489" i="19"/>
  <c r="I489" i="19"/>
  <c r="O615" i="19"/>
  <c r="I615" i="19"/>
  <c r="H484" i="19"/>
  <c r="H46" i="17"/>
  <c r="P312" i="19"/>
  <c r="L163" i="20"/>
  <c r="F164" i="20"/>
  <c r="L164" i="20" s="1"/>
  <c r="I102" i="19"/>
  <c r="O102" i="19"/>
  <c r="L80" i="20"/>
  <c r="F82" i="20"/>
  <c r="L82" i="20" s="1"/>
  <c r="O520" i="19"/>
  <c r="I520" i="19"/>
  <c r="N340" i="14"/>
  <c r="H360" i="14"/>
  <c r="N360" i="14" s="1"/>
  <c r="J62" i="15"/>
  <c r="H59" i="16"/>
  <c r="K62" i="15" s="1"/>
  <c r="O86" i="19"/>
  <c r="I86" i="19"/>
  <c r="O512" i="19"/>
  <c r="I512" i="19"/>
  <c r="H9" i="16"/>
  <c r="O118" i="19"/>
  <c r="I118" i="19"/>
  <c r="O664" i="19"/>
  <c r="I664" i="19"/>
  <c r="L87" i="20"/>
  <c r="F89" i="20"/>
  <c r="L617" i="20"/>
  <c r="F618" i="20"/>
  <c r="L341" i="20"/>
  <c r="F343" i="20"/>
  <c r="H234" i="19"/>
  <c r="F209" i="20"/>
  <c r="L207" i="20"/>
  <c r="L593" i="20"/>
  <c r="F594" i="20"/>
  <c r="I191" i="19"/>
  <c r="O191" i="19"/>
  <c r="F227" i="20"/>
  <c r="L225" i="20"/>
  <c r="J485" i="15"/>
  <c r="H129" i="16"/>
  <c r="K485" i="15" s="1"/>
  <c r="I465" i="19"/>
  <c r="E153" i="16"/>
  <c r="H77" i="18"/>
  <c r="H281" i="19"/>
  <c r="H355" i="19"/>
  <c r="O126" i="19"/>
  <c r="I126" i="19"/>
  <c r="O390" i="19"/>
  <c r="I390" i="19"/>
  <c r="P390" i="19" s="1"/>
  <c r="E199" i="16"/>
  <c r="H94" i="18"/>
  <c r="L74" i="20"/>
  <c r="F75" i="20"/>
  <c r="H37" i="17"/>
  <c r="P268" i="19"/>
  <c r="L95" i="20"/>
  <c r="F96" i="20"/>
  <c r="L428" i="20"/>
  <c r="F429" i="20"/>
  <c r="G240" i="20"/>
  <c r="H103" i="18"/>
  <c r="J578" i="15"/>
  <c r="H211" i="16"/>
  <c r="K578" i="15" s="1"/>
  <c r="I72" i="19"/>
  <c r="O72" i="19"/>
  <c r="O627" i="19"/>
  <c r="I627" i="19"/>
  <c r="P627" i="19" s="1"/>
  <c r="J171" i="15"/>
  <c r="H17" i="16"/>
  <c r="K171" i="15" s="1"/>
  <c r="L258" i="20"/>
  <c r="F259" i="20"/>
  <c r="L679" i="20"/>
  <c r="F681" i="20"/>
  <c r="J284" i="15"/>
  <c r="H106" i="16"/>
  <c r="K284" i="15" s="1"/>
  <c r="I134" i="19"/>
  <c r="O134" i="19"/>
  <c r="I161" i="19"/>
  <c r="P161" i="19" s="1"/>
  <c r="O161" i="19"/>
  <c r="I66" i="19"/>
  <c r="O66" i="19"/>
  <c r="L398" i="20"/>
  <c r="F402" i="20"/>
  <c r="L402" i="20" s="1"/>
  <c r="J173" i="15"/>
  <c r="H18" i="16"/>
  <c r="K173" i="15" s="1"/>
  <c r="L263" i="20"/>
  <c r="F266" i="20"/>
  <c r="J479" i="15"/>
  <c r="H126" i="16"/>
  <c r="O341" i="19"/>
  <c r="I341" i="19"/>
  <c r="L35" i="20"/>
  <c r="F38" i="20"/>
  <c r="I546" i="19"/>
  <c r="O546" i="19"/>
  <c r="O367" i="19"/>
  <c r="I367" i="19"/>
  <c r="L362" i="20"/>
  <c r="F363" i="20"/>
  <c r="O219" i="19"/>
  <c r="I219" i="19"/>
  <c r="P219" i="19" s="1"/>
  <c r="O570" i="19"/>
  <c r="I570" i="19"/>
  <c r="I207" i="15"/>
  <c r="H107" i="14" s="1"/>
  <c r="N107" i="14" s="1"/>
  <c r="K35" i="16"/>
  <c r="O207" i="15" s="1"/>
  <c r="Q206" i="15" s="1"/>
  <c r="O241" i="19"/>
  <c r="I241" i="19"/>
  <c r="O507" i="19"/>
  <c r="I507" i="19"/>
  <c r="P507" i="19" s="1"/>
  <c r="I403" i="19"/>
  <c r="O403" i="19"/>
  <c r="L113" i="20"/>
  <c r="F114" i="20"/>
  <c r="O121" i="19"/>
  <c r="I121" i="19"/>
  <c r="P121" i="19" s="1"/>
  <c r="L557" i="20"/>
  <c r="F558" i="20"/>
  <c r="L558" i="20" s="1"/>
  <c r="L599" i="20"/>
  <c r="F600" i="20"/>
  <c r="L600" i="20" s="1"/>
  <c r="L101" i="20"/>
  <c r="F102" i="20"/>
  <c r="L569" i="20"/>
  <c r="F570" i="20"/>
  <c r="H369" i="19"/>
  <c r="L446" i="20"/>
  <c r="F447" i="20"/>
  <c r="L491" i="20"/>
  <c r="F493" i="20"/>
  <c r="H335" i="19"/>
  <c r="O640" i="19"/>
  <c r="I640" i="19"/>
  <c r="L587" i="20"/>
  <c r="F588" i="20"/>
  <c r="J298" i="15"/>
  <c r="H113" i="16"/>
  <c r="K298" i="15" s="1"/>
  <c r="J402" i="15"/>
  <c r="H149" i="16"/>
  <c r="H71" i="17"/>
  <c r="P471" i="19"/>
  <c r="L504" i="20"/>
  <c r="F505" i="20"/>
  <c r="L505" i="20" s="1"/>
  <c r="I492" i="19"/>
  <c r="P492" i="19" s="1"/>
  <c r="O492" i="19"/>
  <c r="L369" i="20"/>
  <c r="F371" i="20"/>
  <c r="L509" i="20"/>
  <c r="F511" i="20"/>
  <c r="L545" i="20"/>
  <c r="F546" i="20"/>
  <c r="L546" i="20" s="1"/>
  <c r="L458" i="20"/>
  <c r="F459" i="20"/>
  <c r="F253" i="20"/>
  <c r="L238" i="20"/>
  <c r="I94" i="19"/>
  <c r="O94" i="19"/>
  <c r="O632" i="19"/>
  <c r="I632" i="19"/>
  <c r="O32" i="13"/>
  <c r="I32" i="13"/>
  <c r="P32" i="13" s="1"/>
  <c r="F34" i="12" s="1"/>
  <c r="O481" i="19"/>
  <c r="I481" i="19"/>
  <c r="H540" i="19"/>
  <c r="I606" i="19"/>
  <c r="O606" i="19"/>
  <c r="I395" i="19"/>
  <c r="O395" i="19"/>
  <c r="L623" i="20"/>
  <c r="F624" i="20"/>
  <c r="H11" i="17"/>
  <c r="P82" i="19"/>
  <c r="E102" i="16"/>
  <c r="H56" i="18"/>
  <c r="L201" i="20"/>
  <c r="F203" i="20"/>
  <c r="J580" i="15"/>
  <c r="H212" i="16"/>
  <c r="K580" i="15" s="1"/>
  <c r="J487" i="15"/>
  <c r="H130" i="16"/>
  <c r="K487" i="15" s="1"/>
  <c r="J550" i="15"/>
  <c r="H197" i="16"/>
  <c r="I142" i="19"/>
  <c r="O142" i="19"/>
  <c r="I412" i="15"/>
  <c r="K212" i="14" s="1"/>
  <c r="N212" i="14" s="1"/>
  <c r="K154" i="16"/>
  <c r="O412" i="15" s="1"/>
  <c r="Q411" i="15" s="1"/>
  <c r="O200" i="19"/>
  <c r="I200" i="19"/>
  <c r="L6" i="20"/>
  <c r="F10" i="20"/>
  <c r="H329" i="19"/>
  <c r="H30" i="17"/>
  <c r="P228" i="19"/>
  <c r="O623" i="19"/>
  <c r="I623" i="19"/>
  <c r="O505" i="19"/>
  <c r="I505" i="19"/>
  <c r="P131" i="13"/>
  <c r="I155" i="13"/>
  <c r="P155" i="13" s="1"/>
  <c r="L605" i="20"/>
  <c r="F606" i="20"/>
  <c r="L283" i="20"/>
  <c r="F285" i="20"/>
  <c r="L181" i="20"/>
  <c r="F182" i="20"/>
  <c r="O415" i="19"/>
  <c r="I415" i="19"/>
  <c r="I98" i="15"/>
  <c r="K53" i="14" s="1"/>
  <c r="N53" i="14" s="1"/>
  <c r="K77" i="16"/>
  <c r="O98" i="15" s="1"/>
  <c r="Q97" i="15" s="1"/>
  <c r="I300" i="19"/>
  <c r="L563" i="20"/>
  <c r="F564" i="20"/>
  <c r="L564" i="20" s="1"/>
  <c r="L355" i="20"/>
  <c r="F357" i="20"/>
  <c r="L408" i="20"/>
  <c r="F409" i="20"/>
  <c r="H323" i="19"/>
  <c r="O388" i="19"/>
  <c r="I388" i="19"/>
  <c r="I536" i="19"/>
  <c r="O536" i="19"/>
  <c r="L21" i="20"/>
  <c r="F24" i="20"/>
  <c r="O527" i="19"/>
  <c r="I527" i="19"/>
  <c r="H36" i="17"/>
  <c r="P264" i="19"/>
  <c r="J576" i="15"/>
  <c r="H210" i="16"/>
  <c r="K576" i="15" s="1"/>
  <c r="O216" i="19"/>
  <c r="I216" i="19"/>
  <c r="L651" i="20"/>
  <c r="F652" i="20"/>
  <c r="I174" i="19"/>
  <c r="O174" i="19"/>
  <c r="E69" i="16"/>
  <c r="H47" i="18"/>
  <c r="L575" i="20"/>
  <c r="F576" i="20"/>
  <c r="H684" i="19"/>
  <c r="L464" i="20"/>
  <c r="F465" i="20"/>
  <c r="H397" i="19"/>
  <c r="J60" i="15"/>
  <c r="H58" i="16"/>
  <c r="K60" i="15" s="1"/>
  <c r="H14" i="16"/>
  <c r="K165" i="15" s="1"/>
  <c r="O673" i="15"/>
  <c r="Q673" i="15" s="1"/>
  <c r="I104" i="13"/>
  <c r="O104" i="13"/>
  <c r="I651" i="19"/>
  <c r="P651" i="19" s="1"/>
  <c r="O651" i="19"/>
  <c r="P552" i="19"/>
  <c r="I553" i="19"/>
  <c r="O158" i="19"/>
  <c r="I158" i="19"/>
  <c r="H11" i="16"/>
  <c r="K159" i="15" s="1"/>
  <c r="L289" i="20"/>
  <c r="F291" i="20"/>
  <c r="H105" i="19"/>
  <c r="O558" i="19"/>
  <c r="I558" i="19"/>
  <c r="I374" i="19"/>
  <c r="O374" i="19"/>
  <c r="O21" i="19"/>
  <c r="I21" i="19"/>
  <c r="L421" i="20"/>
  <c r="F423" i="20"/>
  <c r="F435" i="20"/>
  <c r="L435" i="20" s="1"/>
  <c r="L434" i="20"/>
  <c r="L271" i="20"/>
  <c r="F273" i="20"/>
  <c r="L273" i="20" s="1"/>
  <c r="I166" i="19"/>
  <c r="O166" i="19"/>
  <c r="L479" i="20"/>
  <c r="F480" i="20"/>
  <c r="H594" i="19"/>
  <c r="I287" i="19"/>
  <c r="O287" i="19"/>
  <c r="O182" i="19"/>
  <c r="I182" i="19"/>
  <c r="P582" i="19"/>
  <c r="I583" i="19"/>
  <c r="L65" i="20"/>
  <c r="F68" i="20"/>
  <c r="H35" i="17"/>
  <c r="P260" i="19"/>
  <c r="O576" i="19"/>
  <c r="I576" i="19"/>
  <c r="H169" i="19"/>
  <c r="L278" i="20"/>
  <c r="F279" i="20"/>
  <c r="I208" i="19"/>
  <c r="O208" i="19"/>
  <c r="M114" i="15"/>
  <c r="M53" i="13" s="1"/>
  <c r="N53" i="13" s="1"/>
  <c r="N74" i="13" s="1"/>
  <c r="M6" i="13" s="1"/>
  <c r="N6" i="13" s="1"/>
  <c r="L629" i="20"/>
  <c r="F630" i="20"/>
  <c r="L49" i="20"/>
  <c r="F52" i="20"/>
  <c r="J78" i="15"/>
  <c r="H67" i="16"/>
  <c r="K78" i="15" s="1"/>
  <c r="J56" i="15"/>
  <c r="H56" i="16"/>
  <c r="K56" i="15" s="1"/>
  <c r="H103" i="13"/>
  <c r="H29" i="13"/>
  <c r="H600" i="19"/>
  <c r="I30" i="13"/>
  <c r="O30" i="13"/>
  <c r="L335" i="20"/>
  <c r="F337" i="20"/>
  <c r="H38" i="17"/>
  <c r="P272" i="19"/>
  <c r="J300" i="15"/>
  <c r="H114" i="16"/>
  <c r="K300" i="15" s="1"/>
  <c r="J296" i="15"/>
  <c r="H112" i="16"/>
  <c r="K296" i="15" s="1"/>
  <c r="O381" i="19"/>
  <c r="I381" i="19"/>
  <c r="L214" i="20"/>
  <c r="F215" i="20"/>
  <c r="H45" i="17"/>
  <c r="P308" i="19"/>
  <c r="O57" i="19"/>
  <c r="I57" i="19"/>
  <c r="K50" i="15"/>
  <c r="Q682" i="15"/>
  <c r="H445" i="19"/>
  <c r="H317" i="19"/>
  <c r="H6" i="16"/>
  <c r="K147" i="15" s="1"/>
  <c r="I439" i="19"/>
  <c r="O439" i="19"/>
  <c r="O497" i="19"/>
  <c r="I497" i="19"/>
  <c r="L580" i="20"/>
  <c r="F582" i="20"/>
  <c r="J76" i="15"/>
  <c r="H66" i="16"/>
  <c r="K76" i="15" s="1"/>
  <c r="N332" i="14"/>
  <c r="H338" i="14"/>
  <c r="N338" i="14" s="1"/>
  <c r="I11" i="19"/>
  <c r="O11" i="19"/>
  <c r="N26" i="13"/>
  <c r="N27" i="13"/>
  <c r="N127" i="13"/>
  <c r="K155" i="15" l="1"/>
  <c r="K153" i="15"/>
  <c r="P73" i="13"/>
  <c r="H5" i="13"/>
  <c r="H123" i="16"/>
  <c r="K114" i="15"/>
  <c r="K53" i="13" s="1"/>
  <c r="L53" i="13" s="1"/>
  <c r="E10" i="12"/>
  <c r="F10" i="12"/>
  <c r="P558" i="19"/>
  <c r="I559" i="19"/>
  <c r="E84" i="18"/>
  <c r="L576" i="20"/>
  <c r="E41" i="18"/>
  <c r="L285" i="20"/>
  <c r="O329" i="19"/>
  <c r="I329" i="19"/>
  <c r="P395" i="19"/>
  <c r="O335" i="19"/>
  <c r="I335" i="19"/>
  <c r="E8" i="18"/>
  <c r="L38" i="20"/>
  <c r="E16" i="18"/>
  <c r="L96" i="20"/>
  <c r="O355" i="19"/>
  <c r="I355" i="19"/>
  <c r="P355" i="19" s="1"/>
  <c r="P118" i="19"/>
  <c r="AD119" i="19"/>
  <c r="H119" i="19" s="1"/>
  <c r="P615" i="19"/>
  <c r="I619" i="19"/>
  <c r="P421" i="19"/>
  <c r="I422" i="19"/>
  <c r="H64" i="17"/>
  <c r="P428" i="19"/>
  <c r="O33" i="17"/>
  <c r="I33" i="17"/>
  <c r="P33" i="17" s="1"/>
  <c r="O451" i="19"/>
  <c r="I451" i="19"/>
  <c r="P11" i="19"/>
  <c r="I12" i="19"/>
  <c r="I50" i="13"/>
  <c r="P50" i="13" s="1"/>
  <c r="P30" i="13"/>
  <c r="H87" i="17"/>
  <c r="P583" i="19"/>
  <c r="P166" i="19"/>
  <c r="AD167" i="19"/>
  <c r="H167" i="19" s="1"/>
  <c r="I36" i="17"/>
  <c r="P36" i="17" s="1"/>
  <c r="O36" i="17"/>
  <c r="E51" i="18"/>
  <c r="L357" i="20"/>
  <c r="E4" i="18"/>
  <c r="L10" i="20"/>
  <c r="E36" i="18"/>
  <c r="E71" i="18"/>
  <c r="L493" i="20"/>
  <c r="P66" i="19"/>
  <c r="I67" i="19"/>
  <c r="I281" i="19"/>
  <c r="O281" i="19"/>
  <c r="P520" i="19"/>
  <c r="I523" i="19"/>
  <c r="P346" i="19"/>
  <c r="I349" i="19"/>
  <c r="E43" i="18"/>
  <c r="L297" i="20"/>
  <c r="E89" i="18"/>
  <c r="L606" i="20"/>
  <c r="P606" i="19"/>
  <c r="I607" i="19"/>
  <c r="P208" i="19"/>
  <c r="AD209" i="19"/>
  <c r="H209" i="19" s="1"/>
  <c r="O103" i="13"/>
  <c r="I103" i="13"/>
  <c r="E40" i="18"/>
  <c r="L279" i="20"/>
  <c r="E6" i="18"/>
  <c r="L24" i="20"/>
  <c r="P481" i="19"/>
  <c r="K402" i="15"/>
  <c r="K454" i="15" s="1"/>
  <c r="K81" i="13" s="1"/>
  <c r="L81" i="13" s="1"/>
  <c r="H195" i="16"/>
  <c r="E19" i="18"/>
  <c r="L114" i="20"/>
  <c r="K479" i="15"/>
  <c r="K505" i="15" s="1"/>
  <c r="K83" i="13" s="1"/>
  <c r="L83" i="13" s="1"/>
  <c r="H147" i="16"/>
  <c r="E13" i="18"/>
  <c r="L75" i="20"/>
  <c r="H70" i="17"/>
  <c r="P465" i="19"/>
  <c r="E49" i="18"/>
  <c r="L343" i="20"/>
  <c r="E63" i="18"/>
  <c r="L441" i="20"/>
  <c r="K326" i="15"/>
  <c r="K77" i="13" s="1"/>
  <c r="L77" i="13" s="1"/>
  <c r="P457" i="19"/>
  <c r="I458" i="19"/>
  <c r="P42" i="19"/>
  <c r="I47" i="19"/>
  <c r="O600" i="19"/>
  <c r="I600" i="19"/>
  <c r="E30" i="18"/>
  <c r="L209" i="20"/>
  <c r="I29" i="13"/>
  <c r="O29" i="13"/>
  <c r="O540" i="19"/>
  <c r="I540" i="19"/>
  <c r="P540" i="19" s="1"/>
  <c r="I234" i="19"/>
  <c r="O234" i="19"/>
  <c r="P31" i="19"/>
  <c r="I32" i="19"/>
  <c r="H99" i="16"/>
  <c r="P174" i="19"/>
  <c r="AD175" i="19"/>
  <c r="H175" i="19" s="1"/>
  <c r="H43" i="17"/>
  <c r="P300" i="19"/>
  <c r="O369" i="19"/>
  <c r="I369" i="19"/>
  <c r="P369" i="19" s="1"/>
  <c r="P134" i="19"/>
  <c r="AD135" i="19"/>
  <c r="H135" i="19" s="1"/>
  <c r="P72" i="19"/>
  <c r="I73" i="19"/>
  <c r="P512" i="19"/>
  <c r="I516" i="19"/>
  <c r="O433" i="19"/>
  <c r="I433" i="19"/>
  <c r="P150" i="19"/>
  <c r="AD151" i="19"/>
  <c r="H151" i="19" s="1"/>
  <c r="E32" i="18"/>
  <c r="L221" i="20"/>
  <c r="E11" i="18"/>
  <c r="L60" i="20"/>
  <c r="P476" i="19"/>
  <c r="I477" i="19"/>
  <c r="P381" i="19"/>
  <c r="I384" i="19"/>
  <c r="E25" i="18"/>
  <c r="L173" i="20"/>
  <c r="P293" i="19"/>
  <c r="I294" i="19"/>
  <c r="E42" i="18"/>
  <c r="L291" i="20"/>
  <c r="E9" i="18"/>
  <c r="L45" i="20"/>
  <c r="E85" i="18"/>
  <c r="L582" i="20"/>
  <c r="O169" i="19"/>
  <c r="I169" i="19"/>
  <c r="P169" i="19" s="1"/>
  <c r="P287" i="19"/>
  <c r="I288" i="19"/>
  <c r="E60" i="18"/>
  <c r="L423" i="20"/>
  <c r="E96" i="18"/>
  <c r="L652" i="20"/>
  <c r="P505" i="19"/>
  <c r="I508" i="19"/>
  <c r="H276" i="15"/>
  <c r="N276" i="15" s="1"/>
  <c r="I143" i="14" s="1"/>
  <c r="L143" i="14" s="1"/>
  <c r="F102" i="16"/>
  <c r="C8" i="1"/>
  <c r="E74" i="18"/>
  <c r="L511" i="20"/>
  <c r="E83" i="18"/>
  <c r="L570" i="20"/>
  <c r="E52" i="18"/>
  <c r="L363" i="20"/>
  <c r="E38" i="18"/>
  <c r="L266" i="20"/>
  <c r="E91" i="18"/>
  <c r="L618" i="20"/>
  <c r="P102" i="19"/>
  <c r="AD103" i="19"/>
  <c r="H103" i="19" s="1"/>
  <c r="E5" i="18"/>
  <c r="L17" i="20"/>
  <c r="P656" i="19"/>
  <c r="I660" i="19"/>
  <c r="O113" i="19"/>
  <c r="I113" i="19"/>
  <c r="P113" i="19" s="1"/>
  <c r="P588" i="19"/>
  <c r="I589" i="19"/>
  <c r="P576" i="19"/>
  <c r="I577" i="19"/>
  <c r="P158" i="19"/>
  <c r="AD159" i="19"/>
  <c r="H159" i="19" s="1"/>
  <c r="P536" i="19"/>
  <c r="AD537" i="19"/>
  <c r="H537" i="19" s="1"/>
  <c r="P403" i="19"/>
  <c r="I404" i="19"/>
  <c r="H554" i="15"/>
  <c r="N554" i="15" s="1"/>
  <c r="I284" i="14" s="1"/>
  <c r="L284" i="14" s="1"/>
  <c r="F199" i="16"/>
  <c r="P86" i="19"/>
  <c r="AD87" i="19"/>
  <c r="H87" i="19" s="1"/>
  <c r="E44" i="18"/>
  <c r="L305" i="20"/>
  <c r="O317" i="19"/>
  <c r="I317" i="19"/>
  <c r="O105" i="19"/>
  <c r="I105" i="19"/>
  <c r="P105" i="19" s="1"/>
  <c r="E29" i="18"/>
  <c r="L203" i="20"/>
  <c r="H410" i="15"/>
  <c r="N410" i="15" s="1"/>
  <c r="I211" i="14" s="1"/>
  <c r="L211" i="14" s="1"/>
  <c r="F153" i="16"/>
  <c r="O153" i="19"/>
  <c r="I153" i="19"/>
  <c r="P153" i="19" s="1"/>
  <c r="P497" i="19"/>
  <c r="I501" i="19"/>
  <c r="P57" i="19"/>
  <c r="I58" i="19"/>
  <c r="P21" i="19"/>
  <c r="I22" i="19"/>
  <c r="O397" i="19"/>
  <c r="I397" i="19"/>
  <c r="P397" i="19" s="1"/>
  <c r="P216" i="19"/>
  <c r="AD217" i="19"/>
  <c r="H217" i="19" s="1"/>
  <c r="P388" i="19"/>
  <c r="I391" i="19"/>
  <c r="P415" i="19"/>
  <c r="I416" i="19"/>
  <c r="P623" i="19"/>
  <c r="AD624" i="19"/>
  <c r="H624" i="19" s="1"/>
  <c r="P142" i="19"/>
  <c r="AD143" i="19"/>
  <c r="H143" i="19" s="1"/>
  <c r="I11" i="17"/>
  <c r="P11" i="17" s="1"/>
  <c r="O11" i="17"/>
  <c r="P632" i="19"/>
  <c r="I636" i="19"/>
  <c r="E53" i="18"/>
  <c r="L371" i="20"/>
  <c r="E86" i="18"/>
  <c r="L588" i="20"/>
  <c r="E17" i="18"/>
  <c r="L102" i="20"/>
  <c r="P367" i="19"/>
  <c r="E101" i="18"/>
  <c r="H101" i="18" s="1"/>
  <c r="L681" i="20"/>
  <c r="E33" i="18"/>
  <c r="L227" i="20"/>
  <c r="E15" i="18"/>
  <c r="L89" i="20"/>
  <c r="E59" i="18"/>
  <c r="L416" i="20"/>
  <c r="E68" i="18"/>
  <c r="L473" i="20"/>
  <c r="P648" i="19"/>
  <c r="I652" i="19"/>
  <c r="E20" i="18"/>
  <c r="L120" i="20"/>
  <c r="E64" i="18"/>
  <c r="L447" i="20"/>
  <c r="P564" i="19"/>
  <c r="I565" i="19"/>
  <c r="O38" i="17"/>
  <c r="I38" i="17"/>
  <c r="P38" i="17" s="1"/>
  <c r="E10" i="18"/>
  <c r="L52" i="20"/>
  <c r="I594" i="19"/>
  <c r="O594" i="19"/>
  <c r="H82" i="17"/>
  <c r="P553" i="19"/>
  <c r="E67" i="18"/>
  <c r="L465" i="20"/>
  <c r="K550" i="15"/>
  <c r="K598" i="15" s="1"/>
  <c r="K85" i="13" s="1"/>
  <c r="L85" i="13" s="1"/>
  <c r="H219" i="16"/>
  <c r="E92" i="18"/>
  <c r="L624" i="20"/>
  <c r="H240" i="20"/>
  <c r="K240" i="20"/>
  <c r="P673" i="19"/>
  <c r="AD674" i="19"/>
  <c r="H674" i="19" s="1"/>
  <c r="P130" i="13"/>
  <c r="I154" i="13"/>
  <c r="P154" i="13" s="1"/>
  <c r="I44" i="17"/>
  <c r="P44" i="17" s="1"/>
  <c r="O44" i="17"/>
  <c r="O29" i="17"/>
  <c r="I29" i="17"/>
  <c r="P29" i="17" s="1"/>
  <c r="P110" i="19"/>
  <c r="AD111" i="19"/>
  <c r="H111" i="19" s="1"/>
  <c r="E65" i="18"/>
  <c r="L453" i="20"/>
  <c r="O39" i="17"/>
  <c r="I39" i="17"/>
  <c r="P39" i="17" s="1"/>
  <c r="I556" i="15"/>
  <c r="K285" i="14" s="1"/>
  <c r="N285" i="14" s="1"/>
  <c r="K200" i="16"/>
  <c r="O556" i="15" s="1"/>
  <c r="Q555" i="15" s="1"/>
  <c r="E90" i="18"/>
  <c r="L612" i="20"/>
  <c r="E31" i="18"/>
  <c r="L215" i="20"/>
  <c r="E66" i="18"/>
  <c r="L459" i="20"/>
  <c r="O37" i="17"/>
  <c r="I37" i="17"/>
  <c r="P37" i="17" s="1"/>
  <c r="O255" i="19"/>
  <c r="I255" i="19"/>
  <c r="E48" i="18"/>
  <c r="L337" i="20"/>
  <c r="O35" i="17"/>
  <c r="I35" i="17"/>
  <c r="P35" i="17" s="1"/>
  <c r="E69" i="18"/>
  <c r="L480" i="20"/>
  <c r="O323" i="19"/>
  <c r="I323" i="19"/>
  <c r="E26" i="18"/>
  <c r="L182" i="20"/>
  <c r="P640" i="19"/>
  <c r="I644" i="19"/>
  <c r="P241" i="19"/>
  <c r="I242" i="19"/>
  <c r="E37" i="18"/>
  <c r="L259" i="20"/>
  <c r="E61" i="18"/>
  <c r="L429" i="20"/>
  <c r="P126" i="19"/>
  <c r="AD127" i="19"/>
  <c r="H127" i="19" s="1"/>
  <c r="P191" i="19"/>
  <c r="AD192" i="19"/>
  <c r="H192" i="19" s="1"/>
  <c r="P664" i="19"/>
  <c r="AD665" i="19"/>
  <c r="H665" i="19" s="1"/>
  <c r="I46" i="17"/>
  <c r="P46" i="17" s="1"/>
  <c r="O46" i="17"/>
  <c r="O31" i="13"/>
  <c r="I31" i="13"/>
  <c r="P31" i="13" s="1"/>
  <c r="E54" i="18"/>
  <c r="L378" i="20"/>
  <c r="H195" i="15"/>
  <c r="N195" i="15" s="1"/>
  <c r="F101" i="14" s="1"/>
  <c r="L101" i="14" s="1"/>
  <c r="F29" i="16"/>
  <c r="E18" i="18"/>
  <c r="L108" i="20"/>
  <c r="O362" i="19"/>
  <c r="I362" i="19"/>
  <c r="P362" i="19" s="1"/>
  <c r="P104" i="13"/>
  <c r="P527" i="19"/>
  <c r="AD528" i="19"/>
  <c r="H528" i="19" s="1"/>
  <c r="P570" i="19"/>
  <c r="I571" i="19"/>
  <c r="P341" i="19"/>
  <c r="I342" i="19"/>
  <c r="P409" i="19"/>
  <c r="I410" i="19"/>
  <c r="I445" i="19"/>
  <c r="O445" i="19"/>
  <c r="P182" i="19"/>
  <c r="AD183" i="19"/>
  <c r="H183" i="19" s="1"/>
  <c r="H82" i="15"/>
  <c r="N82" i="15" s="1"/>
  <c r="I45" i="14" s="1"/>
  <c r="L45" i="14" s="1"/>
  <c r="F69" i="16"/>
  <c r="P200" i="19"/>
  <c r="AD201" i="19"/>
  <c r="H201" i="19" s="1"/>
  <c r="O71" i="17"/>
  <c r="I71" i="17"/>
  <c r="P71" i="17" s="1"/>
  <c r="P489" i="19"/>
  <c r="I493" i="19"/>
  <c r="P439" i="19"/>
  <c r="I440" i="19"/>
  <c r="O45" i="17"/>
  <c r="I45" i="17"/>
  <c r="P45" i="17" s="1"/>
  <c r="E93" i="18"/>
  <c r="L630" i="20"/>
  <c r="E12" i="18"/>
  <c r="L68" i="20"/>
  <c r="P374" i="19"/>
  <c r="I377" i="19"/>
  <c r="O684" i="19"/>
  <c r="I684" i="19"/>
  <c r="P684" i="19" s="1"/>
  <c r="E58" i="18"/>
  <c r="L409" i="20"/>
  <c r="I30" i="17"/>
  <c r="P30" i="17" s="1"/>
  <c r="O30" i="17"/>
  <c r="P94" i="19"/>
  <c r="AD95" i="19"/>
  <c r="H95" i="19" s="1"/>
  <c r="P546" i="19"/>
  <c r="I547" i="19"/>
  <c r="E87" i="18"/>
  <c r="L594" i="20"/>
  <c r="O484" i="19"/>
  <c r="I484" i="19"/>
  <c r="P484" i="19" s="1"/>
  <c r="P360" i="19"/>
  <c r="I363" i="19"/>
  <c r="P353" i="19"/>
  <c r="E50" i="18"/>
  <c r="L350" i="20"/>
  <c r="H80" i="15"/>
  <c r="N80" i="15" s="1"/>
  <c r="I44" i="14" s="1"/>
  <c r="L44" i="14" s="1"/>
  <c r="F68" i="16"/>
  <c r="E27" i="18"/>
  <c r="L191" i="20"/>
  <c r="E100" i="18"/>
  <c r="L674" i="20"/>
  <c r="P682" i="19"/>
  <c r="I685" i="19"/>
  <c r="I128" i="13"/>
  <c r="O5" i="13" l="1"/>
  <c r="I5" i="13"/>
  <c r="P5" i="13" s="1"/>
  <c r="L101" i="13"/>
  <c r="K8" i="13" s="1"/>
  <c r="L8" i="13" s="1"/>
  <c r="E117" i="16"/>
  <c r="H63" i="18"/>
  <c r="E107" i="16"/>
  <c r="H58" i="18"/>
  <c r="H84" i="17"/>
  <c r="P565" i="19"/>
  <c r="H62" i="17"/>
  <c r="P416" i="19"/>
  <c r="H8" i="17"/>
  <c r="P58" i="19"/>
  <c r="P317" i="19"/>
  <c r="I318" i="19"/>
  <c r="O537" i="19"/>
  <c r="I537" i="19"/>
  <c r="H98" i="17"/>
  <c r="P660" i="19"/>
  <c r="E74" i="16"/>
  <c r="H52" i="18"/>
  <c r="E206" i="16"/>
  <c r="H96" i="18"/>
  <c r="H69" i="17"/>
  <c r="P458" i="19"/>
  <c r="H52" i="17"/>
  <c r="P349" i="19"/>
  <c r="I398" i="19"/>
  <c r="O665" i="19"/>
  <c r="I665" i="19"/>
  <c r="H95" i="17"/>
  <c r="P636" i="19"/>
  <c r="E20" i="16"/>
  <c r="H19" i="18"/>
  <c r="I217" i="19"/>
  <c r="O217" i="19"/>
  <c r="E133" i="16"/>
  <c r="H74" i="18"/>
  <c r="E129" i="20"/>
  <c r="H100" i="18"/>
  <c r="H74" i="17"/>
  <c r="P493" i="19"/>
  <c r="E53" i="16"/>
  <c r="H37" i="18"/>
  <c r="E168" i="16"/>
  <c r="H90" i="18"/>
  <c r="E16" i="16"/>
  <c r="E211" i="16"/>
  <c r="E111" i="16"/>
  <c r="H15" i="18"/>
  <c r="E75" i="16"/>
  <c r="H53" i="18"/>
  <c r="E63" i="16"/>
  <c r="H42" i="18"/>
  <c r="E33" i="16"/>
  <c r="H32" i="18"/>
  <c r="P234" i="19"/>
  <c r="I235" i="19"/>
  <c r="E5" i="16"/>
  <c r="H145" i="15" s="1"/>
  <c r="N145" i="15" s="1"/>
  <c r="H4" i="18"/>
  <c r="H4" i="17"/>
  <c r="P12" i="19"/>
  <c r="O119" i="19"/>
  <c r="I119" i="19"/>
  <c r="H32" i="17"/>
  <c r="P242" i="19"/>
  <c r="O159" i="19"/>
  <c r="I159" i="19"/>
  <c r="E159" i="16"/>
  <c r="H83" i="18"/>
  <c r="O209" i="19"/>
  <c r="I209" i="19"/>
  <c r="H78" i="17"/>
  <c r="P523" i="19"/>
  <c r="P329" i="19"/>
  <c r="I330" i="19"/>
  <c r="E28" i="16"/>
  <c r="H27" i="18"/>
  <c r="E165" i="16"/>
  <c r="H87" i="18"/>
  <c r="H56" i="17"/>
  <c r="P377" i="19"/>
  <c r="H61" i="17"/>
  <c r="P410" i="19"/>
  <c r="E70" i="16"/>
  <c r="H48" i="18"/>
  <c r="E121" i="16"/>
  <c r="H67" i="18"/>
  <c r="E118" i="16"/>
  <c r="H64" i="18"/>
  <c r="E34" i="16"/>
  <c r="H33" i="18"/>
  <c r="E65" i="16"/>
  <c r="H44" i="18"/>
  <c r="E104" i="16"/>
  <c r="E6" i="16"/>
  <c r="H147" i="15" s="1"/>
  <c r="N147" i="15" s="1"/>
  <c r="H5" i="18"/>
  <c r="H41" i="17"/>
  <c r="P288" i="19"/>
  <c r="E73" i="16"/>
  <c r="H51" i="18"/>
  <c r="P451" i="19"/>
  <c r="I452" i="19"/>
  <c r="I201" i="19"/>
  <c r="O201" i="19"/>
  <c r="H51" i="17"/>
  <c r="P342" i="19"/>
  <c r="I195" i="15"/>
  <c r="H101" i="14" s="1"/>
  <c r="N101" i="14" s="1"/>
  <c r="K29" i="16"/>
  <c r="O195" i="15" s="1"/>
  <c r="Q194" i="15" s="1"/>
  <c r="O192" i="19"/>
  <c r="I192" i="19"/>
  <c r="I674" i="19"/>
  <c r="O674" i="19"/>
  <c r="I82" i="17"/>
  <c r="P82" i="17" s="1"/>
  <c r="O82" i="17"/>
  <c r="E21" i="16"/>
  <c r="H20" i="18"/>
  <c r="O87" i="19"/>
  <c r="I87" i="19"/>
  <c r="I103" i="19"/>
  <c r="O103" i="19"/>
  <c r="E26" i="16"/>
  <c r="H25" i="18"/>
  <c r="P433" i="19"/>
  <c r="I434" i="19"/>
  <c r="O43" i="17"/>
  <c r="I43" i="17"/>
  <c r="P43" i="17" s="1"/>
  <c r="P29" i="13"/>
  <c r="E33" i="12" s="1"/>
  <c r="I49" i="13"/>
  <c r="P49" i="13" s="1"/>
  <c r="I485" i="19"/>
  <c r="P281" i="19"/>
  <c r="I282" i="19"/>
  <c r="E62" i="16"/>
  <c r="H41" i="18"/>
  <c r="P445" i="19"/>
  <c r="I446" i="19"/>
  <c r="H58" i="17"/>
  <c r="P391" i="19"/>
  <c r="E209" i="16"/>
  <c r="E112" i="16"/>
  <c r="H60" i="18"/>
  <c r="E13" i="16"/>
  <c r="H163" i="15" s="1"/>
  <c r="N163" i="15" s="1"/>
  <c r="H12" i="18"/>
  <c r="H97" i="17"/>
  <c r="P652" i="19"/>
  <c r="I370" i="19"/>
  <c r="I410" i="15"/>
  <c r="K211" i="14" s="1"/>
  <c r="N211" i="14" s="1"/>
  <c r="K153" i="16"/>
  <c r="O410" i="15" s="1"/>
  <c r="Q409" i="15" s="1"/>
  <c r="H86" i="17"/>
  <c r="P577" i="19"/>
  <c r="H57" i="17"/>
  <c r="P384" i="19"/>
  <c r="E71" i="16"/>
  <c r="H49" i="18"/>
  <c r="H91" i="17"/>
  <c r="P607" i="19"/>
  <c r="H9" i="17"/>
  <c r="P67" i="19"/>
  <c r="I167" i="19"/>
  <c r="O167" i="19"/>
  <c r="H42" i="17"/>
  <c r="P294" i="19"/>
  <c r="E72" i="16"/>
  <c r="H50" i="18"/>
  <c r="I95" i="19"/>
  <c r="O95" i="19"/>
  <c r="H85" i="17"/>
  <c r="P571" i="19"/>
  <c r="O127" i="19"/>
  <c r="I127" i="19"/>
  <c r="E27" i="16"/>
  <c r="H26" i="18"/>
  <c r="E119" i="16"/>
  <c r="H65" i="18"/>
  <c r="P594" i="19"/>
  <c r="I595" i="19"/>
  <c r="O143" i="19"/>
  <c r="I143" i="19"/>
  <c r="I554" i="15"/>
  <c r="K284" i="14" s="1"/>
  <c r="N284" i="14" s="1"/>
  <c r="K199" i="16"/>
  <c r="O554" i="15" s="1"/>
  <c r="Q553" i="15" s="1"/>
  <c r="I276" i="15"/>
  <c r="K102" i="16"/>
  <c r="H77" i="17"/>
  <c r="P516" i="19"/>
  <c r="O175" i="19"/>
  <c r="I175" i="19"/>
  <c r="E31" i="16"/>
  <c r="H30" i="18"/>
  <c r="E17" i="16"/>
  <c r="E59" i="16"/>
  <c r="H16" i="18"/>
  <c r="E160" i="16"/>
  <c r="H84" i="18"/>
  <c r="I80" i="15"/>
  <c r="K44" i="14" s="1"/>
  <c r="N44" i="14" s="1"/>
  <c r="K68" i="16"/>
  <c r="O80" i="15" s="1"/>
  <c r="Q79" i="15" s="1"/>
  <c r="E213" i="16"/>
  <c r="E114" i="16"/>
  <c r="E19" i="16"/>
  <c r="H18" i="18"/>
  <c r="P255" i="19"/>
  <c r="I256" i="19"/>
  <c r="I356" i="19"/>
  <c r="E171" i="16"/>
  <c r="H93" i="18"/>
  <c r="I82" i="15"/>
  <c r="K45" i="14" s="1"/>
  <c r="N45" i="14" s="1"/>
  <c r="K69" i="16"/>
  <c r="O82" i="15" s="1"/>
  <c r="Q81" i="15" s="1"/>
  <c r="E76" i="16"/>
  <c r="H54" i="18"/>
  <c r="P323" i="19"/>
  <c r="I324" i="19"/>
  <c r="O111" i="19"/>
  <c r="I111" i="19"/>
  <c r="H88" i="17"/>
  <c r="P589" i="19"/>
  <c r="E169" i="16"/>
  <c r="H91" i="18"/>
  <c r="H72" i="17"/>
  <c r="P477" i="19"/>
  <c r="P600" i="19"/>
  <c r="I601" i="19"/>
  <c r="I70" i="17"/>
  <c r="P70" i="17" s="1"/>
  <c r="O70" i="17"/>
  <c r="E7" i="16"/>
  <c r="H149" i="15" s="1"/>
  <c r="N149" i="15" s="1"/>
  <c r="H6" i="18"/>
  <c r="O64" i="17"/>
  <c r="I64" i="17"/>
  <c r="P64" i="17" s="1"/>
  <c r="H83" i="17"/>
  <c r="P559" i="19"/>
  <c r="H81" i="17"/>
  <c r="P547" i="19"/>
  <c r="E34" i="12"/>
  <c r="F33" i="12"/>
  <c r="E120" i="16"/>
  <c r="H66" i="18"/>
  <c r="H253" i="20"/>
  <c r="L240" i="20"/>
  <c r="E125" i="20"/>
  <c r="E11" i="16"/>
  <c r="H159" i="15" s="1"/>
  <c r="N159" i="15" s="1"/>
  <c r="H10" i="18"/>
  <c r="E197" i="16"/>
  <c r="E149" i="16"/>
  <c r="E126" i="16"/>
  <c r="H68" i="18"/>
  <c r="E212" i="16"/>
  <c r="E113" i="16"/>
  <c r="E18" i="16"/>
  <c r="H17" i="18"/>
  <c r="I624" i="19"/>
  <c r="O624" i="19"/>
  <c r="H5" i="17"/>
  <c r="P22" i="19"/>
  <c r="E30" i="16"/>
  <c r="H29" i="18"/>
  <c r="H60" i="17"/>
  <c r="P404" i="19"/>
  <c r="H76" i="17"/>
  <c r="P508" i="19"/>
  <c r="E163" i="16"/>
  <c r="H85" i="18"/>
  <c r="H10" i="17"/>
  <c r="P73" i="19"/>
  <c r="E167" i="16"/>
  <c r="H89" i="18"/>
  <c r="E130" i="16"/>
  <c r="E210" i="16"/>
  <c r="H71" i="18"/>
  <c r="H63" i="17"/>
  <c r="P422" i="19"/>
  <c r="E106" i="16"/>
  <c r="E9" i="16"/>
  <c r="H8" i="18"/>
  <c r="H75" i="17"/>
  <c r="P501" i="19"/>
  <c r="H101" i="17"/>
  <c r="P685" i="19"/>
  <c r="H54" i="17"/>
  <c r="P363" i="19"/>
  <c r="I183" i="19"/>
  <c r="O183" i="19"/>
  <c r="O528" i="19"/>
  <c r="I528" i="19"/>
  <c r="E129" i="16"/>
  <c r="E207" i="16"/>
  <c r="E54" i="16"/>
  <c r="H38" i="18"/>
  <c r="H6" i="17"/>
  <c r="P32" i="19"/>
  <c r="H7" i="17"/>
  <c r="P47" i="19"/>
  <c r="E56" i="16"/>
  <c r="E14" i="16"/>
  <c r="H165" i="15" s="1"/>
  <c r="N165" i="15" s="1"/>
  <c r="H13" i="18"/>
  <c r="E309" i="20"/>
  <c r="E318" i="20"/>
  <c r="E58" i="16"/>
  <c r="H40" i="18"/>
  <c r="O87" i="17"/>
  <c r="I87" i="17"/>
  <c r="P87" i="17" s="1"/>
  <c r="P335" i="19"/>
  <c r="I336" i="19"/>
  <c r="C8" i="10"/>
  <c r="G10" i="12"/>
  <c r="I151" i="19"/>
  <c r="O151" i="19"/>
  <c r="H96" i="17"/>
  <c r="P644" i="19"/>
  <c r="H66" i="17"/>
  <c r="P440" i="19"/>
  <c r="E115" i="16"/>
  <c r="H61" i="18"/>
  <c r="E127" i="16"/>
  <c r="H69" i="18"/>
  <c r="E32" i="16"/>
  <c r="H31" i="18"/>
  <c r="E170" i="16"/>
  <c r="H92" i="18"/>
  <c r="E108" i="16"/>
  <c r="H59" i="18"/>
  <c r="E164" i="16"/>
  <c r="H86" i="18"/>
  <c r="E10" i="16"/>
  <c r="H157" i="15" s="1"/>
  <c r="N157" i="15" s="1"/>
  <c r="H9" i="18"/>
  <c r="E12" i="16"/>
  <c r="H161" i="15" s="1"/>
  <c r="N161" i="15" s="1"/>
  <c r="H11" i="18"/>
  <c r="I135" i="19"/>
  <c r="O135" i="19"/>
  <c r="P103" i="13"/>
  <c r="I127" i="13"/>
  <c r="P127" i="13" s="1"/>
  <c r="E64" i="16"/>
  <c r="H43" i="18"/>
  <c r="E37" i="16"/>
  <c r="H93" i="17"/>
  <c r="P619" i="19"/>
  <c r="B8" i="10"/>
  <c r="P128" i="13"/>
  <c r="H153" i="15" l="1"/>
  <c r="N153" i="15" s="1"/>
  <c r="H155" i="15"/>
  <c r="N155" i="15" s="1"/>
  <c r="F84" i="14"/>
  <c r="L84" i="14" s="1"/>
  <c r="F12" i="16"/>
  <c r="I161" i="15" s="1"/>
  <c r="H481" i="15"/>
  <c r="N481" i="15" s="1"/>
  <c r="F246" i="14" s="1"/>
  <c r="L246" i="14" s="1"/>
  <c r="F127" i="16"/>
  <c r="H50" i="17"/>
  <c r="P336" i="19"/>
  <c r="O7" i="17"/>
  <c r="I7" i="17"/>
  <c r="P7" i="17" s="1"/>
  <c r="I54" i="17"/>
  <c r="P54" i="17" s="1"/>
  <c r="O54" i="17"/>
  <c r="H487" i="15"/>
  <c r="N487" i="15" s="1"/>
  <c r="F249" i="14" s="1"/>
  <c r="L249" i="14" s="1"/>
  <c r="F130" i="16"/>
  <c r="H197" i="15"/>
  <c r="N197" i="15" s="1"/>
  <c r="F102" i="14" s="1"/>
  <c r="L102" i="14" s="1"/>
  <c r="F30" i="16"/>
  <c r="H550" i="15"/>
  <c r="N550" i="15" s="1"/>
  <c r="I282" i="14" s="1"/>
  <c r="L282" i="14" s="1"/>
  <c r="F197" i="16"/>
  <c r="H424" i="15"/>
  <c r="N424" i="15" s="1"/>
  <c r="I218" i="14" s="1"/>
  <c r="L218" i="14" s="1"/>
  <c r="F160" i="16"/>
  <c r="K143" i="14"/>
  <c r="N143" i="14" s="1"/>
  <c r="O9" i="17"/>
  <c r="I9" i="17"/>
  <c r="P9" i="17" s="1"/>
  <c r="H55" i="17"/>
  <c r="P370" i="19"/>
  <c r="H189" i="15"/>
  <c r="N189" i="15" s="1"/>
  <c r="F98" i="14" s="1"/>
  <c r="L98" i="14" s="1"/>
  <c r="F26" i="16"/>
  <c r="O41" i="17"/>
  <c r="I41" i="17"/>
  <c r="P41" i="17" s="1"/>
  <c r="O52" i="17"/>
  <c r="I52" i="17"/>
  <c r="P52" i="17" s="1"/>
  <c r="O83" i="17"/>
  <c r="I83" i="17"/>
  <c r="P83" i="17" s="1"/>
  <c r="H442" i="15"/>
  <c r="N442" i="15" s="1"/>
  <c r="I227" i="14" s="1"/>
  <c r="L227" i="14" s="1"/>
  <c r="F169" i="16"/>
  <c r="H446" i="15"/>
  <c r="N446" i="15" s="1"/>
  <c r="I229" i="14" s="1"/>
  <c r="L229" i="14" s="1"/>
  <c r="F171" i="16"/>
  <c r="H68" i="15"/>
  <c r="N68" i="15" s="1"/>
  <c r="I38" i="14" s="1"/>
  <c r="L38" i="14" s="1"/>
  <c r="F62" i="16"/>
  <c r="H84" i="15"/>
  <c r="N84" i="15" s="1"/>
  <c r="I46" i="14" s="1"/>
  <c r="L46" i="14" s="1"/>
  <c r="F70" i="16"/>
  <c r="I78" i="17"/>
  <c r="P78" i="17" s="1"/>
  <c r="O78" i="17"/>
  <c r="O4" i="17"/>
  <c r="I4" i="17"/>
  <c r="P4" i="17" s="1"/>
  <c r="H294" i="15"/>
  <c r="N294" i="15" s="1"/>
  <c r="I152" i="14" s="1"/>
  <c r="L152" i="14" s="1"/>
  <c r="F111" i="16"/>
  <c r="H493" i="15"/>
  <c r="N493" i="15" s="1"/>
  <c r="F252" i="14" s="1"/>
  <c r="L252" i="14" s="1"/>
  <c r="F133" i="16"/>
  <c r="H302" i="15"/>
  <c r="N302" i="15" s="1"/>
  <c r="I156" i="14" s="1"/>
  <c r="L156" i="14" s="1"/>
  <c r="F115" i="16"/>
  <c r="H40" i="17"/>
  <c r="P282" i="19"/>
  <c r="I8" i="17"/>
  <c r="P8" i="17" s="1"/>
  <c r="O8" i="17"/>
  <c r="K125" i="20"/>
  <c r="F125" i="20"/>
  <c r="H171" i="15"/>
  <c r="N171" i="15" s="1"/>
  <c r="F89" i="14" s="1"/>
  <c r="L89" i="14" s="1"/>
  <c r="F17" i="16"/>
  <c r="H211" i="15"/>
  <c r="F37" i="16"/>
  <c r="H432" i="15"/>
  <c r="N432" i="15" s="1"/>
  <c r="I222" i="14" s="1"/>
  <c r="L222" i="14" s="1"/>
  <c r="F164" i="16"/>
  <c r="I66" i="17"/>
  <c r="P66" i="17" s="1"/>
  <c r="O66" i="17"/>
  <c r="H52" i="15"/>
  <c r="N52" i="15" s="1"/>
  <c r="I30" i="14" s="1"/>
  <c r="L30" i="14" s="1"/>
  <c r="F54" i="16"/>
  <c r="O75" i="17"/>
  <c r="I75" i="17"/>
  <c r="P75" i="17" s="1"/>
  <c r="I10" i="17"/>
  <c r="P10" i="17" s="1"/>
  <c r="O10" i="17"/>
  <c r="P624" i="19"/>
  <c r="I628" i="19"/>
  <c r="P111" i="19"/>
  <c r="I114" i="19"/>
  <c r="P95" i="19"/>
  <c r="I98" i="19"/>
  <c r="H86" i="15"/>
  <c r="N86" i="15" s="1"/>
  <c r="I47" i="14" s="1"/>
  <c r="L47" i="14" s="1"/>
  <c r="F71" i="16"/>
  <c r="F85" i="14"/>
  <c r="L85" i="14" s="1"/>
  <c r="F13" i="16"/>
  <c r="I163" i="15" s="1"/>
  <c r="H73" i="17"/>
  <c r="P485" i="19"/>
  <c r="O51" i="17"/>
  <c r="I51" i="17"/>
  <c r="P51" i="17" s="1"/>
  <c r="H31" i="17"/>
  <c r="P235" i="19"/>
  <c r="H568" i="15"/>
  <c r="N568" i="15" s="1"/>
  <c r="I291" i="14" s="1"/>
  <c r="L291" i="14" s="1"/>
  <c r="F206" i="16"/>
  <c r="O62" i="17"/>
  <c r="I62" i="17"/>
  <c r="P62" i="17" s="1"/>
  <c r="F83" i="14"/>
  <c r="L83" i="14" s="1"/>
  <c r="F11" i="16"/>
  <c r="I159" i="15" s="1"/>
  <c r="P209" i="19"/>
  <c r="I212" i="19"/>
  <c r="H280" i="15"/>
  <c r="N280" i="15" s="1"/>
  <c r="I145" i="14" s="1"/>
  <c r="L145" i="14" s="1"/>
  <c r="F104" i="16"/>
  <c r="H60" i="15"/>
  <c r="N60" i="15" s="1"/>
  <c r="I34" i="14" s="1"/>
  <c r="L34" i="14" s="1"/>
  <c r="F58" i="16"/>
  <c r="H570" i="15"/>
  <c r="N570" i="15" s="1"/>
  <c r="I292" i="14" s="1"/>
  <c r="L292" i="14" s="1"/>
  <c r="F207" i="16"/>
  <c r="F36" i="18"/>
  <c r="L253" i="20"/>
  <c r="F78" i="14"/>
  <c r="L78" i="14" s="1"/>
  <c r="F7" i="16"/>
  <c r="I149" i="15" s="1"/>
  <c r="H199" i="15"/>
  <c r="N199" i="15" s="1"/>
  <c r="F103" i="14" s="1"/>
  <c r="L103" i="14" s="1"/>
  <c r="F31" i="16"/>
  <c r="H89" i="17"/>
  <c r="P595" i="19"/>
  <c r="H74" i="15"/>
  <c r="N74" i="15" s="1"/>
  <c r="I41" i="14" s="1"/>
  <c r="L41" i="14" s="1"/>
  <c r="F65" i="16"/>
  <c r="I56" i="17"/>
  <c r="P56" i="17" s="1"/>
  <c r="O56" i="17"/>
  <c r="H422" i="15"/>
  <c r="N422" i="15" s="1"/>
  <c r="I217" i="14" s="1"/>
  <c r="L217" i="14" s="1"/>
  <c r="F159" i="16"/>
  <c r="H440" i="15"/>
  <c r="N440" i="15" s="1"/>
  <c r="I226" i="14" s="1"/>
  <c r="L226" i="14" s="1"/>
  <c r="F168" i="16"/>
  <c r="H177" i="15"/>
  <c r="N177" i="15" s="1"/>
  <c r="F92" i="14" s="1"/>
  <c r="L92" i="14" s="1"/>
  <c r="F20" i="16"/>
  <c r="F77" i="14"/>
  <c r="L77" i="14" s="1"/>
  <c r="F6" i="16"/>
  <c r="I147" i="15" s="1"/>
  <c r="H72" i="15"/>
  <c r="N72" i="15" s="1"/>
  <c r="I40" i="14" s="1"/>
  <c r="L40" i="14" s="1"/>
  <c r="F64" i="16"/>
  <c r="H288" i="15"/>
  <c r="N288" i="15" s="1"/>
  <c r="I149" i="14" s="1"/>
  <c r="L149" i="14" s="1"/>
  <c r="F108" i="16"/>
  <c r="I96" i="17"/>
  <c r="P96" i="17" s="1"/>
  <c r="O96" i="17"/>
  <c r="K318" i="20"/>
  <c r="F318" i="20"/>
  <c r="H485" i="15"/>
  <c r="N485" i="15" s="1"/>
  <c r="F248" i="14" s="1"/>
  <c r="L248" i="14" s="1"/>
  <c r="F129" i="16"/>
  <c r="F80" i="14"/>
  <c r="L80" i="14" s="1"/>
  <c r="F81" i="14"/>
  <c r="L81" i="14" s="1"/>
  <c r="F9" i="16"/>
  <c r="H430" i="15"/>
  <c r="N430" i="15" s="1"/>
  <c r="I221" i="14" s="1"/>
  <c r="L221" i="14" s="1"/>
  <c r="F163" i="16"/>
  <c r="H173" i="15"/>
  <c r="N173" i="15" s="1"/>
  <c r="F90" i="14" s="1"/>
  <c r="L90" i="14" s="1"/>
  <c r="F18" i="16"/>
  <c r="H48" i="17"/>
  <c r="P324" i="19"/>
  <c r="H175" i="15"/>
  <c r="N175" i="15" s="1"/>
  <c r="F91" i="14" s="1"/>
  <c r="L91" i="14" s="1"/>
  <c r="F19" i="16"/>
  <c r="P175" i="19"/>
  <c r="I178" i="19"/>
  <c r="H88" i="15"/>
  <c r="N88" i="15" s="1"/>
  <c r="I48" i="14" s="1"/>
  <c r="L48" i="14" s="1"/>
  <c r="F72" i="16"/>
  <c r="O57" i="17"/>
  <c r="I57" i="17"/>
  <c r="P57" i="17" s="1"/>
  <c r="H296" i="15"/>
  <c r="N296" i="15" s="1"/>
  <c r="I153" i="14" s="1"/>
  <c r="L153" i="14" s="1"/>
  <c r="F112" i="16"/>
  <c r="B7" i="1"/>
  <c r="E35" i="12"/>
  <c r="Z25" i="11" s="1"/>
  <c r="O25" i="11" s="1"/>
  <c r="H179" i="15"/>
  <c r="N179" i="15" s="1"/>
  <c r="F93" i="14" s="1"/>
  <c r="L93" i="14" s="1"/>
  <c r="F21" i="16"/>
  <c r="P201" i="19"/>
  <c r="I204" i="19"/>
  <c r="P159" i="19"/>
  <c r="I162" i="19"/>
  <c r="H92" i="15"/>
  <c r="N92" i="15" s="1"/>
  <c r="I50" i="14" s="1"/>
  <c r="L50" i="14" s="1"/>
  <c r="F74" i="16"/>
  <c r="I84" i="17"/>
  <c r="P84" i="17" s="1"/>
  <c r="O84" i="17"/>
  <c r="I6" i="17"/>
  <c r="P6" i="17" s="1"/>
  <c r="O6" i="17"/>
  <c r="O97" i="17"/>
  <c r="I97" i="17"/>
  <c r="P97" i="17" s="1"/>
  <c r="H578" i="15"/>
  <c r="N578" i="15" s="1"/>
  <c r="I296" i="14" s="1"/>
  <c r="L296" i="14" s="1"/>
  <c r="F211" i="16"/>
  <c r="O88" i="17"/>
  <c r="I88" i="17"/>
  <c r="P88" i="17" s="1"/>
  <c r="O61" i="17"/>
  <c r="I61" i="17"/>
  <c r="P61" i="17" s="1"/>
  <c r="F309" i="20"/>
  <c r="K309" i="20"/>
  <c r="P528" i="19"/>
  <c r="I532" i="19"/>
  <c r="H284" i="15"/>
  <c r="N284" i="15" s="1"/>
  <c r="I147" i="14" s="1"/>
  <c r="L147" i="14" s="1"/>
  <c r="F106" i="16"/>
  <c r="H298" i="15"/>
  <c r="N298" i="15" s="1"/>
  <c r="I154" i="14" s="1"/>
  <c r="L154" i="14" s="1"/>
  <c r="F113" i="16"/>
  <c r="H312" i="15"/>
  <c r="N312" i="15" s="1"/>
  <c r="I161" i="14" s="1"/>
  <c r="L161" i="14" s="1"/>
  <c r="F120" i="16"/>
  <c r="H300" i="15"/>
  <c r="N300" i="15" s="1"/>
  <c r="I155" i="14" s="1"/>
  <c r="L155" i="14" s="1"/>
  <c r="F114" i="16"/>
  <c r="H574" i="15"/>
  <c r="N574" i="15" s="1"/>
  <c r="I294" i="14" s="1"/>
  <c r="L294" i="14" s="1"/>
  <c r="F209" i="16"/>
  <c r="H68" i="17"/>
  <c r="P452" i="19"/>
  <c r="H205" i="15"/>
  <c r="N205" i="15" s="1"/>
  <c r="F106" i="14" s="1"/>
  <c r="L106" i="14" s="1"/>
  <c r="F34" i="16"/>
  <c r="H434" i="15"/>
  <c r="N434" i="15" s="1"/>
  <c r="I223" i="14" s="1"/>
  <c r="L223" i="14" s="1"/>
  <c r="F165" i="16"/>
  <c r="H203" i="15"/>
  <c r="N203" i="15" s="1"/>
  <c r="F105" i="14" s="1"/>
  <c r="L105" i="14" s="1"/>
  <c r="F33" i="16"/>
  <c r="H50" i="15"/>
  <c r="N50" i="15" s="1"/>
  <c r="I29" i="14" s="1"/>
  <c r="L29" i="14" s="1"/>
  <c r="F53" i="16"/>
  <c r="O95" i="17"/>
  <c r="I95" i="17"/>
  <c r="P95" i="17" s="1"/>
  <c r="O101" i="17"/>
  <c r="I101" i="17"/>
  <c r="P101" i="17" s="1"/>
  <c r="H169" i="15"/>
  <c r="N169" i="15" s="1"/>
  <c r="F88" i="14" s="1"/>
  <c r="L88" i="14" s="1"/>
  <c r="F16" i="16"/>
  <c r="H444" i="15"/>
  <c r="N444" i="15" s="1"/>
  <c r="I228" i="14" s="1"/>
  <c r="L228" i="14" s="1"/>
  <c r="F170" i="16"/>
  <c r="P151" i="19"/>
  <c r="I154" i="19"/>
  <c r="O76" i="17"/>
  <c r="I76" i="17"/>
  <c r="P76" i="17" s="1"/>
  <c r="H580" i="15"/>
  <c r="N580" i="15" s="1"/>
  <c r="I297" i="14" s="1"/>
  <c r="L297" i="14" s="1"/>
  <c r="F212" i="16"/>
  <c r="C7" i="1"/>
  <c r="E7" i="1" s="1"/>
  <c r="F35" i="12"/>
  <c r="G33" i="12"/>
  <c r="H90" i="17"/>
  <c r="P601" i="19"/>
  <c r="H582" i="15"/>
  <c r="N582" i="15" s="1"/>
  <c r="I298" i="14" s="1"/>
  <c r="L298" i="14" s="1"/>
  <c r="F213" i="16"/>
  <c r="H310" i="15"/>
  <c r="N310" i="15" s="1"/>
  <c r="I160" i="14" s="1"/>
  <c r="L160" i="14" s="1"/>
  <c r="F119" i="16"/>
  <c r="I42" i="17"/>
  <c r="P42" i="17" s="1"/>
  <c r="O42" i="17"/>
  <c r="P665" i="19"/>
  <c r="I669" i="19"/>
  <c r="O98" i="17"/>
  <c r="I98" i="17"/>
  <c r="P98" i="17" s="1"/>
  <c r="H286" i="15"/>
  <c r="N286" i="15" s="1"/>
  <c r="I148" i="14" s="1"/>
  <c r="L148" i="14" s="1"/>
  <c r="F107" i="16"/>
  <c r="O5" i="17"/>
  <c r="I5" i="17"/>
  <c r="P5" i="17" s="1"/>
  <c r="H62" i="15"/>
  <c r="N62" i="15" s="1"/>
  <c r="I35" i="14" s="1"/>
  <c r="L35" i="14" s="1"/>
  <c r="F59" i="16"/>
  <c r="O85" i="17"/>
  <c r="I85" i="17"/>
  <c r="P85" i="17" s="1"/>
  <c r="P103" i="19"/>
  <c r="I106" i="19"/>
  <c r="P217" i="19"/>
  <c r="I220" i="19"/>
  <c r="F86" i="14"/>
  <c r="L86" i="14" s="1"/>
  <c r="F14" i="16"/>
  <c r="I165" i="15" s="1"/>
  <c r="O63" i="17"/>
  <c r="I63" i="17"/>
  <c r="P63" i="17" s="1"/>
  <c r="B8" i="1"/>
  <c r="D8" i="1" s="1"/>
  <c r="G34" i="12"/>
  <c r="H96" i="15"/>
  <c r="N96" i="15" s="1"/>
  <c r="I52" i="14" s="1"/>
  <c r="L52" i="14" s="1"/>
  <c r="F76" i="16"/>
  <c r="O77" i="17"/>
  <c r="I77" i="17"/>
  <c r="P77" i="17" s="1"/>
  <c r="O86" i="17"/>
  <c r="I86" i="17"/>
  <c r="P86" i="17" s="1"/>
  <c r="I58" i="17"/>
  <c r="P58" i="17" s="1"/>
  <c r="O58" i="17"/>
  <c r="H65" i="17"/>
  <c r="P434" i="19"/>
  <c r="H308" i="15"/>
  <c r="N308" i="15" s="1"/>
  <c r="I159" i="14" s="1"/>
  <c r="L159" i="14" s="1"/>
  <c r="F118" i="16"/>
  <c r="H193" i="15"/>
  <c r="N193" i="15" s="1"/>
  <c r="F100" i="14" s="1"/>
  <c r="L100" i="14" s="1"/>
  <c r="F28" i="16"/>
  <c r="I32" i="17"/>
  <c r="P32" i="17" s="1"/>
  <c r="O32" i="17"/>
  <c r="H70" i="15"/>
  <c r="N70" i="15" s="1"/>
  <c r="I39" i="14" s="1"/>
  <c r="L39" i="14" s="1"/>
  <c r="F63" i="16"/>
  <c r="O74" i="17"/>
  <c r="I74" i="17"/>
  <c r="P74" i="17" s="1"/>
  <c r="P537" i="19"/>
  <c r="I541" i="19"/>
  <c r="F82" i="14"/>
  <c r="L82" i="14" s="1"/>
  <c r="F10" i="16"/>
  <c r="I157" i="15" s="1"/>
  <c r="O69" i="17"/>
  <c r="I69" i="17"/>
  <c r="P69" i="17" s="1"/>
  <c r="H34" i="17"/>
  <c r="P256" i="19"/>
  <c r="P143" i="19"/>
  <c r="I146" i="19"/>
  <c r="P87" i="19"/>
  <c r="I90" i="19"/>
  <c r="P135" i="19"/>
  <c r="I138" i="19"/>
  <c r="H201" i="15"/>
  <c r="N201" i="15" s="1"/>
  <c r="F104" i="14" s="1"/>
  <c r="L104" i="14" s="1"/>
  <c r="F32" i="16"/>
  <c r="H56" i="15"/>
  <c r="N56" i="15" s="1"/>
  <c r="I32" i="14" s="1"/>
  <c r="L32" i="14" s="1"/>
  <c r="F56" i="16"/>
  <c r="P183" i="19"/>
  <c r="I187" i="19"/>
  <c r="I60" i="17"/>
  <c r="P60" i="17" s="1"/>
  <c r="O60" i="17"/>
  <c r="H479" i="15"/>
  <c r="N479" i="15" s="1"/>
  <c r="F245" i="14" s="1"/>
  <c r="L245" i="14" s="1"/>
  <c r="F126" i="16"/>
  <c r="H191" i="15"/>
  <c r="N191" i="15" s="1"/>
  <c r="F99" i="14" s="1"/>
  <c r="L99" i="14" s="1"/>
  <c r="F27" i="16"/>
  <c r="P167" i="19"/>
  <c r="I170" i="19"/>
  <c r="H67" i="17"/>
  <c r="P446" i="19"/>
  <c r="P674" i="19"/>
  <c r="I678" i="19"/>
  <c r="H90" i="15"/>
  <c r="N90" i="15" s="1"/>
  <c r="I49" i="14" s="1"/>
  <c r="L49" i="14" s="1"/>
  <c r="F73" i="16"/>
  <c r="H49" i="17"/>
  <c r="P330" i="19"/>
  <c r="P119" i="19"/>
  <c r="I122" i="19"/>
  <c r="H59" i="17"/>
  <c r="P398" i="19"/>
  <c r="H306" i="15"/>
  <c r="N306" i="15" s="1"/>
  <c r="I158" i="14" s="1"/>
  <c r="L158" i="14" s="1"/>
  <c r="F117" i="16"/>
  <c r="O93" i="17"/>
  <c r="I93" i="17"/>
  <c r="P93" i="17" s="1"/>
  <c r="H438" i="15"/>
  <c r="N438" i="15" s="1"/>
  <c r="I225" i="14" s="1"/>
  <c r="L225" i="14" s="1"/>
  <c r="F167" i="16"/>
  <c r="H53" i="17"/>
  <c r="P356" i="19"/>
  <c r="O91" i="17"/>
  <c r="I91" i="17"/>
  <c r="P91" i="17" s="1"/>
  <c r="F76" i="14"/>
  <c r="L76" i="14" s="1"/>
  <c r="F5" i="16"/>
  <c r="I145" i="15" s="1"/>
  <c r="H576" i="15"/>
  <c r="N576" i="15" s="1"/>
  <c r="I295" i="14" s="1"/>
  <c r="L295" i="14" s="1"/>
  <c r="F210" i="16"/>
  <c r="H402" i="15"/>
  <c r="N402" i="15" s="1"/>
  <c r="I207" i="14" s="1"/>
  <c r="L207" i="14" s="1"/>
  <c r="F149" i="16"/>
  <c r="O81" i="17"/>
  <c r="I81" i="17"/>
  <c r="P81" i="17" s="1"/>
  <c r="I72" i="17"/>
  <c r="P72" i="17" s="1"/>
  <c r="O72" i="17"/>
  <c r="O276" i="15"/>
  <c r="P127" i="19"/>
  <c r="I130" i="19"/>
  <c r="P192" i="19"/>
  <c r="I196" i="19"/>
  <c r="H314" i="15"/>
  <c r="N314" i="15" s="1"/>
  <c r="I162" i="14" s="1"/>
  <c r="L162" i="14" s="1"/>
  <c r="F121" i="16"/>
  <c r="H94" i="15"/>
  <c r="N94" i="15" s="1"/>
  <c r="I51" i="14" s="1"/>
  <c r="L51" i="14" s="1"/>
  <c r="F75" i="16"/>
  <c r="K129" i="20"/>
  <c r="F129" i="20"/>
  <c r="L129" i="20" s="1"/>
  <c r="H47" i="17"/>
  <c r="P318" i="19"/>
  <c r="I153" i="15" l="1"/>
  <c r="I155" i="15"/>
  <c r="H81" i="14" s="1"/>
  <c r="N81" i="14" s="1"/>
  <c r="H16" i="17"/>
  <c r="P122" i="19"/>
  <c r="H77" i="14"/>
  <c r="N77" i="14" s="1"/>
  <c r="K6" i="16"/>
  <c r="I280" i="15"/>
  <c r="K104" i="16"/>
  <c r="F123" i="16"/>
  <c r="H94" i="17"/>
  <c r="P628" i="19"/>
  <c r="I211" i="15"/>
  <c r="H109" i="14" s="1"/>
  <c r="N109" i="14" s="1"/>
  <c r="I493" i="15"/>
  <c r="H252" i="14" s="1"/>
  <c r="N252" i="14" s="1"/>
  <c r="K133" i="16"/>
  <c r="O493" i="15" s="1"/>
  <c r="Q492" i="15" s="1"/>
  <c r="I446" i="15"/>
  <c r="K229" i="14" s="1"/>
  <c r="N229" i="14" s="1"/>
  <c r="K171" i="16"/>
  <c r="O446" i="15" s="1"/>
  <c r="Q445" i="15" s="1"/>
  <c r="I487" i="15"/>
  <c r="H249" i="14" s="1"/>
  <c r="N249" i="14" s="1"/>
  <c r="K130" i="16"/>
  <c r="O487" i="15" s="1"/>
  <c r="Q486" i="15" s="1"/>
  <c r="O47" i="17"/>
  <c r="I47" i="17"/>
  <c r="P47" i="17" s="1"/>
  <c r="Q275" i="15"/>
  <c r="O65" i="17"/>
  <c r="I65" i="17"/>
  <c r="P65" i="17" s="1"/>
  <c r="I444" i="15"/>
  <c r="K228" i="14" s="1"/>
  <c r="N228" i="14" s="1"/>
  <c r="K170" i="16"/>
  <c r="O444" i="15" s="1"/>
  <c r="Q443" i="15" s="1"/>
  <c r="I434" i="15"/>
  <c r="K223" i="14" s="1"/>
  <c r="N223" i="14" s="1"/>
  <c r="K165" i="16"/>
  <c r="O434" i="15" s="1"/>
  <c r="Q433" i="15" s="1"/>
  <c r="I298" i="15"/>
  <c r="K154" i="14" s="1"/>
  <c r="N154" i="14" s="1"/>
  <c r="K113" i="16"/>
  <c r="O298" i="15" s="1"/>
  <c r="Q297" i="15" s="1"/>
  <c r="I578" i="15"/>
  <c r="K296" i="14" s="1"/>
  <c r="N296" i="14" s="1"/>
  <c r="K211" i="16"/>
  <c r="O578" i="15" s="1"/>
  <c r="Q577" i="15" s="1"/>
  <c r="H26" i="17"/>
  <c r="P204" i="19"/>
  <c r="H23" i="17"/>
  <c r="P178" i="19"/>
  <c r="O89" i="17"/>
  <c r="I89" i="17"/>
  <c r="P89" i="17" s="1"/>
  <c r="O55" i="17"/>
  <c r="I55" i="17"/>
  <c r="P55" i="17" s="1"/>
  <c r="H12" i="17"/>
  <c r="P90" i="19"/>
  <c r="I286" i="15"/>
  <c r="K148" i="14" s="1"/>
  <c r="N148" i="14" s="1"/>
  <c r="K107" i="16"/>
  <c r="O286" i="15" s="1"/>
  <c r="Q285" i="15" s="1"/>
  <c r="I485" i="15"/>
  <c r="H248" i="14" s="1"/>
  <c r="N248" i="14" s="1"/>
  <c r="K129" i="16"/>
  <c r="O485" i="15" s="1"/>
  <c r="Q484" i="15" s="1"/>
  <c r="I199" i="15"/>
  <c r="H103" i="14" s="1"/>
  <c r="N103" i="14" s="1"/>
  <c r="K31" i="16"/>
  <c r="O199" i="15" s="1"/>
  <c r="Q198" i="15" s="1"/>
  <c r="I171" i="15"/>
  <c r="H89" i="14" s="1"/>
  <c r="N89" i="14" s="1"/>
  <c r="K17" i="16"/>
  <c r="O171" i="15" s="1"/>
  <c r="Q170" i="15" s="1"/>
  <c r="I442" i="15"/>
  <c r="K227" i="14" s="1"/>
  <c r="N227" i="14" s="1"/>
  <c r="K169" i="16"/>
  <c r="O442" i="15" s="1"/>
  <c r="Q441" i="15" s="1"/>
  <c r="O53" i="17"/>
  <c r="I53" i="17"/>
  <c r="P53" i="17" s="1"/>
  <c r="O49" i="17"/>
  <c r="I49" i="17"/>
  <c r="P49" i="17" s="1"/>
  <c r="I90" i="17"/>
  <c r="P90" i="17" s="1"/>
  <c r="O90" i="17"/>
  <c r="I169" i="15"/>
  <c r="H88" i="14" s="1"/>
  <c r="N88" i="14" s="1"/>
  <c r="K16" i="16"/>
  <c r="O169" i="15" s="1"/>
  <c r="Q168" i="15" s="1"/>
  <c r="I205" i="15"/>
  <c r="H106" i="14" s="1"/>
  <c r="N106" i="14" s="1"/>
  <c r="K34" i="16"/>
  <c r="O205" i="15" s="1"/>
  <c r="Q204" i="15" s="1"/>
  <c r="I284" i="15"/>
  <c r="K147" i="14" s="1"/>
  <c r="N147" i="14" s="1"/>
  <c r="K106" i="16"/>
  <c r="O284" i="15" s="1"/>
  <c r="Q283" i="15" s="1"/>
  <c r="I179" i="15"/>
  <c r="H93" i="14" s="1"/>
  <c r="N93" i="14" s="1"/>
  <c r="K21" i="16"/>
  <c r="O179" i="15" s="1"/>
  <c r="Q178" i="15" s="1"/>
  <c r="I175" i="15"/>
  <c r="H91" i="14" s="1"/>
  <c r="N91" i="14" s="1"/>
  <c r="K19" i="16"/>
  <c r="O175" i="15" s="1"/>
  <c r="Q174" i="15" s="1"/>
  <c r="O73" i="17"/>
  <c r="I73" i="17"/>
  <c r="P73" i="17" s="1"/>
  <c r="I479" i="15"/>
  <c r="K126" i="16"/>
  <c r="F147" i="16"/>
  <c r="H86" i="14"/>
  <c r="N86" i="14" s="1"/>
  <c r="K14" i="16"/>
  <c r="I177" i="15"/>
  <c r="H92" i="14" s="1"/>
  <c r="N92" i="14" s="1"/>
  <c r="K20" i="16"/>
  <c r="O177" i="15" s="1"/>
  <c r="Q176" i="15" s="1"/>
  <c r="H27" i="17"/>
  <c r="P212" i="19"/>
  <c r="I294" i="15"/>
  <c r="K152" i="14" s="1"/>
  <c r="N152" i="14" s="1"/>
  <c r="K111" i="16"/>
  <c r="O294" i="15" s="1"/>
  <c r="Q293" i="15" s="1"/>
  <c r="I94" i="15"/>
  <c r="K51" i="14" s="1"/>
  <c r="N51" i="14" s="1"/>
  <c r="K75" i="16"/>
  <c r="O94" i="15" s="1"/>
  <c r="Q93" i="15" s="1"/>
  <c r="I438" i="15"/>
  <c r="K225" i="14" s="1"/>
  <c r="N225" i="14" s="1"/>
  <c r="K167" i="16"/>
  <c r="O438" i="15" s="1"/>
  <c r="Q437" i="15" s="1"/>
  <c r="I90" i="15"/>
  <c r="K49" i="14" s="1"/>
  <c r="N49" i="14" s="1"/>
  <c r="K73" i="16"/>
  <c r="O90" i="15" s="1"/>
  <c r="Q89" i="15" s="1"/>
  <c r="H19" i="17"/>
  <c r="P146" i="19"/>
  <c r="I70" i="15"/>
  <c r="K39" i="14" s="1"/>
  <c r="N39" i="14" s="1"/>
  <c r="K63" i="16"/>
  <c r="O70" i="15" s="1"/>
  <c r="Q69" i="15" s="1"/>
  <c r="H28" i="17"/>
  <c r="P220" i="19"/>
  <c r="L318" i="20"/>
  <c r="F323" i="20"/>
  <c r="I440" i="15"/>
  <c r="K226" i="14" s="1"/>
  <c r="N226" i="14" s="1"/>
  <c r="K168" i="16"/>
  <c r="O440" i="15" s="1"/>
  <c r="Q439" i="15" s="1"/>
  <c r="H78" i="14"/>
  <c r="N78" i="14" s="1"/>
  <c r="K7" i="16"/>
  <c r="H83" i="14"/>
  <c r="N83" i="14" s="1"/>
  <c r="K11" i="16"/>
  <c r="H85" i="14"/>
  <c r="N85" i="14" s="1"/>
  <c r="K13" i="16"/>
  <c r="L125" i="20"/>
  <c r="F134" i="20"/>
  <c r="I582" i="15"/>
  <c r="K298" i="14" s="1"/>
  <c r="N298" i="14" s="1"/>
  <c r="K213" i="16"/>
  <c r="O582" i="15" s="1"/>
  <c r="Q581" i="15" s="1"/>
  <c r="Z26" i="11"/>
  <c r="O26" i="11" s="1"/>
  <c r="G35" i="12"/>
  <c r="H79" i="17"/>
  <c r="P532" i="19"/>
  <c r="H80" i="17"/>
  <c r="P541" i="19"/>
  <c r="I314" i="15"/>
  <c r="K162" i="14" s="1"/>
  <c r="N162" i="14" s="1"/>
  <c r="K121" i="16"/>
  <c r="O314" i="15" s="1"/>
  <c r="Q313" i="15" s="1"/>
  <c r="I402" i="15"/>
  <c r="F195" i="16"/>
  <c r="K149" i="16"/>
  <c r="H100" i="17"/>
  <c r="P678" i="19"/>
  <c r="H24" i="17"/>
  <c r="P187" i="19"/>
  <c r="H14" i="17"/>
  <c r="P106" i="19"/>
  <c r="H99" i="17"/>
  <c r="P669" i="19"/>
  <c r="I68" i="17"/>
  <c r="P68" i="17" s="1"/>
  <c r="O68" i="17"/>
  <c r="I48" i="17"/>
  <c r="P48" i="17" s="1"/>
  <c r="O48" i="17"/>
  <c r="I422" i="15"/>
  <c r="K217" i="14" s="1"/>
  <c r="N217" i="14" s="1"/>
  <c r="K159" i="16"/>
  <c r="O422" i="15" s="1"/>
  <c r="Q421" i="15" s="1"/>
  <c r="I86" i="15"/>
  <c r="K47" i="14" s="1"/>
  <c r="N47" i="14" s="1"/>
  <c r="K71" i="16"/>
  <c r="O86" i="15" s="1"/>
  <c r="Q85" i="15" s="1"/>
  <c r="I52" i="15"/>
  <c r="K30" i="14" s="1"/>
  <c r="N30" i="14" s="1"/>
  <c r="K54" i="16"/>
  <c r="O52" i="15" s="1"/>
  <c r="Q51" i="15" s="1"/>
  <c r="I424" i="15"/>
  <c r="K218" i="14" s="1"/>
  <c r="N218" i="14" s="1"/>
  <c r="K160" i="16"/>
  <c r="O424" i="15" s="1"/>
  <c r="Q423" i="15" s="1"/>
  <c r="I34" i="17"/>
  <c r="P34" i="17" s="1"/>
  <c r="O34" i="17"/>
  <c r="I173" i="15"/>
  <c r="H90" i="14" s="1"/>
  <c r="N90" i="14" s="1"/>
  <c r="K18" i="16"/>
  <c r="O173" i="15" s="1"/>
  <c r="Q172" i="15" s="1"/>
  <c r="O50" i="17"/>
  <c r="I50" i="17"/>
  <c r="P50" i="17" s="1"/>
  <c r="I574" i="15"/>
  <c r="K294" i="14" s="1"/>
  <c r="N294" i="14" s="1"/>
  <c r="K209" i="16"/>
  <c r="O574" i="15" s="1"/>
  <c r="Q573" i="15" s="1"/>
  <c r="H25" i="17"/>
  <c r="P196" i="19"/>
  <c r="I576" i="15"/>
  <c r="K295" i="14" s="1"/>
  <c r="N295" i="14" s="1"/>
  <c r="K210" i="16"/>
  <c r="O576" i="15" s="1"/>
  <c r="Q575" i="15" s="1"/>
  <c r="I306" i="15"/>
  <c r="K158" i="14" s="1"/>
  <c r="N158" i="14" s="1"/>
  <c r="K117" i="16"/>
  <c r="O306" i="15" s="1"/>
  <c r="Q305" i="15" s="1"/>
  <c r="I56" i="15"/>
  <c r="K32" i="14" s="1"/>
  <c r="N32" i="14" s="1"/>
  <c r="K56" i="16"/>
  <c r="O56" i="15" s="1"/>
  <c r="Q55" i="15" s="1"/>
  <c r="I193" i="15"/>
  <c r="H100" i="14" s="1"/>
  <c r="N100" i="14" s="1"/>
  <c r="K28" i="16"/>
  <c r="O193" i="15" s="1"/>
  <c r="Q192" i="15" s="1"/>
  <c r="I96" i="15"/>
  <c r="K52" i="14" s="1"/>
  <c r="N52" i="14" s="1"/>
  <c r="K76" i="16"/>
  <c r="O96" i="15" s="1"/>
  <c r="Q95" i="15" s="1"/>
  <c r="L309" i="20"/>
  <c r="F314" i="20"/>
  <c r="I288" i="15"/>
  <c r="K149" i="14" s="1"/>
  <c r="N149" i="14" s="1"/>
  <c r="K108" i="16"/>
  <c r="O288" i="15" s="1"/>
  <c r="Q287" i="15" s="1"/>
  <c r="I570" i="15"/>
  <c r="K292" i="14" s="1"/>
  <c r="N292" i="14" s="1"/>
  <c r="K207" i="16"/>
  <c r="O570" i="15" s="1"/>
  <c r="Q569" i="15" s="1"/>
  <c r="I568" i="15"/>
  <c r="K291" i="14" s="1"/>
  <c r="N291" i="14" s="1"/>
  <c r="K206" i="16"/>
  <c r="O568" i="15" s="1"/>
  <c r="Q567" i="15" s="1"/>
  <c r="H13" i="17"/>
  <c r="P98" i="19"/>
  <c r="I84" i="15"/>
  <c r="K46" i="14" s="1"/>
  <c r="N46" i="14" s="1"/>
  <c r="K70" i="16"/>
  <c r="O84" i="15" s="1"/>
  <c r="Q83" i="15" s="1"/>
  <c r="I550" i="15"/>
  <c r="K197" i="16"/>
  <c r="F219" i="16"/>
  <c r="I481" i="15"/>
  <c r="H246" i="14" s="1"/>
  <c r="N246" i="14" s="1"/>
  <c r="K127" i="16"/>
  <c r="O481" i="15" s="1"/>
  <c r="Q480" i="15" s="1"/>
  <c r="I296" i="15"/>
  <c r="K153" i="14" s="1"/>
  <c r="N153" i="14" s="1"/>
  <c r="K112" i="16"/>
  <c r="O296" i="15" s="1"/>
  <c r="Q295" i="15" s="1"/>
  <c r="O67" i="17"/>
  <c r="I67" i="17"/>
  <c r="P67" i="17" s="1"/>
  <c r="I50" i="15"/>
  <c r="K53" i="16"/>
  <c r="I300" i="15"/>
  <c r="K155" i="14" s="1"/>
  <c r="N155" i="14" s="1"/>
  <c r="K114" i="16"/>
  <c r="O300" i="15" s="1"/>
  <c r="Q299" i="15" s="1"/>
  <c r="I92" i="15"/>
  <c r="K50" i="14" s="1"/>
  <c r="N50" i="14" s="1"/>
  <c r="K74" i="16"/>
  <c r="O92" i="15" s="1"/>
  <c r="Q91" i="15" s="1"/>
  <c r="I430" i="15"/>
  <c r="K221" i="14" s="1"/>
  <c r="N221" i="14" s="1"/>
  <c r="K163" i="16"/>
  <c r="O430" i="15" s="1"/>
  <c r="Q429" i="15" s="1"/>
  <c r="O40" i="17"/>
  <c r="I40" i="17"/>
  <c r="P40" i="17" s="1"/>
  <c r="H18" i="17"/>
  <c r="P138" i="19"/>
  <c r="G37" i="16"/>
  <c r="H36" i="18"/>
  <c r="H17" i="17"/>
  <c r="P130" i="19"/>
  <c r="K5" i="16"/>
  <c r="O145" i="15" s="1"/>
  <c r="H22" i="17"/>
  <c r="P170" i="19"/>
  <c r="I201" i="15"/>
  <c r="H104" i="14" s="1"/>
  <c r="N104" i="14" s="1"/>
  <c r="K32" i="16"/>
  <c r="O201" i="15" s="1"/>
  <c r="Q200" i="15" s="1"/>
  <c r="H82" i="14"/>
  <c r="N82" i="14" s="1"/>
  <c r="K10" i="16"/>
  <c r="I308" i="15"/>
  <c r="K159" i="14" s="1"/>
  <c r="N159" i="14" s="1"/>
  <c r="K118" i="16"/>
  <c r="O308" i="15" s="1"/>
  <c r="Q307" i="15" s="1"/>
  <c r="I62" i="15"/>
  <c r="K35" i="14" s="1"/>
  <c r="N35" i="14" s="1"/>
  <c r="K59" i="16"/>
  <c r="O62" i="15" s="1"/>
  <c r="Q61" i="15" s="1"/>
  <c r="I310" i="15"/>
  <c r="K160" i="14" s="1"/>
  <c r="N160" i="14" s="1"/>
  <c r="K119" i="16"/>
  <c r="O310" i="15" s="1"/>
  <c r="Q309" i="15" s="1"/>
  <c r="I72" i="15"/>
  <c r="K40" i="14" s="1"/>
  <c r="N40" i="14" s="1"/>
  <c r="K64" i="16"/>
  <c r="O72" i="15" s="1"/>
  <c r="Q71" i="15" s="1"/>
  <c r="I74" i="15"/>
  <c r="K41" i="14" s="1"/>
  <c r="N41" i="14" s="1"/>
  <c r="K65" i="16"/>
  <c r="O74" i="15" s="1"/>
  <c r="Q73" i="15" s="1"/>
  <c r="I60" i="15"/>
  <c r="K34" i="14" s="1"/>
  <c r="N34" i="14" s="1"/>
  <c r="K58" i="16"/>
  <c r="O60" i="15" s="1"/>
  <c r="Q59" i="15" s="1"/>
  <c r="H15" i="17"/>
  <c r="P114" i="19"/>
  <c r="I432" i="15"/>
  <c r="K222" i="14" s="1"/>
  <c r="N222" i="14" s="1"/>
  <c r="K164" i="16"/>
  <c r="O432" i="15" s="1"/>
  <c r="Q431" i="15" s="1"/>
  <c r="I302" i="15"/>
  <c r="K156" i="14" s="1"/>
  <c r="N156" i="14" s="1"/>
  <c r="K115" i="16"/>
  <c r="O302" i="15" s="1"/>
  <c r="Q301" i="15" s="1"/>
  <c r="I68" i="15"/>
  <c r="K38" i="14" s="1"/>
  <c r="N38" i="14" s="1"/>
  <c r="K62" i="16"/>
  <c r="O68" i="15" s="1"/>
  <c r="Q67" i="15" s="1"/>
  <c r="I189" i="15"/>
  <c r="H98" i="14" s="1"/>
  <c r="N98" i="14" s="1"/>
  <c r="K26" i="16"/>
  <c r="O189" i="15" s="1"/>
  <c r="Q188" i="15" s="1"/>
  <c r="I197" i="15"/>
  <c r="H102" i="14" s="1"/>
  <c r="N102" i="14" s="1"/>
  <c r="K30" i="16"/>
  <c r="O197" i="15" s="1"/>
  <c r="Q196" i="15" s="1"/>
  <c r="H84" i="14"/>
  <c r="N84" i="14" s="1"/>
  <c r="K12" i="16"/>
  <c r="I191" i="15"/>
  <c r="H99" i="14" s="1"/>
  <c r="N99" i="14" s="1"/>
  <c r="K27" i="16"/>
  <c r="O191" i="15" s="1"/>
  <c r="Q190" i="15" s="1"/>
  <c r="I580" i="15"/>
  <c r="K297" i="14" s="1"/>
  <c r="N297" i="14" s="1"/>
  <c r="K212" i="16"/>
  <c r="O580" i="15" s="1"/>
  <c r="Q579" i="15" s="1"/>
  <c r="O59" i="17"/>
  <c r="I59" i="17"/>
  <c r="P59" i="17" s="1"/>
  <c r="H20" i="17"/>
  <c r="P154" i="19"/>
  <c r="I203" i="15"/>
  <c r="H105" i="14" s="1"/>
  <c r="N105" i="14" s="1"/>
  <c r="K33" i="16"/>
  <c r="O203" i="15" s="1"/>
  <c r="Q202" i="15" s="1"/>
  <c r="I312" i="15"/>
  <c r="K161" i="14" s="1"/>
  <c r="N161" i="14" s="1"/>
  <c r="K120" i="16"/>
  <c r="O312" i="15" s="1"/>
  <c r="Q311" i="15" s="1"/>
  <c r="H21" i="17"/>
  <c r="P162" i="19"/>
  <c r="I88" i="15"/>
  <c r="K48" i="14" s="1"/>
  <c r="N48" i="14" s="1"/>
  <c r="K72" i="16"/>
  <c r="O88" i="15" s="1"/>
  <c r="Q87" i="15" s="1"/>
  <c r="H80" i="14"/>
  <c r="N80" i="14" s="1"/>
  <c r="K9" i="16"/>
  <c r="O31" i="17"/>
  <c r="I31" i="17"/>
  <c r="P31" i="17" s="1"/>
  <c r="O161" i="15" l="1"/>
  <c r="Q160" i="15" s="1"/>
  <c r="O153" i="15"/>
  <c r="O155" i="15"/>
  <c r="Q154" i="15" s="1"/>
  <c r="O163" i="15"/>
  <c r="Q162" i="15" s="1"/>
  <c r="O147" i="15"/>
  <c r="Q146" i="15" s="1"/>
  <c r="O157" i="15"/>
  <c r="Q156" i="15" s="1"/>
  <c r="O159" i="15"/>
  <c r="Q158" i="15" s="1"/>
  <c r="O149" i="15"/>
  <c r="Q148" i="15" s="1"/>
  <c r="O165" i="15"/>
  <c r="Q164" i="15" s="1"/>
  <c r="K29" i="14"/>
  <c r="N29" i="14" s="1"/>
  <c r="O479" i="15"/>
  <c r="K147" i="16"/>
  <c r="I18" i="17"/>
  <c r="P18" i="17" s="1"/>
  <c r="O18" i="17"/>
  <c r="O13" i="17"/>
  <c r="I13" i="17"/>
  <c r="P13" i="17" s="1"/>
  <c r="O100" i="17"/>
  <c r="I100" i="17"/>
  <c r="P100" i="17" s="1"/>
  <c r="E46" i="18"/>
  <c r="L323" i="20"/>
  <c r="H245" i="14"/>
  <c r="N245" i="14" s="1"/>
  <c r="I505" i="15"/>
  <c r="O23" i="17"/>
  <c r="I23" i="17"/>
  <c r="P23" i="17" s="1"/>
  <c r="I22" i="17"/>
  <c r="P22" i="17" s="1"/>
  <c r="O22" i="17"/>
  <c r="K207" i="14"/>
  <c r="N207" i="14" s="1"/>
  <c r="I454" i="15"/>
  <c r="O28" i="17"/>
  <c r="I28" i="17"/>
  <c r="P28" i="17" s="1"/>
  <c r="O26" i="17"/>
  <c r="I26" i="17"/>
  <c r="P26" i="17" s="1"/>
  <c r="I94" i="17"/>
  <c r="P94" i="17" s="1"/>
  <c r="O94" i="17"/>
  <c r="O402" i="15"/>
  <c r="K195" i="16"/>
  <c r="O27" i="17"/>
  <c r="I27" i="17"/>
  <c r="P27" i="17" s="1"/>
  <c r="O280" i="15"/>
  <c r="K123" i="16"/>
  <c r="Q152" i="15"/>
  <c r="H76" i="14"/>
  <c r="N76" i="14" s="1"/>
  <c r="O99" i="17"/>
  <c r="I99" i="17"/>
  <c r="P99" i="17" s="1"/>
  <c r="I12" i="17"/>
  <c r="P12" i="17" s="1"/>
  <c r="O12" i="17"/>
  <c r="K145" i="14"/>
  <c r="N145" i="14" s="1"/>
  <c r="I326" i="15"/>
  <c r="E21" i="18"/>
  <c r="L134" i="20"/>
  <c r="O21" i="17"/>
  <c r="I21" i="17"/>
  <c r="P21" i="17" s="1"/>
  <c r="O550" i="15"/>
  <c r="K219" i="16"/>
  <c r="E45" i="18"/>
  <c r="L314" i="20"/>
  <c r="I80" i="17"/>
  <c r="P80" i="17" s="1"/>
  <c r="O80" i="17"/>
  <c r="O19" i="17"/>
  <c r="I19" i="17"/>
  <c r="P19" i="17" s="1"/>
  <c r="O17" i="17"/>
  <c r="I17" i="17"/>
  <c r="P17" i="17" s="1"/>
  <c r="K282" i="14"/>
  <c r="N282" i="14" s="1"/>
  <c r="I598" i="15"/>
  <c r="O25" i="17"/>
  <c r="I25" i="17"/>
  <c r="P25" i="17" s="1"/>
  <c r="O14" i="17"/>
  <c r="I14" i="17"/>
  <c r="P14" i="17" s="1"/>
  <c r="I20" i="17"/>
  <c r="P20" i="17" s="1"/>
  <c r="O20" i="17"/>
  <c r="O15" i="17"/>
  <c r="I15" i="17"/>
  <c r="P15" i="17" s="1"/>
  <c r="O50" i="15"/>
  <c r="O79" i="17"/>
  <c r="I79" i="17"/>
  <c r="P79" i="17" s="1"/>
  <c r="J211" i="15"/>
  <c r="N211" i="15" s="1"/>
  <c r="F109" i="14" s="1"/>
  <c r="L109" i="14" s="1"/>
  <c r="H37" i="16"/>
  <c r="I24" i="17"/>
  <c r="P24" i="17" s="1"/>
  <c r="O24" i="17"/>
  <c r="O16" i="17"/>
  <c r="I16" i="17"/>
  <c r="P16" i="17" s="1"/>
  <c r="K305" i="14" l="1"/>
  <c r="N305" i="14" s="1"/>
  <c r="H85" i="13"/>
  <c r="E67" i="16"/>
  <c r="H46" i="18"/>
  <c r="K167" i="14"/>
  <c r="N167" i="14" s="1"/>
  <c r="H77" i="13"/>
  <c r="K232" i="14"/>
  <c r="N232" i="14" s="1"/>
  <c r="H81" i="13"/>
  <c r="Q49" i="15"/>
  <c r="Q144" i="15"/>
  <c r="E22" i="16"/>
  <c r="H21" i="18"/>
  <c r="E66" i="16"/>
  <c r="H45" i="18"/>
  <c r="O454" i="15"/>
  <c r="Q453" i="15" s="1"/>
  <c r="Q401" i="15"/>
  <c r="Q478" i="15"/>
  <c r="O505" i="15"/>
  <c r="Q504" i="15" s="1"/>
  <c r="K211" i="15"/>
  <c r="K217" i="15" s="1"/>
  <c r="K55" i="13" s="1"/>
  <c r="L55" i="13" s="1"/>
  <c r="L74" i="13" s="1"/>
  <c r="K6" i="13" s="1"/>
  <c r="L6" i="13" s="1"/>
  <c r="H51" i="16"/>
  <c r="K37" i="16"/>
  <c r="O211" i="15" s="1"/>
  <c r="Q210" i="15" s="1"/>
  <c r="H258" i="14"/>
  <c r="N258" i="14" s="1"/>
  <c r="H83" i="13"/>
  <c r="Q279" i="15"/>
  <c r="O326" i="15"/>
  <c r="Q325" i="15" s="1"/>
  <c r="O598" i="15"/>
  <c r="Q597" i="15" s="1"/>
  <c r="Q549" i="15"/>
  <c r="L27" i="13"/>
  <c r="L26" i="13"/>
  <c r="F7" i="12" l="1"/>
  <c r="E7" i="12"/>
  <c r="O81" i="13"/>
  <c r="I81" i="13"/>
  <c r="P81" i="13" s="1"/>
  <c r="Q80" i="13" s="1"/>
  <c r="O77" i="13"/>
  <c r="I77" i="13"/>
  <c r="O83" i="13"/>
  <c r="I83" i="13"/>
  <c r="P83" i="13" s="1"/>
  <c r="Q82" i="13" s="1"/>
  <c r="H76" i="15"/>
  <c r="N76" i="15" s="1"/>
  <c r="I42" i="14" s="1"/>
  <c r="L42" i="14" s="1"/>
  <c r="F66" i="16"/>
  <c r="H78" i="15"/>
  <c r="N78" i="15" s="1"/>
  <c r="I43" i="14" s="1"/>
  <c r="L43" i="14" s="1"/>
  <c r="F67" i="16"/>
  <c r="H181" i="15"/>
  <c r="N181" i="15" s="1"/>
  <c r="F94" i="14" s="1"/>
  <c r="L94" i="14" s="1"/>
  <c r="F22" i="16"/>
  <c r="O85" i="13"/>
  <c r="I85" i="13"/>
  <c r="P85" i="13" s="1"/>
  <c r="Q84" i="13" s="1"/>
  <c r="I78" i="15" l="1"/>
  <c r="K43" i="14" s="1"/>
  <c r="N43" i="14" s="1"/>
  <c r="K67" i="16"/>
  <c r="O78" i="15" s="1"/>
  <c r="Q77" i="15" s="1"/>
  <c r="I101" i="13"/>
  <c r="P77" i="13"/>
  <c r="Q76" i="13" s="1"/>
  <c r="I76" i="15"/>
  <c r="K66" i="16"/>
  <c r="F99" i="16"/>
  <c r="I181" i="15"/>
  <c r="K22" i="16"/>
  <c r="F51" i="16"/>
  <c r="B6" i="10"/>
  <c r="E8" i="12"/>
  <c r="B7" i="10" s="1"/>
  <c r="C6" i="10"/>
  <c r="F8" i="12"/>
  <c r="G7" i="12"/>
  <c r="D6" i="10" l="1"/>
  <c r="E9" i="12"/>
  <c r="E11" i="12" s="1"/>
  <c r="H94" i="14"/>
  <c r="N94" i="14" s="1"/>
  <c r="I217" i="15"/>
  <c r="O181" i="15"/>
  <c r="K51" i="16"/>
  <c r="O76" i="15"/>
  <c r="O114" i="15" s="1"/>
  <c r="Q113" i="15" s="1"/>
  <c r="K99" i="16"/>
  <c r="K42" i="14"/>
  <c r="N42" i="14" s="1"/>
  <c r="I114" i="15"/>
  <c r="C7" i="10"/>
  <c r="D7" i="10" s="1"/>
  <c r="G8" i="12"/>
  <c r="F9" i="12"/>
  <c r="H8" i="13"/>
  <c r="P101" i="13"/>
  <c r="Q100" i="13" s="1"/>
  <c r="E12" i="12" l="1"/>
  <c r="B10" i="10" s="1"/>
  <c r="K60" i="14"/>
  <c r="N60" i="14" s="1"/>
  <c r="H53" i="13"/>
  <c r="Q75" i="15"/>
  <c r="Q180" i="15"/>
  <c r="O217" i="15"/>
  <c r="Q216" i="15" s="1"/>
  <c r="H112" i="14"/>
  <c r="N112" i="14" s="1"/>
  <c r="H55" i="13"/>
  <c r="I8" i="13"/>
  <c r="O8" i="13"/>
  <c r="F11" i="12"/>
  <c r="G9" i="12"/>
  <c r="F12" i="12"/>
  <c r="B9" i="10"/>
  <c r="C9" i="10" l="1"/>
  <c r="D9" i="10" s="1"/>
  <c r="G11" i="12"/>
  <c r="O55" i="13"/>
  <c r="I55" i="13"/>
  <c r="P55" i="13" s="1"/>
  <c r="Q54" i="13" s="1"/>
  <c r="P8" i="13"/>
  <c r="Q7" i="13" s="1"/>
  <c r="C10" i="10"/>
  <c r="D10" i="10" s="1"/>
  <c r="G12" i="12"/>
  <c r="O53" i="13"/>
  <c r="I53" i="13"/>
  <c r="P53" i="13" l="1"/>
  <c r="Q52" i="13" s="1"/>
  <c r="I74" i="13"/>
  <c r="P74" i="13" l="1"/>
  <c r="Q73" i="13" s="1"/>
  <c r="H6" i="13"/>
  <c r="O6" i="13" l="1"/>
  <c r="I6" i="13"/>
  <c r="I27" i="13"/>
  <c r="I26" i="13"/>
  <c r="E3" i="12" l="1"/>
  <c r="P26" i="13"/>
  <c r="F3" i="12"/>
  <c r="P27" i="13"/>
  <c r="P6" i="13"/>
  <c r="Q5" i="13" s="1"/>
  <c r="Q26" i="13" l="1"/>
  <c r="B5" i="10"/>
  <c r="E6" i="12"/>
  <c r="C5" i="10"/>
  <c r="F6" i="12"/>
  <c r="G3" i="12"/>
  <c r="G6" i="12" l="1"/>
  <c r="F20" i="12"/>
  <c r="D5" i="10"/>
  <c r="E20" i="12"/>
  <c r="B16" i="10" l="1"/>
  <c r="E23" i="12"/>
  <c r="C16" i="10"/>
  <c r="G20" i="12"/>
  <c r="F23" i="12"/>
  <c r="D16" i="10" l="1"/>
  <c r="E24" i="12"/>
  <c r="G23" i="12"/>
  <c r="F24" i="12"/>
  <c r="C17" i="10" l="1"/>
  <c r="F25" i="12"/>
  <c r="F26" i="12" s="1"/>
  <c r="G24" i="12"/>
  <c r="B17" i="10"/>
  <c r="E25" i="12"/>
  <c r="D17" i="10" l="1"/>
  <c r="B18" i="10"/>
  <c r="E26" i="12"/>
  <c r="C18" i="10"/>
  <c r="G25" i="12"/>
  <c r="D18" i="10" l="1"/>
  <c r="B19" i="10"/>
  <c r="B20" i="10" s="1"/>
  <c r="E27" i="12"/>
  <c r="C19" i="10"/>
  <c r="G26" i="12"/>
  <c r="F27" i="12"/>
  <c r="D19" i="10" l="1"/>
  <c r="D20" i="10" s="1"/>
  <c r="B21" i="10"/>
  <c r="B22" i="10" s="1"/>
  <c r="B23" i="10" s="1"/>
  <c r="F28" i="12"/>
  <c r="G27" i="12"/>
  <c r="E28" i="12"/>
  <c r="E29" i="12" s="1"/>
  <c r="E38" i="12" s="1"/>
  <c r="C20" i="10"/>
  <c r="B6" i="1" l="1"/>
  <c r="Z23" i="11"/>
  <c r="P40" i="12"/>
  <c r="B5" i="1"/>
  <c r="G28" i="12"/>
  <c r="C21" i="10"/>
  <c r="D21" i="10" s="1"/>
  <c r="F29" i="12"/>
  <c r="F38" i="12" s="1"/>
  <c r="Z24" i="11" l="1"/>
  <c r="C6" i="1"/>
  <c r="G29" i="12"/>
  <c r="C22" i="10"/>
  <c r="O23" i="11"/>
  <c r="Z21" i="11"/>
  <c r="O21" i="11" s="1"/>
  <c r="D6" i="1" l="1"/>
  <c r="C5" i="1"/>
  <c r="G38" i="12"/>
  <c r="O24" i="11"/>
  <c r="Z22" i="11"/>
  <c r="O22" i="11" s="1"/>
  <c r="C23" i="10"/>
  <c r="D22" i="10"/>
  <c r="D23" i="10" s="1"/>
  <c r="D5" i="1" l="1"/>
</calcChain>
</file>

<file path=xl/sharedStrings.xml><?xml version="1.0" encoding="utf-8"?>
<sst xmlns="http://schemas.openxmlformats.org/spreadsheetml/2006/main" count="24280" uniqueCount="3755">
  <si>
    <r>
      <t xml:space="preserve">공 사 비 </t>
    </r>
    <r>
      <rPr>
        <b/>
        <sz val="30"/>
        <color indexed="12"/>
        <rFont val="휴먼둥근헤드라인"/>
        <family val="1"/>
        <charset val="129"/>
      </rPr>
      <t>증</t>
    </r>
    <r>
      <rPr>
        <b/>
        <sz val="30"/>
        <rFont val="휴먼둥근헤드라인"/>
        <family val="1"/>
        <charset val="129"/>
      </rPr>
      <t>.</t>
    </r>
    <r>
      <rPr>
        <b/>
        <sz val="30"/>
        <color indexed="10"/>
        <rFont val="휴먼둥근헤드라인"/>
        <family val="1"/>
        <charset val="129"/>
      </rPr>
      <t>△감</t>
    </r>
    <r>
      <rPr>
        <b/>
        <sz val="30"/>
        <rFont val="휴먼둥근헤드라인"/>
        <family val="1"/>
        <charset val="129"/>
      </rPr>
      <t xml:space="preserve"> 내 역</t>
    </r>
    <phoneticPr fontId="6" type="noConversion"/>
  </si>
  <si>
    <t>공 사 명 : 평창군 에코랜드 조성사업(전기)</t>
    <phoneticPr fontId="6" type="noConversion"/>
  </si>
  <si>
    <t>(단위 : 원)</t>
    <phoneticPr fontId="6" type="noConversion"/>
  </si>
  <si>
    <t>구  분</t>
    <phoneticPr fontId="6" type="noConversion"/>
  </si>
  <si>
    <t>당  초</t>
    <phoneticPr fontId="6" type="noConversion"/>
  </si>
  <si>
    <t>변  경</t>
    <phoneticPr fontId="6" type="noConversion"/>
  </si>
  <si>
    <t>증</t>
    <phoneticPr fontId="6" type="noConversion"/>
  </si>
  <si>
    <t>△감</t>
    <phoneticPr fontId="6" type="noConversion"/>
  </si>
  <si>
    <t>비  고</t>
    <phoneticPr fontId="6" type="noConversion"/>
  </si>
  <si>
    <t>총 공 사 비</t>
    <phoneticPr fontId="6" type="noConversion"/>
  </si>
  <si>
    <t>천단위절사</t>
    <phoneticPr fontId="17" type="noConversion"/>
  </si>
  <si>
    <t>도  급  액</t>
    <phoneticPr fontId="6" type="noConversion"/>
  </si>
  <si>
    <t>관급자관급</t>
    <phoneticPr fontId="18" type="noConversion"/>
  </si>
  <si>
    <t>도급자관급</t>
    <phoneticPr fontId="18" type="noConversion"/>
  </si>
  <si>
    <t>한전불입금</t>
    <phoneticPr fontId="17" type="noConversion"/>
  </si>
  <si>
    <t>관 리 번 호</t>
  </si>
  <si>
    <t>사 본 번 호</t>
    <phoneticPr fontId="17" type="noConversion"/>
  </si>
  <si>
    <t>평창군 에코랜드 조성사업(전기)</t>
    <phoneticPr fontId="17" type="noConversion"/>
  </si>
  <si>
    <r>
      <t xml:space="preserve">[ 전 체 : 1회 </t>
    </r>
    <r>
      <rPr>
        <sz val="20"/>
        <color indexed="10"/>
        <rFont val="HY견고딕"/>
        <family val="1"/>
        <charset val="129"/>
      </rPr>
      <t>변경</t>
    </r>
    <r>
      <rPr>
        <sz val="20"/>
        <rFont val="HY견고딕"/>
        <family val="1"/>
        <charset val="129"/>
      </rPr>
      <t>]</t>
    </r>
    <phoneticPr fontId="18" type="noConversion"/>
  </si>
  <si>
    <t>`</t>
    <phoneticPr fontId="17" type="noConversion"/>
  </si>
  <si>
    <t>2024. 03.</t>
    <phoneticPr fontId="17" type="noConversion"/>
  </si>
  <si>
    <t>평창군</t>
    <phoneticPr fontId="17" type="noConversion"/>
  </si>
  <si>
    <t>책임감리회사 : ㈜예강ENG</t>
    <phoneticPr fontId="17" type="noConversion"/>
  </si>
  <si>
    <r>
      <t xml:space="preserve">설 계 자
</t>
    </r>
    <r>
      <rPr>
        <b/>
        <sz val="10"/>
        <rFont val="맑은 고딕"/>
        <family val="3"/>
        <charset val="129"/>
      </rPr>
      <t>(책임건설사업관리기술자)</t>
    </r>
    <phoneticPr fontId="17" type="noConversion"/>
  </si>
  <si>
    <r>
      <t xml:space="preserve">심 사 자
</t>
    </r>
    <r>
      <rPr>
        <b/>
        <sz val="10"/>
        <rFont val="맑은 고딕"/>
        <family val="3"/>
        <charset val="129"/>
      </rPr>
      <t>(기술지원건설사업관리기술자)</t>
    </r>
  </si>
  <si>
    <t>대표이사</t>
    <phoneticPr fontId="17" type="noConversion"/>
  </si>
  <si>
    <r>
      <t xml:space="preserve">[ 전 체 : 1회 </t>
    </r>
    <r>
      <rPr>
        <sz val="20"/>
        <color indexed="10"/>
        <rFont val="HY견고딕"/>
        <family val="1"/>
        <charset val="129"/>
      </rPr>
      <t xml:space="preserve">변경 </t>
    </r>
    <r>
      <rPr>
        <sz val="20"/>
        <rFont val="HY견고딕"/>
        <family val="1"/>
        <charset val="129"/>
      </rPr>
      <t>]</t>
    </r>
    <phoneticPr fontId="18" type="noConversion"/>
  </si>
  <si>
    <t>결  재</t>
    <phoneticPr fontId="18" type="noConversion"/>
  </si>
  <si>
    <t>년 월 일</t>
    <phoneticPr fontId="18" type="noConversion"/>
  </si>
  <si>
    <t>검 토 자</t>
    <phoneticPr fontId="18" type="noConversion"/>
  </si>
  <si>
    <t>계    장</t>
    <phoneticPr fontId="18" type="noConversion"/>
  </si>
  <si>
    <t>과    장</t>
    <phoneticPr fontId="18" type="noConversion"/>
  </si>
  <si>
    <t>군    수</t>
    <phoneticPr fontId="18" type="noConversion"/>
  </si>
  <si>
    <t>목         차</t>
    <phoneticPr fontId="17" type="noConversion"/>
  </si>
  <si>
    <t>Ⅰ.</t>
  </si>
  <si>
    <r>
      <t>설계</t>
    </r>
    <r>
      <rPr>
        <sz val="16"/>
        <color indexed="10"/>
        <rFont val="맑은 고딕"/>
        <family val="3"/>
        <charset val="129"/>
      </rPr>
      <t>변경</t>
    </r>
    <r>
      <rPr>
        <sz val="16"/>
        <rFont val="맑은 고딕"/>
        <family val="3"/>
        <charset val="129"/>
      </rPr>
      <t>사유서</t>
    </r>
    <phoneticPr fontId="17" type="noConversion"/>
  </si>
  <si>
    <t>Ⅱ.</t>
    <phoneticPr fontId="17" type="noConversion"/>
  </si>
  <si>
    <t>시방서</t>
    <phoneticPr fontId="17" type="noConversion"/>
  </si>
  <si>
    <r>
      <t>(</t>
    </r>
    <r>
      <rPr>
        <sz val="16"/>
        <color indexed="10"/>
        <rFont val="맑은 고딕"/>
        <family val="3"/>
        <charset val="129"/>
      </rPr>
      <t>변      경</t>
    </r>
    <r>
      <rPr>
        <sz val="16"/>
        <rFont val="맑은 고딕"/>
        <family val="3"/>
        <charset val="129"/>
      </rPr>
      <t>)</t>
    </r>
    <phoneticPr fontId="17" type="noConversion"/>
  </si>
  <si>
    <t>Ⅲ.</t>
    <phoneticPr fontId="17" type="noConversion"/>
  </si>
  <si>
    <t>보안및기타사항</t>
    <phoneticPr fontId="17" type="noConversion"/>
  </si>
  <si>
    <r>
      <t>(</t>
    </r>
    <r>
      <rPr>
        <sz val="16"/>
        <color indexed="10"/>
        <rFont val="맑은 고딕"/>
        <family val="3"/>
        <charset val="129"/>
      </rPr>
      <t>변경</t>
    </r>
    <r>
      <rPr>
        <sz val="16"/>
        <rFont val="맑은 고딕"/>
        <family val="3"/>
        <charset val="129"/>
      </rPr>
      <t>없음)</t>
    </r>
    <phoneticPr fontId="17" type="noConversion"/>
  </si>
  <si>
    <t>Ⅳ.</t>
    <phoneticPr fontId="17" type="noConversion"/>
  </si>
  <si>
    <t>예정공정표</t>
    <phoneticPr fontId="17" type="noConversion"/>
  </si>
  <si>
    <t>Ⅴ.</t>
    <phoneticPr fontId="17" type="noConversion"/>
  </si>
  <si>
    <t>동원인원계획표</t>
    <phoneticPr fontId="17" type="noConversion"/>
  </si>
  <si>
    <t>Ⅵ.</t>
    <phoneticPr fontId="17" type="noConversion"/>
  </si>
  <si>
    <t>공사비 증 · 감 대비표</t>
  </si>
  <si>
    <t>Ⅶ.</t>
    <phoneticPr fontId="17" type="noConversion"/>
  </si>
  <si>
    <t>설계예산서</t>
  </si>
  <si>
    <r>
      <t xml:space="preserve">Ⅰ. 설 계 </t>
    </r>
    <r>
      <rPr>
        <sz val="26"/>
        <color indexed="10"/>
        <rFont val="맑은 고딕"/>
        <family val="3"/>
        <charset val="129"/>
      </rPr>
      <t>변 경</t>
    </r>
    <r>
      <rPr>
        <sz val="26"/>
        <rFont val="맑은 고딕"/>
        <family val="3"/>
        <charset val="129"/>
      </rPr>
      <t xml:space="preserve"> 사 유 서</t>
    </r>
    <phoneticPr fontId="17" type="noConversion"/>
  </si>
  <si>
    <t>■ 건축조성 변경으로인한 변경</t>
    <phoneticPr fontId="17" type="noConversion"/>
  </si>
  <si>
    <t>4) 기타 현장의 여건 변동에 따라 계약내용이 변경 시</t>
    <phoneticPr fontId="17" type="noConversion"/>
  </si>
  <si>
    <r>
      <t xml:space="preserve">    ○</t>
    </r>
    <r>
      <rPr>
        <sz val="13.8"/>
        <rFont val="맑은 고딕"/>
        <family val="3"/>
        <charset val="129"/>
      </rPr>
      <t xml:space="preserve"> </t>
    </r>
    <r>
      <rPr>
        <sz val="12"/>
        <rFont val="맑은 고딕"/>
        <family val="3"/>
        <charset val="129"/>
      </rPr>
      <t xml:space="preserve"> 설계변경 세부내역</t>
    </r>
    <phoneticPr fontId="17" type="noConversion"/>
  </si>
  <si>
    <t>1.전력간선공사</t>
    <phoneticPr fontId="17" type="noConversion"/>
  </si>
  <si>
    <t>2.옥외보안등공사</t>
    <phoneticPr fontId="17" type="noConversion"/>
  </si>
  <si>
    <t>3.전열공사</t>
    <phoneticPr fontId="17" type="noConversion"/>
  </si>
  <si>
    <t>4.전등공사</t>
    <phoneticPr fontId="17" type="noConversion"/>
  </si>
  <si>
    <r>
      <t>Ⅲ. 공 사 시 방 서(</t>
    </r>
    <r>
      <rPr>
        <b/>
        <sz val="26"/>
        <color indexed="10"/>
        <rFont val="한컴바탕"/>
        <family val="1"/>
        <charset val="129"/>
      </rPr>
      <t>변경</t>
    </r>
    <r>
      <rPr>
        <b/>
        <sz val="26"/>
        <rFont val="한컴바탕"/>
        <family val="1"/>
        <charset val="129"/>
      </rPr>
      <t>없음)</t>
    </r>
    <phoneticPr fontId="17" type="noConversion"/>
  </si>
  <si>
    <t>(별 권)</t>
    <phoneticPr fontId="17" type="noConversion"/>
  </si>
  <si>
    <r>
      <t xml:space="preserve">   Ⅳ. 보안 및 기타유의사항(</t>
    </r>
    <r>
      <rPr>
        <b/>
        <sz val="26"/>
        <color indexed="10"/>
        <rFont val="한컴바탕"/>
        <family val="1"/>
        <charset val="129"/>
      </rPr>
      <t>변경</t>
    </r>
    <r>
      <rPr>
        <b/>
        <sz val="26"/>
        <rFont val="한컴바탕"/>
        <family val="1"/>
        <charset val="129"/>
      </rPr>
      <t>없음)</t>
    </r>
    <phoneticPr fontId="74" type="noConversion"/>
  </si>
  <si>
    <t>1. 수급자는 공사시행에 필요한 제반보안 대책을 수립하여야 하며 수급자 대표의 보안각서를 제출하여야 한다.</t>
    <phoneticPr fontId="74" type="noConversion"/>
  </si>
  <si>
    <t xml:space="preserve">2. 수급자는 공사시행에 따른 연구내용 및 조사자료를 타용도에 임의로 사용하거나 외부로 유출되지 않도록 하여야 하며, </t>
    <phoneticPr fontId="74" type="noConversion"/>
  </si>
  <si>
    <t xml:space="preserve">   과업 수행중 과실로 인한 일체의 사고에 대하여는 수급자가 책임을 져야 한다.</t>
    <phoneticPr fontId="74" type="noConversion"/>
  </si>
  <si>
    <t>3. 수급자는 본 공사를 위하여 수집된 모든 기록 및 자료와 모든 도면을 보관할 사람을 지정하여 발주청장의 승인을 받도록 한다.</t>
    <phoneticPr fontId="74" type="noConversion"/>
  </si>
  <si>
    <t xml:space="preserve">4. 국가보안상 중요하다고 생각되는 모든 기록과 자료는 시건장치가 되어 있는 함에 보관하고 열쇠는 책임건설사업관리기술자가 </t>
    <phoneticPr fontId="74" type="noConversion"/>
  </si>
  <si>
    <t xml:space="preserve">   소지하여야 한다.</t>
    <phoneticPr fontId="74" type="noConversion"/>
  </si>
  <si>
    <t>5. 모든 비밀문서는 관리번호를 부여하고, 보관관리 기록부에 기록한 후 시건장치가 이중으로 되어있는 함에 보관하여 열쇠는 책임건설</t>
    <phoneticPr fontId="74" type="noConversion"/>
  </si>
  <si>
    <t xml:space="preserve">   사업관리기술자가 소지하여야 한다.</t>
    <phoneticPr fontId="74" type="noConversion"/>
  </si>
  <si>
    <t>6. 수급자는 본 공사와 관련있는 모든 기록과 자료에 대하여 업무와 관련없는 일에 사용할수 있으며, 발주청장의 사전서면 승인 없이는</t>
    <phoneticPr fontId="74" type="noConversion"/>
  </si>
  <si>
    <t xml:space="preserve">    타인에게 제공 또는 대여할 수 없다.</t>
    <phoneticPr fontId="74" type="noConversion"/>
  </si>
  <si>
    <t>7. 편입된 모든 도서 및 기타 자료를 다른 목적에 이용할 수 없으며, 공사시행시 발생한 보안사항에 대하여 사실을 누설하여서는 안되며</t>
    <phoneticPr fontId="74" type="noConversion"/>
  </si>
  <si>
    <t xml:space="preserve">   누설로 인하여 문제점이 발생될 시에는 책임건설사업관리기술자 및 수급자가 모든 책임을 진다.</t>
    <phoneticPr fontId="74" type="noConversion"/>
  </si>
  <si>
    <t>8. 수급자는 설계도를 복사하여 외부에 반출시에는 책임건설사업관리기술자의 승인을 득한 후 사본하여야 한다.</t>
    <phoneticPr fontId="74" type="noConversion"/>
  </si>
  <si>
    <t>9. 수급자는 본 과업에 참여하는 인원에 대하여 보안교육을 실시하여야 한다.</t>
    <phoneticPr fontId="74" type="noConversion"/>
  </si>
  <si>
    <t xml:space="preserve">10. 발주처는 한시라도 수급자의 보안관리 상태를 점검할 수 있으며, 또한 보안상 필요하다고 생각되는 모든 지시를 할수 있다. 수급자는 </t>
    <phoneticPr fontId="74" type="noConversion"/>
  </si>
  <si>
    <t xml:space="preserve">   이 지시사항에 특별한 사유가 없는 한 이의없이 따라야 한다.</t>
    <phoneticPr fontId="74" type="noConversion"/>
  </si>
  <si>
    <r>
      <t>Ⅴ.예  정  공  정  표(</t>
    </r>
    <r>
      <rPr>
        <b/>
        <sz val="26"/>
        <color indexed="10"/>
        <rFont val="한컴바탕"/>
        <family val="1"/>
        <charset val="129"/>
      </rPr>
      <t>변경</t>
    </r>
    <r>
      <rPr>
        <b/>
        <sz val="26"/>
        <rFont val="한컴바탕"/>
        <family val="1"/>
        <charset val="129"/>
      </rPr>
      <t>없음)</t>
    </r>
    <phoneticPr fontId="17" type="noConversion"/>
  </si>
  <si>
    <r>
      <t>Ⅵ. 동 원 인 원 계 획 표(</t>
    </r>
    <r>
      <rPr>
        <b/>
        <sz val="26"/>
        <color indexed="10"/>
        <rFont val="한컴바탕"/>
        <family val="1"/>
        <charset val="129"/>
      </rPr>
      <t>변경</t>
    </r>
    <r>
      <rPr>
        <b/>
        <sz val="26"/>
        <rFont val="한컴바탕"/>
        <family val="1"/>
        <charset val="129"/>
      </rPr>
      <t>없음)</t>
    </r>
    <phoneticPr fontId="17" type="noConversion"/>
  </si>
  <si>
    <r>
      <t>Ⅶ. 공사비 증ㆍ</t>
    </r>
    <r>
      <rPr>
        <sz val="26"/>
        <color indexed="10"/>
        <rFont val="맑은 고딕"/>
        <family val="3"/>
        <charset val="129"/>
      </rPr>
      <t>감</t>
    </r>
    <r>
      <rPr>
        <sz val="26"/>
        <rFont val="맑은 고딕"/>
        <family val="3"/>
        <charset val="129"/>
      </rPr>
      <t xml:space="preserve"> 대비표</t>
    </r>
    <phoneticPr fontId="18" type="noConversion"/>
  </si>
  <si>
    <t>품       명</t>
    <phoneticPr fontId="18" type="noConversion"/>
  </si>
  <si>
    <t>전     체</t>
    <phoneticPr fontId="18" type="noConversion"/>
  </si>
  <si>
    <t>비 고</t>
    <phoneticPr fontId="17" type="noConversion"/>
  </si>
  <si>
    <t>당 초</t>
    <phoneticPr fontId="18" type="noConversion"/>
  </si>
  <si>
    <t>변 경</t>
    <phoneticPr fontId="18" type="noConversion"/>
  </si>
  <si>
    <r>
      <t>증</t>
    </r>
    <r>
      <rPr>
        <b/>
        <sz val="12"/>
        <color indexed="10"/>
        <rFont val="맑은 고딕"/>
        <family val="3"/>
        <charset val="129"/>
      </rPr>
      <t>(▲)감</t>
    </r>
    <phoneticPr fontId="18" type="noConversion"/>
  </si>
  <si>
    <t>평창 에코랜드 조성사업(전기)</t>
    <phoneticPr fontId="18" type="noConversion"/>
  </si>
  <si>
    <t>직접재료비</t>
    <phoneticPr fontId="17" type="noConversion"/>
  </si>
  <si>
    <t>가. 직접노무비</t>
    <phoneticPr fontId="18" type="noConversion"/>
  </si>
  <si>
    <t>나. 간접노무비</t>
    <phoneticPr fontId="18" type="noConversion"/>
  </si>
  <si>
    <t>다. 기계겅비</t>
    <phoneticPr fontId="18" type="noConversion"/>
  </si>
  <si>
    <t>라. 산재보험료</t>
    <phoneticPr fontId="18" type="noConversion"/>
  </si>
  <si>
    <t>마. 고용보험료</t>
    <phoneticPr fontId="18" type="noConversion"/>
  </si>
  <si>
    <t>바. 건강보험료</t>
    <phoneticPr fontId="18" type="noConversion"/>
  </si>
  <si>
    <t>보험료정산</t>
    <phoneticPr fontId="17" type="noConversion"/>
  </si>
  <si>
    <t>사. 연금보험료</t>
    <phoneticPr fontId="18" type="noConversion"/>
  </si>
  <si>
    <t>아. 노인장기요양보험료</t>
    <phoneticPr fontId="18" type="noConversion"/>
  </si>
  <si>
    <t>자. 퇴직공제부금비</t>
    <phoneticPr fontId="18" type="noConversion"/>
  </si>
  <si>
    <t>차. 산업안전보건관리비</t>
    <phoneticPr fontId="18" type="noConversion"/>
  </si>
  <si>
    <t>카. 기타경비</t>
    <phoneticPr fontId="18" type="noConversion"/>
  </si>
  <si>
    <t>A. 순공사원가</t>
    <phoneticPr fontId="18" type="noConversion"/>
  </si>
  <si>
    <t>B. 일반관리비</t>
    <phoneticPr fontId="18" type="noConversion"/>
  </si>
  <si>
    <t>C. 이윤</t>
    <phoneticPr fontId="18" type="noConversion"/>
  </si>
  <si>
    <t>(1) 공 급 가 액</t>
    <phoneticPr fontId="18" type="noConversion"/>
  </si>
  <si>
    <t>(2) 부가가치세</t>
    <phoneticPr fontId="18" type="noConversion"/>
  </si>
  <si>
    <t>Ⅰ. 도 급 금 액</t>
    <phoneticPr fontId="18" type="noConversion"/>
  </si>
  <si>
    <t xml:space="preserve"> ○ 총 공 사 비</t>
    <phoneticPr fontId="18" type="noConversion"/>
  </si>
  <si>
    <t>설</t>
  </si>
  <si>
    <t>심</t>
  </si>
  <si>
    <t>담</t>
    <phoneticPr fontId="74" type="noConversion"/>
  </si>
  <si>
    <t>과</t>
    <phoneticPr fontId="74" type="noConversion"/>
  </si>
  <si>
    <t>계</t>
  </si>
  <si>
    <t>사</t>
  </si>
  <si>
    <t>자</t>
  </si>
  <si>
    <t>당</t>
    <phoneticPr fontId="74" type="noConversion"/>
  </si>
  <si>
    <t>장</t>
  </si>
  <si>
    <r>
      <t>1회 [</t>
    </r>
    <r>
      <rPr>
        <sz val="16"/>
        <color indexed="10"/>
        <rFont val="맑은 고딕"/>
        <family val="3"/>
        <charset val="129"/>
      </rPr>
      <t>변경</t>
    </r>
    <r>
      <rPr>
        <sz val="16"/>
        <color indexed="8"/>
        <rFont val="맑은 고딕"/>
        <family val="3"/>
        <charset val="129"/>
      </rPr>
      <t>]</t>
    </r>
    <phoneticPr fontId="98" type="noConversion"/>
  </si>
  <si>
    <t>▣ 공사개요</t>
    <phoneticPr fontId="99" type="noConversion"/>
  </si>
  <si>
    <t>⊙</t>
    <phoneticPr fontId="99" type="noConversion"/>
  </si>
  <si>
    <t>옥내.옥외공사</t>
    <phoneticPr fontId="99" type="noConversion"/>
  </si>
  <si>
    <t>:</t>
    <phoneticPr fontId="99" type="noConversion"/>
  </si>
  <si>
    <t>▣ 공  사  비</t>
    <phoneticPr fontId="99" type="noConversion"/>
  </si>
  <si>
    <t>총사업비</t>
    <phoneticPr fontId="99" type="noConversion"/>
  </si>
  <si>
    <t>도급예정액</t>
    <phoneticPr fontId="99" type="noConversion"/>
  </si>
  <si>
    <t>관급자재대</t>
    <phoneticPr fontId="99" type="noConversion"/>
  </si>
  <si>
    <t>[공사명]</t>
    <phoneticPr fontId="114" type="noConversion"/>
  </si>
  <si>
    <t>[ 평창 에코랜드 조성사업(전기) ]</t>
    <phoneticPr fontId="18" type="noConversion"/>
  </si>
  <si>
    <t>비             목</t>
    <phoneticPr fontId="117" type="noConversion"/>
  </si>
  <si>
    <t>변경전 원가</t>
    <phoneticPr fontId="118" type="noConversion"/>
  </si>
  <si>
    <t>변경후 원가</t>
    <phoneticPr fontId="17" type="noConversion"/>
  </si>
  <si>
    <r>
      <t xml:space="preserve">증 </t>
    </r>
    <r>
      <rPr>
        <b/>
        <sz val="9"/>
        <color indexed="10"/>
        <rFont val="맑은 고딕"/>
        <family val="3"/>
        <charset val="129"/>
      </rPr>
      <t>감</t>
    </r>
    <r>
      <rPr>
        <b/>
        <sz val="9"/>
        <rFont val="맑은 고딕"/>
        <family val="3"/>
        <charset val="129"/>
      </rPr>
      <t xml:space="preserve"> </t>
    </r>
    <phoneticPr fontId="17" type="noConversion"/>
  </si>
  <si>
    <t>구         성        비</t>
    <phoneticPr fontId="117" type="noConversion"/>
  </si>
  <si>
    <t>비        고</t>
    <phoneticPr fontId="117" type="noConversion"/>
  </si>
  <si>
    <t>재
료
비</t>
    <phoneticPr fontId="114" type="noConversion"/>
  </si>
  <si>
    <t>직      접         재      료      비</t>
  </si>
  <si>
    <t>간      접         재      료      비</t>
  </si>
  <si>
    <t>작  업  설  ,  부  산  물  등 (△)</t>
  </si>
  <si>
    <t>순</t>
    <phoneticPr fontId="118" type="noConversion"/>
  </si>
  <si>
    <t>[ 소                          계 ]</t>
  </si>
  <si>
    <t>노
무
비</t>
    <phoneticPr fontId="114" type="noConversion"/>
  </si>
  <si>
    <t>직      접         노      무      비</t>
  </si>
  <si>
    <t>간      접         노      무      비</t>
  </si>
  <si>
    <t>직접노무비</t>
  </si>
  <si>
    <t>×</t>
  </si>
  <si>
    <t>공</t>
    <phoneticPr fontId="118" type="noConversion"/>
  </si>
  <si>
    <t>기          계          경          비</t>
  </si>
  <si>
    <t>산      재         보      험      료</t>
  </si>
  <si>
    <t>노무비</t>
  </si>
  <si>
    <t>사</t>
    <phoneticPr fontId="118" type="noConversion"/>
  </si>
  <si>
    <t>고      용         보      험      료</t>
  </si>
  <si>
    <t>경</t>
    <phoneticPr fontId="118" type="noConversion"/>
  </si>
  <si>
    <t>건      강         보      험      료</t>
  </si>
  <si>
    <t>노 인   장 기   요 양    보 험 료</t>
    <phoneticPr fontId="118" type="noConversion"/>
  </si>
  <si>
    <t>건강보험료</t>
    <phoneticPr fontId="118" type="noConversion"/>
  </si>
  <si>
    <t>연      금         보      험      료</t>
  </si>
  <si>
    <t>원</t>
    <phoneticPr fontId="118" type="noConversion"/>
  </si>
  <si>
    <t>퇴   직     공   제     부   금   비</t>
  </si>
  <si>
    <t>산  업  안  전  보  건  관  리  비</t>
  </si>
  <si>
    <t>①과②비교후 적은 금액 적용</t>
    <phoneticPr fontId="118" type="noConversion"/>
  </si>
  <si>
    <t>①</t>
  </si>
  <si>
    <t>((재료비+직노)</t>
    <phoneticPr fontId="118" type="noConversion"/>
  </si>
  <si>
    <t>) ×</t>
    <phoneticPr fontId="118" type="noConversion"/>
  </si>
  <si>
    <t>가</t>
    <phoneticPr fontId="118" type="noConversion"/>
  </si>
  <si>
    <t>②</t>
  </si>
  <si>
    <t>(재료비+직노+관급자재비(도급자/1.1))</t>
    <phoneticPr fontId="118" type="noConversion"/>
  </si>
  <si>
    <t>부가세,조달수수료 제외</t>
    <phoneticPr fontId="18" type="noConversion"/>
  </si>
  <si>
    <t>비</t>
  </si>
  <si>
    <t>기          타          경          비</t>
  </si>
  <si>
    <t>(재료비+노무비)</t>
  </si>
  <si>
    <t>환      경         보      존      비</t>
  </si>
  <si>
    <t>건설하도급대금지급보증서발급수수료</t>
  </si>
  <si>
    <t>일        반         관        리        비</t>
    <phoneticPr fontId="118" type="noConversion"/>
  </si>
  <si>
    <t>이                                         윤</t>
    <phoneticPr fontId="118" type="noConversion"/>
  </si>
  <si>
    <t>(노무비+경비+일반관리비)</t>
    <phoneticPr fontId="118" type="noConversion"/>
  </si>
  <si>
    <t>공            급            가            액</t>
  </si>
  <si>
    <t>부        가         가        치        세</t>
  </si>
  <si>
    <t>공급가액</t>
  </si>
  <si>
    <t>[도                     급                     액]</t>
  </si>
  <si>
    <t>관  급  자  재  (관급자설치)</t>
    <phoneticPr fontId="118" type="noConversion"/>
  </si>
  <si>
    <t>VAT포함</t>
    <phoneticPr fontId="18" type="noConversion"/>
  </si>
  <si>
    <t>관  급  자  재  (도급자설치)</t>
    <phoneticPr fontId="118" type="noConversion"/>
  </si>
  <si>
    <t>관      급      공      사      비 (합 계)</t>
    <phoneticPr fontId="118" type="noConversion"/>
  </si>
  <si>
    <t>관급공사비</t>
    <phoneticPr fontId="18" type="noConversion"/>
  </si>
  <si>
    <t>관급공사비도급자설치)</t>
    <phoneticPr fontId="18" type="noConversion"/>
  </si>
  <si>
    <t>관급공사비(합계)</t>
    <phoneticPr fontId="18" type="noConversion"/>
  </si>
  <si>
    <t>한        전         불        입        금</t>
    <phoneticPr fontId="18" type="noConversion"/>
  </si>
  <si>
    <t>193kw</t>
    <phoneticPr fontId="17" type="noConversion"/>
  </si>
  <si>
    <t>사      용      전      검      사      비</t>
    <phoneticPr fontId="18" type="noConversion"/>
  </si>
  <si>
    <t>[총            공            사              비]</t>
  </si>
  <si>
    <t>1000단위절사</t>
    <phoneticPr fontId="18" type="noConversion"/>
  </si>
  <si>
    <t>총줄수-&gt;</t>
  </si>
  <si>
    <t>159</t>
  </si>
  <si>
    <t>[ 평창 에코랜드 조성사업(전기) ]</t>
  </si>
  <si>
    <t>연속견적가로형식</t>
  </si>
  <si>
    <t>번호</t>
    <phoneticPr fontId="18" type="noConversion"/>
  </si>
  <si>
    <t>공종코드</t>
    <phoneticPr fontId="18" type="noConversion"/>
  </si>
  <si>
    <t>…</t>
    <phoneticPr fontId="18" type="noConversion"/>
  </si>
  <si>
    <t>공   종   명</t>
    <phoneticPr fontId="18" type="noConversion"/>
  </si>
  <si>
    <t>규격</t>
    <phoneticPr fontId="18" type="noConversion"/>
  </si>
  <si>
    <t>단위</t>
    <phoneticPr fontId="18" type="noConversion"/>
  </si>
  <si>
    <t>수량</t>
    <phoneticPr fontId="18" type="noConversion"/>
  </si>
  <si>
    <t>재료비</t>
    <phoneticPr fontId="18" type="noConversion"/>
  </si>
  <si>
    <t>노무비</t>
    <phoneticPr fontId="18" type="noConversion"/>
  </si>
  <si>
    <t>경비</t>
    <phoneticPr fontId="18" type="noConversion"/>
  </si>
  <si>
    <t>계</t>
    <phoneticPr fontId="18" type="noConversion"/>
  </si>
  <si>
    <r>
      <rPr>
        <sz val="11"/>
        <color rgb="FF0000CC"/>
        <rFont val="맑은 고딕"/>
        <family val="3"/>
        <charset val="129"/>
      </rPr>
      <t>증</t>
    </r>
    <r>
      <rPr>
        <sz val="11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</rPr>
      <t>감</t>
    </r>
    <phoneticPr fontId="18" type="noConversion"/>
  </si>
  <si>
    <t>단가</t>
    <phoneticPr fontId="18" type="noConversion"/>
  </si>
  <si>
    <t>금액</t>
    <phoneticPr fontId="18" type="noConversion"/>
  </si>
  <si>
    <t>공종줄</t>
    <phoneticPr fontId="18" type="noConversion"/>
  </si>
  <si>
    <t>평창 에코랜드 조성사업(전기)</t>
  </si>
  <si>
    <t>01</t>
  </si>
  <si>
    <t>1.옥외공사</t>
  </si>
  <si>
    <t>식</t>
  </si>
  <si>
    <t>02</t>
  </si>
  <si>
    <t>2.옥내공사</t>
  </si>
  <si>
    <t>Total</t>
  </si>
  <si>
    <t>( 합       계 )</t>
  </si>
  <si>
    <t>03</t>
  </si>
  <si>
    <t>3.관급자관급</t>
  </si>
  <si>
    <t>04</t>
  </si>
  <si>
    <t>4.도급자관급</t>
  </si>
  <si>
    <t>0101</t>
  </si>
  <si>
    <t>1-1.옥외보안등공사</t>
  </si>
  <si>
    <t>0102</t>
  </si>
  <si>
    <t>1-2.옥외전력간선공사</t>
  </si>
  <si>
    <t>0201</t>
  </si>
  <si>
    <t>2-1.전력간선공사</t>
  </si>
  <si>
    <t>0202</t>
  </si>
  <si>
    <t>2-2.동력설비공사</t>
  </si>
  <si>
    <t>0203</t>
  </si>
  <si>
    <t>2-3.전등설비공사</t>
  </si>
  <si>
    <t>0204</t>
  </si>
  <si>
    <t>2-4.전열설비공사</t>
  </si>
  <si>
    <t>0205</t>
  </si>
  <si>
    <t>2-5.냉난방설비공사</t>
  </si>
  <si>
    <t>0206</t>
  </si>
  <si>
    <t>2-6.태양광발전설비공사</t>
  </si>
  <si>
    <t>0301</t>
  </si>
  <si>
    <t>3-1.태양광발전설비</t>
  </si>
  <si>
    <t>0401</t>
  </si>
  <si>
    <t>4-1.분전반</t>
  </si>
  <si>
    <t>0402</t>
  </si>
  <si>
    <t>4-2.조명기구</t>
  </si>
  <si>
    <t>공 사 비 물 량 증.감 대 비 표</t>
  </si>
  <si>
    <t>명   칭</t>
  </si>
  <si>
    <t>규   격</t>
  </si>
  <si>
    <t>단위</t>
  </si>
  <si>
    <t>수량</t>
  </si>
  <si>
    <t>당         초</t>
  </si>
  <si>
    <t>변         경</t>
  </si>
  <si>
    <t>단  가</t>
  </si>
  <si>
    <t>수  량</t>
  </si>
  <si>
    <t>금  액</t>
  </si>
  <si>
    <t>1.옥외공사::1-1.옥외보안등공사</t>
  </si>
  <si>
    <t>HI 70 mm</t>
  </si>
  <si>
    <t>M</t>
  </si>
  <si>
    <t>파상형 폴리에틸렌 전선관</t>
  </si>
  <si>
    <t>30㎜(가로등,신호,구내)</t>
  </si>
  <si>
    <t>40㎜(가로등,신호,구내)</t>
  </si>
  <si>
    <t>65㎜(가로등,신호,구내)</t>
  </si>
  <si>
    <t>관로구방수장치</t>
  </si>
  <si>
    <t>D65</t>
  </si>
  <si>
    <t>조</t>
  </si>
  <si>
    <t>경질비닐전선관용 부품</t>
  </si>
  <si>
    <t>노말밴드, 70 mm</t>
  </si>
  <si>
    <t>개</t>
  </si>
  <si>
    <t>풀박스</t>
  </si>
  <si>
    <t>400×400×300</t>
  </si>
  <si>
    <t>접지용난연절연전선(FGV)</t>
  </si>
  <si>
    <t>6㎟(옥외)</t>
  </si>
  <si>
    <t>0.6/1kv 폴리에틸렌 난연케이블</t>
  </si>
  <si>
    <t>F-CV 2C×2.5㎟(옥외)</t>
  </si>
  <si>
    <t>F-CV 2C×6㎟(옥외)</t>
  </si>
  <si>
    <t>F-CV 2C×6㎟(옥외),2열포설1열</t>
  </si>
  <si>
    <t>F-CV 2C×6㎟(옥외),5열포설1열</t>
  </si>
  <si>
    <t>F-CV 2C×6㎟(옥외),6열포설1열</t>
  </si>
  <si>
    <t>지중선용 가선철물</t>
  </si>
  <si>
    <t>케이블표지시트, 0.15x150</t>
  </si>
  <si>
    <t>가로등중공기초</t>
  </si>
  <si>
    <t>접지(유),500*800*700</t>
  </si>
  <si>
    <t>개소</t>
  </si>
  <si>
    <t>가로등 건주 기계화 시공</t>
  </si>
  <si>
    <t>일반 5m-7m</t>
  </si>
  <si>
    <t>정원등중공기초</t>
  </si>
  <si>
    <t>400x500x565x400</t>
  </si>
  <si>
    <t>기계터파기</t>
  </si>
  <si>
    <t>보통토사(0.7㎥/43.6)</t>
  </si>
  <si>
    <t>㎥</t>
  </si>
  <si>
    <t>기계되메우기</t>
  </si>
  <si>
    <t>다기능 접속함</t>
  </si>
  <si>
    <t>방수형</t>
  </si>
  <si>
    <t>EA</t>
  </si>
  <si>
    <t>조명기구(TYPE-OA)</t>
  </si>
  <si>
    <t>보안등(열주등)LED 45W,H:4M</t>
  </si>
  <si>
    <t>SET</t>
  </si>
  <si>
    <t>조명기구(TYEP-OB)</t>
  </si>
  <si>
    <t>볼라드 LED 12W</t>
  </si>
  <si>
    <t>100X100X50</t>
  </si>
  <si>
    <t>난연 비닐 절연 접지용전선(F-GV)</t>
  </si>
  <si>
    <t>0.6/1kV  4㎟</t>
  </si>
  <si>
    <t>m</t>
  </si>
  <si>
    <t>0.6/1kV  6㎟</t>
  </si>
  <si>
    <t>0.6/1kV 난연 전력 케이블(F-CV)</t>
  </si>
  <si>
    <t>2C 4㎟</t>
  </si>
  <si>
    <t>2C 6㎟</t>
  </si>
  <si>
    <t>누전차단기</t>
  </si>
  <si>
    <t>ELB 2P 30AF</t>
  </si>
  <si>
    <t>경고테이프 포설</t>
  </si>
  <si>
    <t>저압용</t>
  </si>
  <si>
    <t>30mm</t>
  </si>
  <si>
    <t>합성수지 파형관(ELP)설치</t>
  </si>
  <si>
    <t>40mm</t>
  </si>
  <si>
    <t>AL DUCT 신설</t>
  </si>
  <si>
    <t>W:50</t>
  </si>
  <si>
    <t>옥외 조명기구(라인조명)</t>
  </si>
  <si>
    <t>LED 18W</t>
  </si>
  <si>
    <t>옥외 조명기구(투광등)</t>
  </si>
  <si>
    <t>LED 54W</t>
  </si>
  <si>
    <t>투광등 기초 기성품설치</t>
  </si>
  <si>
    <t>SMPS함-1 신설</t>
  </si>
  <si>
    <t>옥외 자립형</t>
  </si>
  <si>
    <t>면</t>
  </si>
  <si>
    <t>SMPS함-2 신설</t>
  </si>
  <si>
    <t>자립형 함체 기초</t>
  </si>
  <si>
    <t>1,000x1,000x500</t>
  </si>
  <si>
    <t>SMPS함 기초</t>
  </si>
  <si>
    <t>가로등 기초 기성품설치</t>
  </si>
  <si>
    <t>보안등기구</t>
  </si>
  <si>
    <t>LED  보안등기구 50W</t>
  </si>
  <si>
    <t>등</t>
  </si>
  <si>
    <t>POLE LIGHT 기계설치(등기구설치 제외)</t>
  </si>
  <si>
    <t>5m~7m</t>
  </si>
  <si>
    <t>본</t>
  </si>
  <si>
    <t>볼라드등 설치</t>
  </si>
  <si>
    <t>지중등 설치</t>
  </si>
  <si>
    <t>볼라드등 기초 설치</t>
  </si>
  <si>
    <t>볼라드등 기초</t>
  </si>
  <si>
    <t>접지봉</t>
  </si>
  <si>
    <t>18Φ*2400 mm</t>
  </si>
  <si>
    <t>터파기(기계 9:1)</t>
  </si>
  <si>
    <t>보통토사. 백호 90%+인력 10%</t>
  </si>
  <si>
    <t>되메우고 다지기(백호+래머)</t>
  </si>
  <si>
    <t>토사, T=15cm</t>
  </si>
  <si>
    <t>M3</t>
  </si>
  <si>
    <t>경질비닐전선관</t>
  </si>
  <si>
    <t>HI 36 mm</t>
  </si>
  <si>
    <t>30㎜</t>
  </si>
  <si>
    <t>125㎜</t>
  </si>
  <si>
    <t>D30</t>
  </si>
  <si>
    <t>D125</t>
  </si>
  <si>
    <t>노말밴드, 36 mm</t>
  </si>
  <si>
    <t>150×150×100</t>
  </si>
  <si>
    <t>F-CV1C×240㎟옥외4열포설1열당</t>
  </si>
  <si>
    <t>F-CV 4C×6㎟(옥외)</t>
  </si>
  <si>
    <t>러그단자(IEC 90)</t>
  </si>
  <si>
    <t>동관단자 2 HOLE 240 ㎟</t>
  </si>
  <si>
    <t>맨홀</t>
  </si>
  <si>
    <t>1000x1000x1000</t>
  </si>
  <si>
    <t>전주입상관 설치</t>
  </si>
  <si>
    <t>HI 104C</t>
  </si>
  <si>
    <t>ST 케이블 트레이-STRAIGHT</t>
  </si>
  <si>
    <t>W400x100Hx2.3t</t>
  </si>
  <si>
    <t>0.6/1kV  16㎟</t>
  </si>
  <si>
    <t>0.6/1kV  25㎟</t>
  </si>
  <si>
    <t>0.6/1kV  185㎟</t>
  </si>
  <si>
    <t>0.6/1kV 난연 전력 케이블(F-CV)-4열동시</t>
  </si>
  <si>
    <t>1C 50㎟</t>
  </si>
  <si>
    <t>1C 185㎟</t>
  </si>
  <si>
    <t>4C 6㎟</t>
  </si>
  <si>
    <t>4C 16㎟</t>
  </si>
  <si>
    <t>러그단자</t>
  </si>
  <si>
    <t>동관단자 1H 16㎟</t>
  </si>
  <si>
    <t>동관단자 1H 25㎟</t>
  </si>
  <si>
    <t>동관단자 1H 50㎟</t>
  </si>
  <si>
    <t>동관단자 2H 185㎟</t>
  </si>
  <si>
    <t>핸드홀(수공1호)</t>
  </si>
  <si>
    <t>950*450*700</t>
  </si>
  <si>
    <t>접지공사(접지봉매설)</t>
  </si>
  <si>
    <t/>
  </si>
  <si>
    <t>50mm</t>
  </si>
  <si>
    <t>65mm</t>
  </si>
  <si>
    <t>100mm</t>
  </si>
  <si>
    <t>계량기함 설치</t>
  </si>
  <si>
    <t>분전반 신설(LP-M)</t>
  </si>
  <si>
    <t>옥외벽부자립형</t>
  </si>
  <si>
    <t>역전력 보호계전기 분전반 신설</t>
  </si>
  <si>
    <t>550*780*250</t>
  </si>
  <si>
    <t>분전반 신설(LP-O1)</t>
  </si>
  <si>
    <t>엔트런스 캡</t>
  </si>
  <si>
    <t>2 1/4" (54mm)초과-104C</t>
  </si>
  <si>
    <t>맨홀(저압)</t>
  </si>
  <si>
    <t>1,500*1,500*1,500</t>
  </si>
  <si>
    <t>2.옥내공사::2-1.전력간선공사</t>
  </si>
  <si>
    <t>아연도 36 mm</t>
  </si>
  <si>
    <t>강제전선관</t>
  </si>
  <si>
    <t>아연도 104 mm</t>
  </si>
  <si>
    <t>HI 42 mm</t>
  </si>
  <si>
    <t>HI 104 mm</t>
  </si>
  <si>
    <t>D100</t>
  </si>
  <si>
    <t>강재전선관용 부품</t>
  </si>
  <si>
    <t>노말밴드, 아연도 36 mm</t>
  </si>
  <si>
    <t>노말밴드, 104 mm</t>
  </si>
  <si>
    <t>250×250×150</t>
  </si>
  <si>
    <t>300×300×200</t>
  </si>
  <si>
    <t>6㎟</t>
  </si>
  <si>
    <t>95㎟</t>
  </si>
  <si>
    <t>120㎟</t>
  </si>
  <si>
    <t>F-CV 1C×150㎟ 4열포설 1열당</t>
  </si>
  <si>
    <t>F-CV 1C×240㎟ 4열포설 1열당</t>
  </si>
  <si>
    <t>F-CV 4C×6㎟</t>
  </si>
  <si>
    <t>동관단자 2 HOLE 95 ㎟</t>
  </si>
  <si>
    <t>동관단자 2 HOLE 120 ㎟</t>
  </si>
  <si>
    <t>동관단자 2 HOLE 150 ㎟</t>
  </si>
  <si>
    <t>파이프행가</t>
  </si>
  <si>
    <t>36 C</t>
  </si>
  <si>
    <t>104 C</t>
  </si>
  <si>
    <t>접지공사</t>
  </si>
  <si>
    <t>3종</t>
  </si>
  <si>
    <t>분전반</t>
  </si>
  <si>
    <t>WHM</t>
  </si>
  <si>
    <t>LP-M</t>
  </si>
  <si>
    <t>P-EHP</t>
  </si>
  <si>
    <t>경질비닐PVC전선관-매입</t>
  </si>
  <si>
    <t>HI 54 mm</t>
  </si>
  <si>
    <t>난연 비닐 절연 접지용전선(F-GV)-옥외</t>
  </si>
  <si>
    <t>0.6/1kV  95㎟</t>
  </si>
  <si>
    <t>1C 150㎟-4열동시</t>
  </si>
  <si>
    <t>4C 25㎟</t>
  </si>
  <si>
    <t>동관단자 1H 95㎟</t>
  </si>
  <si>
    <t>동관단자 2H 150㎟</t>
  </si>
  <si>
    <t>분전반 설치(신설)</t>
  </si>
  <si>
    <t>LP-1</t>
  </si>
  <si>
    <t>LP-2</t>
  </si>
  <si>
    <t>LP-3</t>
  </si>
  <si>
    <t>PP-ELEV</t>
  </si>
  <si>
    <t>PP-OAC</t>
  </si>
  <si>
    <t>아연도 22 mm</t>
  </si>
  <si>
    <t>합성수지제 가요전선관</t>
  </si>
  <si>
    <t>CD 난연성, 22㎜</t>
  </si>
  <si>
    <t>정션 박스</t>
  </si>
  <si>
    <t>100*100*50</t>
  </si>
  <si>
    <t>450/750V 내열비닐절연전선</t>
  </si>
  <si>
    <t>HFIX 2.25mm(4㎟)</t>
  </si>
  <si>
    <t>22 C</t>
  </si>
  <si>
    <t>2.옥내공사::2-3.전등설비공사</t>
  </si>
  <si>
    <t>CD 난연성, 28㎜</t>
  </si>
  <si>
    <t>1종금속제가요전선관</t>
  </si>
  <si>
    <t>16 mm 비방수</t>
  </si>
  <si>
    <t>아우트렛박스</t>
  </si>
  <si>
    <t>8각 54㎜</t>
  </si>
  <si>
    <t>중형4각 54㎜</t>
  </si>
  <si>
    <t>스위치박스</t>
  </si>
  <si>
    <t>1 개용 54 mm</t>
  </si>
  <si>
    <t>2 개용 54 mm</t>
  </si>
  <si>
    <t>아우트렛박스 커버</t>
  </si>
  <si>
    <t>커버, 8각, 둥근구멍(평)</t>
  </si>
  <si>
    <t>커버, 4각, 둥근구멍(평)</t>
  </si>
  <si>
    <t>커버, 4각,2개용S/W (오목)</t>
  </si>
  <si>
    <t>HFIX 1.78mm(2.5㎟)</t>
  </si>
  <si>
    <t>와이드 스위치</t>
  </si>
  <si>
    <t>SUPPER WIDE,15A,250V 1로1구</t>
  </si>
  <si>
    <t>SUPPER WIDE,15A,250V 1로2구</t>
  </si>
  <si>
    <t>SUPPER WIDE,15A,250V 1로3구</t>
  </si>
  <si>
    <t>천정구멍따기</t>
  </si>
  <si>
    <t>다운라이트용</t>
  </si>
  <si>
    <t>조명기구(TYPE-A)</t>
  </si>
  <si>
    <t>매입 LED 40W</t>
  </si>
  <si>
    <t>조명기구(TYPE-B)</t>
  </si>
  <si>
    <t>직부 LED 40W</t>
  </si>
  <si>
    <t>조명기구(TYPE-C)</t>
  </si>
  <si>
    <t>투광등 LED 150W</t>
  </si>
  <si>
    <t>조명기구(TYPE-D)</t>
  </si>
  <si>
    <t>벽부상하등 LED 10W*2</t>
  </si>
  <si>
    <t>조명기구(TYPE-E)</t>
  </si>
  <si>
    <t>D/L LED 15W</t>
  </si>
  <si>
    <t>조명기구(TYPE-F)</t>
  </si>
  <si>
    <t>원형직부 LED 15W</t>
  </si>
  <si>
    <t>합성수지제 가요전선관-매입</t>
  </si>
  <si>
    <t>(난연성), 16㎜</t>
  </si>
  <si>
    <t xml:space="preserve"> 16 mm 비방수</t>
  </si>
  <si>
    <t>박스커넥터, 16mm, 비방수</t>
  </si>
  <si>
    <t>8각  54mm</t>
  </si>
  <si>
    <t>스위치박스-매입</t>
  </si>
  <si>
    <t>450/75OV 저독성난연가교폴리올레핀절연전선(HFIX)</t>
  </si>
  <si>
    <t>2.5㎟</t>
  </si>
  <si>
    <t>1로 1구</t>
  </si>
  <si>
    <t>1로 2구</t>
  </si>
  <si>
    <t>1로 3구</t>
  </si>
  <si>
    <t>1로 4구</t>
  </si>
  <si>
    <t>레일 설치</t>
  </si>
  <si>
    <t>레일 1M</t>
  </si>
  <si>
    <t>레일조인자재</t>
  </si>
  <si>
    <t>레일마감자재</t>
  </si>
  <si>
    <t>조명기구(TYPE"A")</t>
  </si>
  <si>
    <t>LED 라인조명 22W</t>
  </si>
  <si>
    <t>조명기구(TYPE"B")</t>
  </si>
  <si>
    <t>LED 샹들리애 40W</t>
  </si>
  <si>
    <t>조명기구(TYPE"C")</t>
  </si>
  <si>
    <t>LED 팬던트등 10W</t>
  </si>
  <si>
    <t>조명기구(TYPE"D")</t>
  </si>
  <si>
    <t>LED 직부등 40W</t>
  </si>
  <si>
    <t>조명기구(TYPE"E")</t>
  </si>
  <si>
    <t>LED 직부등 25W</t>
  </si>
  <si>
    <t>조명기구(TYPE"F")</t>
  </si>
  <si>
    <t>LED 스포트라이트 10W</t>
  </si>
  <si>
    <t>조명기구(TYPE"G")</t>
  </si>
  <si>
    <t>LED 다운라이트 10W</t>
  </si>
  <si>
    <t>조명기구(TYPE"H")</t>
  </si>
  <si>
    <t>LED 벽부등 10W</t>
  </si>
  <si>
    <t>조명기구(TYPE"I")</t>
  </si>
  <si>
    <t>LED 벽부등 15W</t>
  </si>
  <si>
    <t>강제전선관(노출)</t>
  </si>
  <si>
    <t>콘센트</t>
  </si>
  <si>
    <t>매입-접지형, 15A 250V 2구</t>
  </si>
  <si>
    <t>방우콘센트</t>
  </si>
  <si>
    <t>4㎟ (바닥)</t>
  </si>
  <si>
    <t>4C 4㎟</t>
  </si>
  <si>
    <t>콘센트 설치(매입)</t>
  </si>
  <si>
    <t>접지형, 15A 250V, 2구</t>
  </si>
  <si>
    <t>방우형, 15A 250V, 2구</t>
  </si>
  <si>
    <t>대기전력차단콘센트 설치(매입)</t>
  </si>
  <si>
    <t>3구, 16A 250V</t>
  </si>
  <si>
    <t>2.옥내공사::2-5.냉난방설비공사</t>
  </si>
  <si>
    <t>비닐피복, 22 mm 방수</t>
  </si>
  <si>
    <t>비닐피복, 36 mm 방수</t>
  </si>
  <si>
    <t>박스커넥터-비닐,22mm 방수</t>
  </si>
  <si>
    <t>박스커넥터-비닐,36mm 방수</t>
  </si>
  <si>
    <t xml:space="preserve"> 54 mm 방수</t>
  </si>
  <si>
    <t xml:space="preserve"> 36 mm 방수</t>
  </si>
  <si>
    <t>1종금속제가요전선관, 박스커넥터, 36mm, 방수</t>
  </si>
  <si>
    <t>1종금속제가요전선관, 박스커넥터, 54mm, 방수</t>
  </si>
  <si>
    <t>4㎟</t>
  </si>
  <si>
    <t>HI 16 mm</t>
  </si>
  <si>
    <t>HI 28 mm</t>
  </si>
  <si>
    <t>30㎜ 4열포설 1열당</t>
  </si>
  <si>
    <t>65㎜ 4열포설 1열당</t>
  </si>
  <si>
    <t>노말밴드, 28 mm</t>
  </si>
  <si>
    <t>16㎟(옥외)</t>
  </si>
  <si>
    <t>F-CV 2C×4㎟(옥외)</t>
  </si>
  <si>
    <t>F-CV 4C×35㎟(옥외)</t>
  </si>
  <si>
    <t>UTP 케이블(옥외)</t>
  </si>
  <si>
    <t>Cat.5e 0.5mm 4P</t>
  </si>
  <si>
    <t>압착단자(IEC 90)</t>
  </si>
  <si>
    <t>R형동선 나압착 35 ㎟</t>
  </si>
  <si>
    <t>태양광발전설비</t>
  </si>
  <si>
    <t>88.32KW</t>
  </si>
  <si>
    <t>3.관급자관급::3-1.태양광발전설비</t>
  </si>
  <si>
    <t>조달 수수료(12)</t>
  </si>
  <si>
    <t>1억까지 1.07%</t>
  </si>
  <si>
    <t>1억초과~10억까지 0.76%</t>
  </si>
  <si>
    <t>조달 수수료(14)</t>
  </si>
  <si>
    <t>2~5천만원 530,000원</t>
  </si>
  <si>
    <t>분전반 계량기함</t>
  </si>
  <si>
    <t>옥외노출형</t>
  </si>
  <si>
    <t>1</t>
    <phoneticPr fontId="18" type="noConversion"/>
  </si>
  <si>
    <t>분전반 LP-M</t>
  </si>
  <si>
    <t>분전반 LP-O1</t>
  </si>
  <si>
    <t>분전반 ELEV</t>
  </si>
  <si>
    <t>옥내매입형</t>
  </si>
  <si>
    <t>분전반 LP-1</t>
  </si>
  <si>
    <t>분전반 LP-2</t>
  </si>
  <si>
    <t>분전반 LP-3</t>
  </si>
  <si>
    <t>분전반 PP-OAC</t>
  </si>
  <si>
    <t>옥내노출형</t>
  </si>
  <si>
    <t>( 합       계 )</t>
    <phoneticPr fontId="18" type="noConversion"/>
  </si>
  <si>
    <t>4.도급자관급::4-2.조명기구</t>
  </si>
  <si>
    <t>조달 수수료(15)</t>
  </si>
  <si>
    <t>341</t>
  </si>
  <si>
    <t>노임 계산 정보</t>
    <phoneticPr fontId="18" type="noConversion"/>
  </si>
  <si>
    <t>부속재 및 손료</t>
    <phoneticPr fontId="18" type="noConversion"/>
  </si>
  <si>
    <t>코드</t>
    <phoneticPr fontId="18" type="noConversion"/>
  </si>
  <si>
    <t>명   칭</t>
    <phoneticPr fontId="18" type="noConversion"/>
  </si>
  <si>
    <t>규   격</t>
    <phoneticPr fontId="18" type="noConversion"/>
  </si>
  <si>
    <t>단가</t>
    <phoneticPr fontId="17" type="noConversion"/>
  </si>
  <si>
    <t>합 계</t>
    <phoneticPr fontId="18" type="noConversion"/>
  </si>
  <si>
    <t>증감</t>
    <phoneticPr fontId="17" type="noConversion"/>
  </si>
  <si>
    <t>비고</t>
    <phoneticPr fontId="18" type="noConversion"/>
  </si>
  <si>
    <t>노임계</t>
    <phoneticPr fontId="18" type="noConversion"/>
  </si>
  <si>
    <t>전체(%)</t>
    <phoneticPr fontId="18" type="noConversion"/>
  </si>
  <si>
    <t>공종별(%)</t>
    <phoneticPr fontId="18" type="noConversion"/>
  </si>
  <si>
    <t>노임 소수</t>
    <phoneticPr fontId="18" type="noConversion"/>
  </si>
  <si>
    <t>CD배관재</t>
    <phoneticPr fontId="18" type="noConversion"/>
  </si>
  <si>
    <t>일반배관재</t>
    <phoneticPr fontId="18" type="noConversion"/>
  </si>
  <si>
    <t>소모재</t>
    <phoneticPr fontId="18" type="noConversion"/>
  </si>
  <si>
    <t>자재계</t>
    <phoneticPr fontId="18" type="noConversion"/>
  </si>
  <si>
    <t>합 계</t>
    <phoneticPr fontId="17" type="noConversion"/>
  </si>
  <si>
    <t>수량</t>
    <phoneticPr fontId="17" type="noConversion"/>
  </si>
  <si>
    <t>금액</t>
    <phoneticPr fontId="17" type="noConversion"/>
  </si>
  <si>
    <t>5975B467018</t>
    <phoneticPr fontId="18" type="noConversion"/>
  </si>
  <si>
    <t>0101</t>
    <phoneticPr fontId="18" type="noConversion"/>
  </si>
  <si>
    <t>경질비닐전선관</t>
    <phoneticPr fontId="18" type="noConversion"/>
  </si>
  <si>
    <t>HI 70 mm</t>
    <phoneticPr fontId="18" type="noConversion"/>
  </si>
  <si>
    <t>M</t>
    <phoneticPr fontId="18" type="noConversion"/>
  </si>
  <si>
    <t>제 17호</t>
    <phoneticPr fontId="18" type="noConversion"/>
  </si>
  <si>
    <t>5975B467018</t>
  </si>
  <si>
    <t>56959000176</t>
    <phoneticPr fontId="18" type="noConversion"/>
  </si>
  <si>
    <t>파상형 폴리에틸렌 전선관</t>
    <phoneticPr fontId="18" type="noConversion"/>
  </si>
  <si>
    <t>30㎜(가로등,신호,구내)</t>
    <phoneticPr fontId="18" type="noConversion"/>
  </si>
  <si>
    <t>제 76호</t>
    <phoneticPr fontId="18" type="noConversion"/>
  </si>
  <si>
    <t>56959000176</t>
  </si>
  <si>
    <t>56959000177</t>
    <phoneticPr fontId="18" type="noConversion"/>
  </si>
  <si>
    <t>40㎜(가로등,신호,구내)</t>
    <phoneticPr fontId="18" type="noConversion"/>
  </si>
  <si>
    <t>제 77호</t>
    <phoneticPr fontId="18" type="noConversion"/>
  </si>
  <si>
    <t>56959000177</t>
  </si>
  <si>
    <t>56959000191</t>
    <phoneticPr fontId="18" type="noConversion"/>
  </si>
  <si>
    <t>65㎜(가로등,신호,구내)</t>
    <phoneticPr fontId="18" type="noConversion"/>
  </si>
  <si>
    <t>제 91호</t>
    <phoneticPr fontId="18" type="noConversion"/>
  </si>
  <si>
    <t>56959000191</t>
  </si>
  <si>
    <t>5975E877202</t>
    <phoneticPr fontId="18" type="noConversion"/>
  </si>
  <si>
    <t>관로구방수장치</t>
    <phoneticPr fontId="18" type="noConversion"/>
  </si>
  <si>
    <t>D65</t>
    <phoneticPr fontId="18" type="noConversion"/>
  </si>
  <si>
    <t>조</t>
    <phoneticPr fontId="18" type="noConversion"/>
  </si>
  <si>
    <t>제 29호</t>
    <phoneticPr fontId="18" type="noConversion"/>
  </si>
  <si>
    <t>5975E877202</t>
  </si>
  <si>
    <t>5975J027005</t>
    <phoneticPr fontId="18" type="noConversion"/>
  </si>
  <si>
    <t>경질비닐전선관용 부품</t>
    <phoneticPr fontId="18" type="noConversion"/>
  </si>
  <si>
    <t>노말밴드, 70 mm</t>
    <phoneticPr fontId="18" type="noConversion"/>
  </si>
  <si>
    <t>개</t>
    <phoneticPr fontId="18" type="noConversion"/>
  </si>
  <si>
    <t>제 35호</t>
    <phoneticPr fontId="18" type="noConversion"/>
  </si>
  <si>
    <t>5975J027005</t>
  </si>
  <si>
    <t>5975D857181</t>
    <phoneticPr fontId="18" type="noConversion"/>
  </si>
  <si>
    <t>풀박스</t>
    <phoneticPr fontId="18" type="noConversion"/>
  </si>
  <si>
    <t>400×400×300</t>
    <phoneticPr fontId="18" type="noConversion"/>
  </si>
  <si>
    <t>제 48호</t>
    <phoneticPr fontId="18" type="noConversion"/>
  </si>
  <si>
    <t>5975D857181</t>
  </si>
  <si>
    <t>56959000173</t>
    <phoneticPr fontId="18" type="noConversion"/>
  </si>
  <si>
    <t>접지용난연절연전선(FGV)</t>
    <phoneticPr fontId="18" type="noConversion"/>
  </si>
  <si>
    <t>6㎟(옥외)</t>
    <phoneticPr fontId="18" type="noConversion"/>
  </si>
  <si>
    <t>제 73호</t>
    <phoneticPr fontId="18" type="noConversion"/>
  </si>
  <si>
    <t>56959000173</t>
  </si>
  <si>
    <t>56959000172</t>
    <phoneticPr fontId="18" type="noConversion"/>
  </si>
  <si>
    <t>0.6/1kv 폴리에틸렌 난연케이블</t>
    <phoneticPr fontId="18" type="noConversion"/>
  </si>
  <si>
    <t>F-CV 2C×2.5㎟(옥외)</t>
    <phoneticPr fontId="18" type="noConversion"/>
  </si>
  <si>
    <t>제 72호</t>
    <phoneticPr fontId="18" type="noConversion"/>
  </si>
  <si>
    <t>56959000172</t>
  </si>
  <si>
    <t>56959000170</t>
    <phoneticPr fontId="18" type="noConversion"/>
  </si>
  <si>
    <t>F-CV 2C×6㎟(옥외)</t>
    <phoneticPr fontId="18" type="noConversion"/>
  </si>
  <si>
    <t>제 70호</t>
    <phoneticPr fontId="18" type="noConversion"/>
  </si>
  <si>
    <t>56959000170</t>
  </si>
  <si>
    <t>56959000171</t>
    <phoneticPr fontId="18" type="noConversion"/>
  </si>
  <si>
    <t>F-CV 2C×6㎟(옥외),2열포설1열</t>
    <phoneticPr fontId="18" type="noConversion"/>
  </si>
  <si>
    <t>제 71호</t>
    <phoneticPr fontId="18" type="noConversion"/>
  </si>
  <si>
    <t>56959000171</t>
  </si>
  <si>
    <t>56959000192</t>
    <phoneticPr fontId="18" type="noConversion"/>
  </si>
  <si>
    <t>F-CV 2C×6㎟(옥외),5열포설1열</t>
    <phoneticPr fontId="18" type="noConversion"/>
  </si>
  <si>
    <t>제 92호</t>
    <phoneticPr fontId="18" type="noConversion"/>
  </si>
  <si>
    <t>56959000192</t>
  </si>
  <si>
    <t>56959000193</t>
    <phoneticPr fontId="18" type="noConversion"/>
  </si>
  <si>
    <t>F-CV 2C×6㎟(옥외),6열포설1열</t>
    <phoneticPr fontId="18" type="noConversion"/>
  </si>
  <si>
    <t>제 93호</t>
    <phoneticPr fontId="18" type="noConversion"/>
  </si>
  <si>
    <t>56959000193</t>
  </si>
  <si>
    <t>5975F057152</t>
    <phoneticPr fontId="18" type="noConversion"/>
  </si>
  <si>
    <t>지중선용 가선철물</t>
    <phoneticPr fontId="18" type="noConversion"/>
  </si>
  <si>
    <t>케이블표지시트, 0.15x150</t>
    <phoneticPr fontId="18" type="noConversion"/>
  </si>
  <si>
    <t>제 67호</t>
    <phoneticPr fontId="18" type="noConversion"/>
  </si>
  <si>
    <t>5975F057152</t>
  </si>
  <si>
    <t>56951004514</t>
    <phoneticPr fontId="18" type="noConversion"/>
  </si>
  <si>
    <t>가로등중공기초</t>
    <phoneticPr fontId="18" type="noConversion"/>
  </si>
  <si>
    <t>접지(유),500*800*700</t>
    <phoneticPr fontId="18" type="noConversion"/>
  </si>
  <si>
    <t>개소</t>
    <phoneticPr fontId="18" type="noConversion"/>
  </si>
  <si>
    <t>제 6호</t>
    <phoneticPr fontId="18" type="noConversion"/>
  </si>
  <si>
    <t>56951004514</t>
  </si>
  <si>
    <t>56951004517</t>
    <phoneticPr fontId="18" type="noConversion"/>
  </si>
  <si>
    <t>가로등 건주 기계화 시공</t>
    <phoneticPr fontId="18" type="noConversion"/>
  </si>
  <si>
    <t>일반 5m-7m</t>
    <phoneticPr fontId="18" type="noConversion"/>
  </si>
  <si>
    <t>제 7호</t>
    <phoneticPr fontId="18" type="noConversion"/>
  </si>
  <si>
    <t>56959000166</t>
    <phoneticPr fontId="18" type="noConversion"/>
  </si>
  <si>
    <t>정원등중공기초</t>
    <phoneticPr fontId="18" type="noConversion"/>
  </si>
  <si>
    <t>400x500x565x400</t>
    <phoneticPr fontId="18" type="noConversion"/>
  </si>
  <si>
    <t>제 8호</t>
    <phoneticPr fontId="18" type="noConversion"/>
  </si>
  <si>
    <t>CA565826042</t>
    <phoneticPr fontId="18" type="noConversion"/>
  </si>
  <si>
    <t>기계터파기</t>
    <phoneticPr fontId="18" type="noConversion"/>
  </si>
  <si>
    <t>보통토사(0.7㎥/43.6)</t>
    <phoneticPr fontId="18" type="noConversion"/>
  </si>
  <si>
    <t>㎥</t>
    <phoneticPr fontId="18" type="noConversion"/>
  </si>
  <si>
    <t>CA565826051</t>
    <phoneticPr fontId="18" type="noConversion"/>
  </si>
  <si>
    <t>기계되메우기</t>
    <phoneticPr fontId="18" type="noConversion"/>
  </si>
  <si>
    <t>56959000168</t>
    <phoneticPr fontId="18" type="noConversion"/>
  </si>
  <si>
    <t>다기능 접속함</t>
    <phoneticPr fontId="18" type="noConversion"/>
  </si>
  <si>
    <t>방수형</t>
    <phoneticPr fontId="18" type="noConversion"/>
  </si>
  <si>
    <t>EA</t>
    <phoneticPr fontId="18" type="noConversion"/>
  </si>
  <si>
    <t>제 68호</t>
    <phoneticPr fontId="18" type="noConversion"/>
  </si>
  <si>
    <t>56959000184</t>
    <phoneticPr fontId="18" type="noConversion"/>
  </si>
  <si>
    <t>조명기구(TYPE-OA)</t>
    <phoneticPr fontId="18" type="noConversion"/>
  </si>
  <si>
    <t>보안등(열주등)LED 45W,H:4M</t>
    <phoneticPr fontId="18" type="noConversion"/>
  </si>
  <si>
    <t>SET</t>
    <phoneticPr fontId="18" type="noConversion"/>
  </si>
  <si>
    <t>제 84호</t>
    <phoneticPr fontId="18" type="noConversion"/>
  </si>
  <si>
    <t>56959000185</t>
    <phoneticPr fontId="18" type="noConversion"/>
  </si>
  <si>
    <t>조명기구(TYEP-OB)</t>
    <phoneticPr fontId="18" type="noConversion"/>
  </si>
  <si>
    <t>볼라드 LED 12W</t>
    <phoneticPr fontId="18" type="noConversion"/>
  </si>
  <si>
    <t>제 85호</t>
    <phoneticPr fontId="18" type="noConversion"/>
  </si>
  <si>
    <t>신규호표 34</t>
  </si>
  <si>
    <t>신규호표 4</t>
  </si>
  <si>
    <t>신규호표 10</t>
  </si>
  <si>
    <t>신규호표 36</t>
  </si>
  <si>
    <t>신규호표 37</t>
  </si>
  <si>
    <t>신규호표 13</t>
  </si>
  <si>
    <t>신규호표 20</t>
  </si>
  <si>
    <t>신규호표 21</t>
  </si>
  <si>
    <t>신규호표 38</t>
  </si>
  <si>
    <t>신규호표 39</t>
  </si>
  <si>
    <t>신규호표 40</t>
  </si>
  <si>
    <t>신규호표 41</t>
  </si>
  <si>
    <t>신규호표 42</t>
  </si>
  <si>
    <t>신규호표 43</t>
  </si>
  <si>
    <t>신규호표 25</t>
  </si>
  <si>
    <t>신규호표 44</t>
  </si>
  <si>
    <t>신규호표 45</t>
  </si>
  <si>
    <t>신규호표 46</t>
  </si>
  <si>
    <t>신규호표 47</t>
  </si>
  <si>
    <t>신규호표 48</t>
  </si>
  <si>
    <t>신규호표 49</t>
  </si>
  <si>
    <t>신규호표 50</t>
  </si>
  <si>
    <t>신규호표 51</t>
  </si>
  <si>
    <t>신규호표 31</t>
  </si>
  <si>
    <t>신규호표 32</t>
  </si>
  <si>
    <t>합계줄</t>
  </si>
  <si>
    <t>1.옥외공사::1-2.옥외전력간선공사</t>
  </si>
  <si>
    <t>5975B467015</t>
    <phoneticPr fontId="18" type="noConversion"/>
  </si>
  <si>
    <t>0102</t>
    <phoneticPr fontId="18" type="noConversion"/>
  </si>
  <si>
    <t>HI 36 mm</t>
    <phoneticPr fontId="18" type="noConversion"/>
  </si>
  <si>
    <t>제 15호</t>
    <phoneticPr fontId="18" type="noConversion"/>
  </si>
  <si>
    <t>5975D077001</t>
    <phoneticPr fontId="18" type="noConversion"/>
  </si>
  <si>
    <t>30㎜</t>
    <phoneticPr fontId="18" type="noConversion"/>
  </si>
  <si>
    <t>제 21호</t>
    <phoneticPr fontId="18" type="noConversion"/>
  </si>
  <si>
    <t>5975D077007</t>
    <phoneticPr fontId="18" type="noConversion"/>
  </si>
  <si>
    <t>125㎜</t>
    <phoneticPr fontId="18" type="noConversion"/>
  </si>
  <si>
    <t>제 22호</t>
    <phoneticPr fontId="18" type="noConversion"/>
  </si>
  <si>
    <t>5975E877200</t>
    <phoneticPr fontId="18" type="noConversion"/>
  </si>
  <si>
    <t>D30</t>
    <phoneticPr fontId="18" type="noConversion"/>
  </si>
  <si>
    <t>제 28호</t>
    <phoneticPr fontId="18" type="noConversion"/>
  </si>
  <si>
    <t>5975E877205</t>
    <phoneticPr fontId="18" type="noConversion"/>
  </si>
  <si>
    <t>D125</t>
    <phoneticPr fontId="18" type="noConversion"/>
  </si>
  <si>
    <t>제 31호</t>
    <phoneticPr fontId="18" type="noConversion"/>
  </si>
  <si>
    <t>5975J027002</t>
    <phoneticPr fontId="18" type="noConversion"/>
  </si>
  <si>
    <t>노말밴드, 36 mm</t>
    <phoneticPr fontId="18" type="noConversion"/>
  </si>
  <si>
    <t>제 34호</t>
    <phoneticPr fontId="18" type="noConversion"/>
  </si>
  <si>
    <t>5975D857031</t>
    <phoneticPr fontId="18" type="noConversion"/>
  </si>
  <si>
    <t>150×150×100</t>
    <phoneticPr fontId="18" type="noConversion"/>
  </si>
  <si>
    <t>제 45호</t>
    <phoneticPr fontId="18" type="noConversion"/>
  </si>
  <si>
    <t>56959000174</t>
    <phoneticPr fontId="18" type="noConversion"/>
  </si>
  <si>
    <t>F-CV1C×240㎟옥외4열포설1열당</t>
    <phoneticPr fontId="18" type="noConversion"/>
  </si>
  <si>
    <t>제 74호</t>
    <phoneticPr fontId="18" type="noConversion"/>
  </si>
  <si>
    <t>56959000190</t>
    <phoneticPr fontId="18" type="noConversion"/>
  </si>
  <si>
    <t>F-CV 4C×6㎟(옥외)</t>
    <phoneticPr fontId="18" type="noConversion"/>
  </si>
  <si>
    <t>제 90호</t>
    <phoneticPr fontId="18" type="noConversion"/>
  </si>
  <si>
    <t>E940A177030</t>
    <phoneticPr fontId="18" type="noConversion"/>
  </si>
  <si>
    <t>러그단자(IEC 90)</t>
    <phoneticPr fontId="18" type="noConversion"/>
  </si>
  <si>
    <t>동관단자 2 HOLE 240 ㎟</t>
    <phoneticPr fontId="18" type="noConversion"/>
  </si>
  <si>
    <t>제 65호</t>
    <phoneticPr fontId="18" type="noConversion"/>
  </si>
  <si>
    <t>56950201000</t>
    <phoneticPr fontId="18" type="noConversion"/>
  </si>
  <si>
    <t>맨홀</t>
    <phoneticPr fontId="18" type="noConversion"/>
  </si>
  <si>
    <t>1000x1000x1000</t>
    <phoneticPr fontId="18" type="noConversion"/>
  </si>
  <si>
    <t>제 4호</t>
    <phoneticPr fontId="18" type="noConversion"/>
  </si>
  <si>
    <t>5975A337004</t>
    <phoneticPr fontId="18" type="noConversion"/>
  </si>
  <si>
    <t>0201</t>
    <phoneticPr fontId="18" type="noConversion"/>
  </si>
  <si>
    <t>강제전선관</t>
    <phoneticPr fontId="18" type="noConversion"/>
  </si>
  <si>
    <t>아연도 36 mm</t>
    <phoneticPr fontId="18" type="noConversion"/>
  </si>
  <si>
    <t>제 10호</t>
    <phoneticPr fontId="18" type="noConversion"/>
  </si>
  <si>
    <t>5975A337010</t>
    <phoneticPr fontId="18" type="noConversion"/>
  </si>
  <si>
    <t>아연도 104 mm</t>
    <phoneticPr fontId="18" type="noConversion"/>
  </si>
  <si>
    <t>제 11호</t>
    <phoneticPr fontId="18" type="noConversion"/>
  </si>
  <si>
    <t>5975B467016</t>
    <phoneticPr fontId="18" type="noConversion"/>
  </si>
  <si>
    <t>HI 42 mm</t>
    <phoneticPr fontId="18" type="noConversion"/>
  </si>
  <si>
    <t>제 16호</t>
    <phoneticPr fontId="18" type="noConversion"/>
  </si>
  <si>
    <t>5975B467020</t>
    <phoneticPr fontId="18" type="noConversion"/>
  </si>
  <si>
    <t>HI 104 mm</t>
    <phoneticPr fontId="18" type="noConversion"/>
  </si>
  <si>
    <t>제 18호</t>
    <phoneticPr fontId="18" type="noConversion"/>
  </si>
  <si>
    <t>5975E877204</t>
    <phoneticPr fontId="18" type="noConversion"/>
  </si>
  <si>
    <t>D100</t>
    <phoneticPr fontId="18" type="noConversion"/>
  </si>
  <si>
    <t>제 30호</t>
    <phoneticPr fontId="18" type="noConversion"/>
  </si>
  <si>
    <t>5975J017062</t>
    <phoneticPr fontId="18" type="noConversion"/>
  </si>
  <si>
    <t>강재전선관용 부품</t>
    <phoneticPr fontId="18" type="noConversion"/>
  </si>
  <si>
    <t>노말밴드, 아연도 36 mm</t>
    <phoneticPr fontId="18" type="noConversion"/>
  </si>
  <si>
    <t>제 32호</t>
    <phoneticPr fontId="18" type="noConversion"/>
  </si>
  <si>
    <t>5975J027007</t>
    <phoneticPr fontId="18" type="noConversion"/>
  </si>
  <si>
    <t>노말밴드, 104 mm</t>
    <phoneticPr fontId="18" type="noConversion"/>
  </si>
  <si>
    <t>제 36호</t>
    <phoneticPr fontId="18" type="noConversion"/>
  </si>
  <si>
    <t>5975D857101</t>
    <phoneticPr fontId="18" type="noConversion"/>
  </si>
  <si>
    <t>250×250×150</t>
    <phoneticPr fontId="18" type="noConversion"/>
  </si>
  <si>
    <t>제 46호</t>
    <phoneticPr fontId="18" type="noConversion"/>
  </si>
  <si>
    <t>5975D857131</t>
    <phoneticPr fontId="18" type="noConversion"/>
  </si>
  <si>
    <t>300×300×200</t>
    <phoneticPr fontId="18" type="noConversion"/>
  </si>
  <si>
    <t>제 47호</t>
    <phoneticPr fontId="18" type="noConversion"/>
  </si>
  <si>
    <t>E145A927203</t>
    <phoneticPr fontId="18" type="noConversion"/>
  </si>
  <si>
    <t>6㎟</t>
    <phoneticPr fontId="18" type="noConversion"/>
  </si>
  <si>
    <t>제 51호</t>
    <phoneticPr fontId="18" type="noConversion"/>
  </si>
  <si>
    <t>E145A927212</t>
    <phoneticPr fontId="18" type="noConversion"/>
  </si>
  <si>
    <t>95㎟</t>
    <phoneticPr fontId="18" type="noConversion"/>
  </si>
  <si>
    <t>제 52호</t>
    <phoneticPr fontId="18" type="noConversion"/>
  </si>
  <si>
    <t>E145A927213</t>
    <phoneticPr fontId="18" type="noConversion"/>
  </si>
  <si>
    <t>120㎟</t>
    <phoneticPr fontId="18" type="noConversion"/>
  </si>
  <si>
    <t>제 53호</t>
    <phoneticPr fontId="18" type="noConversion"/>
  </si>
  <si>
    <t>E145A287514</t>
    <phoneticPr fontId="18" type="noConversion"/>
  </si>
  <si>
    <t>F-CV 1C×150㎟ 4열포설 1열당</t>
    <phoneticPr fontId="18" type="noConversion"/>
  </si>
  <si>
    <t>제 54호</t>
    <phoneticPr fontId="18" type="noConversion"/>
  </si>
  <si>
    <t>E145A287516</t>
    <phoneticPr fontId="18" type="noConversion"/>
  </si>
  <si>
    <t>F-CV 1C×240㎟ 4열포설 1열당</t>
    <phoneticPr fontId="18" type="noConversion"/>
  </si>
  <si>
    <t>제 55호</t>
    <phoneticPr fontId="18" type="noConversion"/>
  </si>
  <si>
    <t>E145A287563</t>
    <phoneticPr fontId="18" type="noConversion"/>
  </si>
  <si>
    <t>F-CV 4C×6㎟</t>
    <phoneticPr fontId="18" type="noConversion"/>
  </si>
  <si>
    <t>제 56호</t>
    <phoneticPr fontId="18" type="noConversion"/>
  </si>
  <si>
    <t>E940A177027</t>
    <phoneticPr fontId="18" type="noConversion"/>
  </si>
  <si>
    <t>동관단자 2 HOLE 95 ㎟</t>
    <phoneticPr fontId="18" type="noConversion"/>
  </si>
  <si>
    <t>제 62호</t>
    <phoneticPr fontId="18" type="noConversion"/>
  </si>
  <si>
    <t>E940A177034</t>
    <phoneticPr fontId="18" type="noConversion"/>
  </si>
  <si>
    <t>동관단자 2 HOLE 120 ㎟</t>
    <phoneticPr fontId="18" type="noConversion"/>
  </si>
  <si>
    <t>제 63호</t>
    <phoneticPr fontId="18" type="noConversion"/>
  </si>
  <si>
    <t>E940A177028</t>
    <phoneticPr fontId="18" type="noConversion"/>
  </si>
  <si>
    <t>동관단자 2 HOLE 150 ㎟</t>
    <phoneticPr fontId="18" type="noConversion"/>
  </si>
  <si>
    <t>제 64호</t>
    <phoneticPr fontId="18" type="noConversion"/>
  </si>
  <si>
    <t>56950120036</t>
    <phoneticPr fontId="18" type="noConversion"/>
  </si>
  <si>
    <t>파이프행가</t>
    <phoneticPr fontId="18" type="noConversion"/>
  </si>
  <si>
    <t>36 C</t>
    <phoneticPr fontId="18" type="noConversion"/>
  </si>
  <si>
    <t>제 2호</t>
    <phoneticPr fontId="18" type="noConversion"/>
  </si>
  <si>
    <t>56950120104</t>
    <phoneticPr fontId="18" type="noConversion"/>
  </si>
  <si>
    <t>104 C</t>
    <phoneticPr fontId="18" type="noConversion"/>
  </si>
  <si>
    <t>제 3호</t>
    <phoneticPr fontId="18" type="noConversion"/>
  </si>
  <si>
    <t>56950220300</t>
    <phoneticPr fontId="18" type="noConversion"/>
  </si>
  <si>
    <t>접지공사</t>
    <phoneticPr fontId="18" type="noConversion"/>
  </si>
  <si>
    <t>3종</t>
    <phoneticPr fontId="18" type="noConversion"/>
  </si>
  <si>
    <t>제 5호</t>
    <phoneticPr fontId="18" type="noConversion"/>
  </si>
  <si>
    <t>56959000186</t>
    <phoneticPr fontId="18" type="noConversion"/>
  </si>
  <si>
    <t>분전반</t>
    <phoneticPr fontId="18" type="noConversion"/>
  </si>
  <si>
    <t>WHM</t>
    <phoneticPr fontId="18" type="noConversion"/>
  </si>
  <si>
    <t>면</t>
    <phoneticPr fontId="18" type="noConversion"/>
  </si>
  <si>
    <t>제 86호</t>
    <phoneticPr fontId="18" type="noConversion"/>
  </si>
  <si>
    <t>56959000187</t>
    <phoneticPr fontId="18" type="noConversion"/>
  </si>
  <si>
    <t>LP-M</t>
    <phoneticPr fontId="18" type="noConversion"/>
  </si>
  <si>
    <t>제 87호</t>
    <phoneticPr fontId="18" type="noConversion"/>
  </si>
  <si>
    <t>56959000188</t>
    <phoneticPr fontId="18" type="noConversion"/>
  </si>
  <si>
    <t>P-EHP</t>
    <phoneticPr fontId="18" type="noConversion"/>
  </si>
  <si>
    <t>제 88호</t>
    <phoneticPr fontId="18" type="noConversion"/>
  </si>
  <si>
    <t>5975A337002</t>
    <phoneticPr fontId="18" type="noConversion"/>
  </si>
  <si>
    <t>0202</t>
    <phoneticPr fontId="18" type="noConversion"/>
  </si>
  <si>
    <t>아연도 22 mm</t>
    <phoneticPr fontId="18" type="noConversion"/>
  </si>
  <si>
    <t>제 9호</t>
    <phoneticPr fontId="18" type="noConversion"/>
  </si>
  <si>
    <t>5975A337002</t>
  </si>
  <si>
    <t>5975D097003</t>
    <phoneticPr fontId="18" type="noConversion"/>
  </si>
  <si>
    <t>합성수지제 가요전선관</t>
    <phoneticPr fontId="18" type="noConversion"/>
  </si>
  <si>
    <t>CD 난연성, 22㎜</t>
    <phoneticPr fontId="18" type="noConversion"/>
  </si>
  <si>
    <t>제 19호</t>
    <phoneticPr fontId="18" type="noConversion"/>
  </si>
  <si>
    <t>5975D097003</t>
  </si>
  <si>
    <t>6145F137894</t>
    <phoneticPr fontId="18" type="noConversion"/>
  </si>
  <si>
    <t>정션 박스</t>
    <phoneticPr fontId="18" type="noConversion"/>
  </si>
  <si>
    <t>100*100*50</t>
    <phoneticPr fontId="18" type="noConversion"/>
  </si>
  <si>
    <t>제 44호</t>
    <phoneticPr fontId="18" type="noConversion"/>
  </si>
  <si>
    <t>6145F137894</t>
  </si>
  <si>
    <t>E145A667003</t>
    <phoneticPr fontId="18" type="noConversion"/>
  </si>
  <si>
    <t>450/750V 내열비닐절연전선</t>
    <phoneticPr fontId="18" type="noConversion"/>
  </si>
  <si>
    <t>HFIX 2.25mm(4㎟)</t>
    <phoneticPr fontId="18" type="noConversion"/>
  </si>
  <si>
    <t>제 50호</t>
    <phoneticPr fontId="18" type="noConversion"/>
  </si>
  <si>
    <t>E145A667003</t>
  </si>
  <si>
    <t>56950120022</t>
    <phoneticPr fontId="18" type="noConversion"/>
  </si>
  <si>
    <t>22 C</t>
    <phoneticPr fontId="18" type="noConversion"/>
  </si>
  <si>
    <t>제 1호</t>
    <phoneticPr fontId="18" type="noConversion"/>
  </si>
  <si>
    <t>56950120022</t>
  </si>
  <si>
    <t>5975A337012</t>
    <phoneticPr fontId="18" type="noConversion"/>
  </si>
  <si>
    <t>0203</t>
    <phoneticPr fontId="18" type="noConversion"/>
  </si>
  <si>
    <t>강제전선관(노출)</t>
    <phoneticPr fontId="18" type="noConversion"/>
  </si>
  <si>
    <t>제 12호</t>
    <phoneticPr fontId="18" type="noConversion"/>
  </si>
  <si>
    <t>5975D097004</t>
    <phoneticPr fontId="18" type="noConversion"/>
  </si>
  <si>
    <t>CD 난연성, 28㎜</t>
    <phoneticPr fontId="18" type="noConversion"/>
  </si>
  <si>
    <t>제 20호</t>
    <phoneticPr fontId="18" type="noConversion"/>
  </si>
  <si>
    <t>5975D017003</t>
    <phoneticPr fontId="18" type="noConversion"/>
  </si>
  <si>
    <t>1종금속제가요전선관</t>
    <phoneticPr fontId="18" type="noConversion"/>
  </si>
  <si>
    <t>16 mm 비방수</t>
    <phoneticPr fontId="18" type="noConversion"/>
  </si>
  <si>
    <t>제 23호</t>
    <phoneticPr fontId="18" type="noConversion"/>
  </si>
  <si>
    <t>5975D767011</t>
    <phoneticPr fontId="18" type="noConversion"/>
  </si>
  <si>
    <t>아우트렛박스</t>
    <phoneticPr fontId="18" type="noConversion"/>
  </si>
  <si>
    <t>8각 54㎜</t>
    <phoneticPr fontId="18" type="noConversion"/>
  </si>
  <si>
    <t>제 37호</t>
    <phoneticPr fontId="18" type="noConversion"/>
  </si>
  <si>
    <t>5975D767041</t>
    <phoneticPr fontId="18" type="noConversion"/>
  </si>
  <si>
    <t>중형4각 54㎜</t>
    <phoneticPr fontId="18" type="noConversion"/>
  </si>
  <si>
    <t>제 38호</t>
    <phoneticPr fontId="18" type="noConversion"/>
  </si>
  <si>
    <t>5975D777102</t>
    <phoneticPr fontId="18" type="noConversion"/>
  </si>
  <si>
    <t>스위치박스</t>
    <phoneticPr fontId="18" type="noConversion"/>
  </si>
  <si>
    <t>1 개용 54 mm</t>
    <phoneticPr fontId="18" type="noConversion"/>
  </si>
  <si>
    <t>제 39호</t>
    <phoneticPr fontId="18" type="noConversion"/>
  </si>
  <si>
    <t>5975D777111</t>
    <phoneticPr fontId="18" type="noConversion"/>
  </si>
  <si>
    <t>2 개용 54 mm</t>
    <phoneticPr fontId="18" type="noConversion"/>
  </si>
  <si>
    <t>제 40호</t>
    <phoneticPr fontId="18" type="noConversion"/>
  </si>
  <si>
    <t>5975D767221</t>
    <phoneticPr fontId="18" type="noConversion"/>
  </si>
  <si>
    <t>아우트렛박스 커버</t>
    <phoneticPr fontId="18" type="noConversion"/>
  </si>
  <si>
    <t>커버, 8각, 둥근구멍(평)</t>
    <phoneticPr fontId="18" type="noConversion"/>
  </si>
  <si>
    <t>제 41호</t>
    <phoneticPr fontId="18" type="noConversion"/>
  </si>
  <si>
    <t>5975D767251</t>
    <phoneticPr fontId="18" type="noConversion"/>
  </si>
  <si>
    <t>커버, 4각, 둥근구멍(평)</t>
    <phoneticPr fontId="18" type="noConversion"/>
  </si>
  <si>
    <t>제 42호</t>
    <phoneticPr fontId="18" type="noConversion"/>
  </si>
  <si>
    <t>5975D767281</t>
    <phoneticPr fontId="18" type="noConversion"/>
  </si>
  <si>
    <t>커버, 4각,2개용S/W (오목)</t>
    <phoneticPr fontId="18" type="noConversion"/>
  </si>
  <si>
    <t>제 43호</t>
    <phoneticPr fontId="18" type="noConversion"/>
  </si>
  <si>
    <t>56959000167</t>
    <phoneticPr fontId="18" type="noConversion"/>
  </si>
  <si>
    <t>HFIX 1.78mm(2.5㎟)</t>
    <phoneticPr fontId="18" type="noConversion"/>
  </si>
  <si>
    <t>제 49호</t>
    <phoneticPr fontId="18" type="noConversion"/>
  </si>
  <si>
    <t>5930B517201</t>
    <phoneticPr fontId="18" type="noConversion"/>
  </si>
  <si>
    <t>와이드 스위치</t>
    <phoneticPr fontId="18" type="noConversion"/>
  </si>
  <si>
    <t>SUPPER WIDE,15A,250V 1로1구</t>
    <phoneticPr fontId="18" type="noConversion"/>
  </si>
  <si>
    <t>제 57호</t>
    <phoneticPr fontId="18" type="noConversion"/>
  </si>
  <si>
    <t>5930B517202</t>
    <phoneticPr fontId="18" type="noConversion"/>
  </si>
  <si>
    <t>SUPPER WIDE,15A,250V 1로2구</t>
    <phoneticPr fontId="18" type="noConversion"/>
  </si>
  <si>
    <t>제 58호</t>
    <phoneticPr fontId="18" type="noConversion"/>
  </si>
  <si>
    <t>5930B517203</t>
    <phoneticPr fontId="18" type="noConversion"/>
  </si>
  <si>
    <t>SUPPER WIDE,15A,250V 1로3구</t>
    <phoneticPr fontId="18" type="noConversion"/>
  </si>
  <si>
    <t>제 59호</t>
    <phoneticPr fontId="18" type="noConversion"/>
  </si>
  <si>
    <t>56959000169</t>
    <phoneticPr fontId="18" type="noConversion"/>
  </si>
  <si>
    <t>천정구멍따기</t>
    <phoneticPr fontId="18" type="noConversion"/>
  </si>
  <si>
    <t>다운라이트용</t>
    <phoneticPr fontId="18" type="noConversion"/>
  </si>
  <si>
    <t>제 69호</t>
    <phoneticPr fontId="18" type="noConversion"/>
  </si>
  <si>
    <t>56959000178</t>
    <phoneticPr fontId="18" type="noConversion"/>
  </si>
  <si>
    <t>조명기구(TYPE-A)</t>
    <phoneticPr fontId="18" type="noConversion"/>
  </si>
  <si>
    <t>매입 LED 40W</t>
    <phoneticPr fontId="18" type="noConversion"/>
  </si>
  <si>
    <t>제 78호</t>
    <phoneticPr fontId="18" type="noConversion"/>
  </si>
  <si>
    <t>56959000179</t>
    <phoneticPr fontId="18" type="noConversion"/>
  </si>
  <si>
    <t>조명기구(TYPE-B)</t>
    <phoneticPr fontId="18" type="noConversion"/>
  </si>
  <si>
    <t>직부 LED 40W</t>
    <phoneticPr fontId="18" type="noConversion"/>
  </si>
  <si>
    <t>제 79호</t>
    <phoneticPr fontId="18" type="noConversion"/>
  </si>
  <si>
    <t>56959000180</t>
    <phoneticPr fontId="18" type="noConversion"/>
  </si>
  <si>
    <t>조명기구(TYPE-C)</t>
    <phoneticPr fontId="18" type="noConversion"/>
  </si>
  <si>
    <t>투광등 LED 150W</t>
    <phoneticPr fontId="18" type="noConversion"/>
  </si>
  <si>
    <t>제 80호</t>
    <phoneticPr fontId="18" type="noConversion"/>
  </si>
  <si>
    <t>56959000181</t>
    <phoneticPr fontId="18" type="noConversion"/>
  </si>
  <si>
    <t>조명기구(TYPE-D)</t>
    <phoneticPr fontId="18" type="noConversion"/>
  </si>
  <si>
    <t>벽부상하등 LED 10W*2</t>
    <phoneticPr fontId="18" type="noConversion"/>
  </si>
  <si>
    <t>제 81호</t>
    <phoneticPr fontId="18" type="noConversion"/>
  </si>
  <si>
    <t>56959000182</t>
    <phoneticPr fontId="18" type="noConversion"/>
  </si>
  <si>
    <t>조명기구(TYPE-E)</t>
    <phoneticPr fontId="18" type="noConversion"/>
  </si>
  <si>
    <t>D/L LED 15W</t>
    <phoneticPr fontId="18" type="noConversion"/>
  </si>
  <si>
    <t>제 82호</t>
    <phoneticPr fontId="18" type="noConversion"/>
  </si>
  <si>
    <t>56959000183</t>
    <phoneticPr fontId="18" type="noConversion"/>
  </si>
  <si>
    <t>조명기구(TYPE-F)</t>
    <phoneticPr fontId="18" type="noConversion"/>
  </si>
  <si>
    <t>원형직부 LED 15W</t>
    <phoneticPr fontId="18" type="noConversion"/>
  </si>
  <si>
    <t>제 83호</t>
    <phoneticPr fontId="18" type="noConversion"/>
  </si>
  <si>
    <t>2.옥내공사::2-4.전열설비공사</t>
  </si>
  <si>
    <t>0204</t>
    <phoneticPr fontId="18" type="noConversion"/>
  </si>
  <si>
    <t>5975A337012</t>
  </si>
  <si>
    <t>5975D097004</t>
  </si>
  <si>
    <t>5975D777102</t>
  </si>
  <si>
    <t>5975D777111</t>
  </si>
  <si>
    <t>5975D767281</t>
  </si>
  <si>
    <t>5935A317206</t>
    <phoneticPr fontId="18" type="noConversion"/>
  </si>
  <si>
    <t>콘센트</t>
    <phoneticPr fontId="18" type="noConversion"/>
  </si>
  <si>
    <t>매입-접지형, 15A 250V 2구</t>
    <phoneticPr fontId="18" type="noConversion"/>
  </si>
  <si>
    <t>제 60호</t>
    <phoneticPr fontId="18" type="noConversion"/>
  </si>
  <si>
    <t>5935A317206</t>
  </si>
  <si>
    <t>5935A317208</t>
    <phoneticPr fontId="18" type="noConversion"/>
  </si>
  <si>
    <t>방우콘센트</t>
    <phoneticPr fontId="18" type="noConversion"/>
  </si>
  <si>
    <t>제 61호</t>
    <phoneticPr fontId="18" type="noConversion"/>
  </si>
  <si>
    <t>5935A317208</t>
  </si>
  <si>
    <t>0205</t>
    <phoneticPr fontId="18" type="noConversion"/>
  </si>
  <si>
    <t>5975D017024</t>
    <phoneticPr fontId="18" type="noConversion"/>
  </si>
  <si>
    <t>비닐피복, 22 mm 방수</t>
    <phoneticPr fontId="18" type="noConversion"/>
  </si>
  <si>
    <t>제 24호</t>
    <phoneticPr fontId="18" type="noConversion"/>
  </si>
  <si>
    <t>5975D017026</t>
    <phoneticPr fontId="18" type="noConversion"/>
  </si>
  <si>
    <t>비닐피복, 36 mm 방수</t>
    <phoneticPr fontId="18" type="noConversion"/>
  </si>
  <si>
    <t>제 25호</t>
    <phoneticPr fontId="18" type="noConversion"/>
  </si>
  <si>
    <t>5975D017064</t>
    <phoneticPr fontId="18" type="noConversion"/>
  </si>
  <si>
    <t>박스커넥터-비닐,22mm 방수</t>
    <phoneticPr fontId="18" type="noConversion"/>
  </si>
  <si>
    <t>제 26호</t>
    <phoneticPr fontId="18" type="noConversion"/>
  </si>
  <si>
    <t>5975D017066</t>
    <phoneticPr fontId="18" type="noConversion"/>
  </si>
  <si>
    <t>박스커넥터-비닐,36mm 방수</t>
    <phoneticPr fontId="18" type="noConversion"/>
  </si>
  <si>
    <t>제 27호</t>
    <phoneticPr fontId="18" type="noConversion"/>
  </si>
  <si>
    <t>2.옥내공사::2-6.태양광발전설비공사</t>
  </si>
  <si>
    <t>5975B467012</t>
    <phoneticPr fontId="18" type="noConversion"/>
  </si>
  <si>
    <t>0206</t>
    <phoneticPr fontId="18" type="noConversion"/>
  </si>
  <si>
    <t>HI 16 mm</t>
    <phoneticPr fontId="18" type="noConversion"/>
  </si>
  <si>
    <t>제 13호</t>
    <phoneticPr fontId="18" type="noConversion"/>
  </si>
  <si>
    <t>5975B467014</t>
    <phoneticPr fontId="18" type="noConversion"/>
  </si>
  <si>
    <t>HI 28 mm</t>
    <phoneticPr fontId="18" type="noConversion"/>
  </si>
  <si>
    <t>제 14호</t>
    <phoneticPr fontId="18" type="noConversion"/>
  </si>
  <si>
    <t>56959000196</t>
    <phoneticPr fontId="18" type="noConversion"/>
  </si>
  <si>
    <t>30㎜ 4열포설 1열당</t>
    <phoneticPr fontId="18" type="noConversion"/>
  </si>
  <si>
    <t>제 96호</t>
    <phoneticPr fontId="18" type="noConversion"/>
  </si>
  <si>
    <t>56959000197</t>
    <phoneticPr fontId="18" type="noConversion"/>
  </si>
  <si>
    <t>65㎜ 4열포설 1열당</t>
    <phoneticPr fontId="18" type="noConversion"/>
  </si>
  <si>
    <t>제 97호</t>
    <phoneticPr fontId="18" type="noConversion"/>
  </si>
  <si>
    <t>5975J027001</t>
    <phoneticPr fontId="18" type="noConversion"/>
  </si>
  <si>
    <t>노말밴드, 28 mm</t>
    <phoneticPr fontId="18" type="noConversion"/>
  </si>
  <si>
    <t>제 33호</t>
    <phoneticPr fontId="18" type="noConversion"/>
  </si>
  <si>
    <t>56959000175</t>
    <phoneticPr fontId="18" type="noConversion"/>
  </si>
  <si>
    <t>16㎟(옥외)</t>
    <phoneticPr fontId="18" type="noConversion"/>
  </si>
  <si>
    <t>제 75호</t>
    <phoneticPr fontId="18" type="noConversion"/>
  </si>
  <si>
    <t>56959000194</t>
    <phoneticPr fontId="18" type="noConversion"/>
  </si>
  <si>
    <t>F-CV 2C×4㎟(옥외)</t>
    <phoneticPr fontId="18" type="noConversion"/>
  </si>
  <si>
    <t>제 94호</t>
    <phoneticPr fontId="18" type="noConversion"/>
  </si>
  <si>
    <t>56959000195</t>
    <phoneticPr fontId="18" type="noConversion"/>
  </si>
  <si>
    <t>F-CV 4C×35㎟(옥외)</t>
    <phoneticPr fontId="18" type="noConversion"/>
  </si>
  <si>
    <t>제 95호</t>
    <phoneticPr fontId="18" type="noConversion"/>
  </si>
  <si>
    <t>56959000198</t>
    <phoneticPr fontId="18" type="noConversion"/>
  </si>
  <si>
    <t>UTP 케이블(옥외)</t>
    <phoneticPr fontId="18" type="noConversion"/>
  </si>
  <si>
    <t>Cat.5e 0.5mm 4P</t>
    <phoneticPr fontId="18" type="noConversion"/>
  </si>
  <si>
    <t>제 98호</t>
    <phoneticPr fontId="18" type="noConversion"/>
  </si>
  <si>
    <t>E940A267008</t>
    <phoneticPr fontId="18" type="noConversion"/>
  </si>
  <si>
    <t>압착단자(IEC 90)</t>
    <phoneticPr fontId="18" type="noConversion"/>
  </si>
  <si>
    <t>R형동선 나압착 35 ㎟</t>
    <phoneticPr fontId="18" type="noConversion"/>
  </si>
  <si>
    <t>제 66호</t>
    <phoneticPr fontId="18" type="noConversion"/>
  </si>
  <si>
    <t>56959000189</t>
    <phoneticPr fontId="18" type="noConversion"/>
  </si>
  <si>
    <t>태양광발전설비</t>
    <phoneticPr fontId="18" type="noConversion"/>
  </si>
  <si>
    <t>88.32KW</t>
    <phoneticPr fontId="18" type="noConversion"/>
  </si>
  <si>
    <t>식</t>
    <phoneticPr fontId="18" type="noConversion"/>
  </si>
  <si>
    <t>제 89호</t>
    <phoneticPr fontId="18" type="noConversion"/>
  </si>
  <si>
    <t>MMJ00971126</t>
    <phoneticPr fontId="18" type="noConversion"/>
  </si>
  <si>
    <t>0301</t>
    <phoneticPr fontId="18" type="noConversion"/>
  </si>
  <si>
    <t>MMJ00971126</t>
  </si>
  <si>
    <t>MM930254496</t>
    <phoneticPr fontId="18" type="noConversion"/>
  </si>
  <si>
    <t>조달 수수료(12)</t>
    <phoneticPr fontId="18" type="noConversion"/>
  </si>
  <si>
    <t>1억까지 1.07%</t>
    <phoneticPr fontId="18" type="noConversion"/>
  </si>
  <si>
    <t>MM930254496</t>
  </si>
  <si>
    <t>MM930254497</t>
    <phoneticPr fontId="18" type="noConversion"/>
  </si>
  <si>
    <t>1억초과~10억까지 0.76%</t>
    <phoneticPr fontId="18" type="noConversion"/>
  </si>
  <si>
    <t>MM930254497</t>
  </si>
  <si>
    <t>4.도급자관급::4-1.분전반</t>
  </si>
  <si>
    <t>MMJ0097110J</t>
    <phoneticPr fontId="18" type="noConversion"/>
  </si>
  <si>
    <t>0401</t>
    <phoneticPr fontId="18" type="noConversion"/>
  </si>
  <si>
    <t>MMJ0097110J</t>
  </si>
  <si>
    <t>MMJ00971109</t>
    <phoneticPr fontId="18" type="noConversion"/>
  </si>
  <si>
    <t>MMJ00971109</t>
  </si>
  <si>
    <t>MMJ00971110</t>
    <phoneticPr fontId="18" type="noConversion"/>
  </si>
  <si>
    <t>MMJ00971110</t>
  </si>
  <si>
    <t>MM930254499</t>
    <phoneticPr fontId="18" type="noConversion"/>
  </si>
  <si>
    <t>조달 수수료(14)</t>
    <phoneticPr fontId="18" type="noConversion"/>
  </si>
  <si>
    <t>2~5천만원 530,000원</t>
    <phoneticPr fontId="18" type="noConversion"/>
  </si>
  <si>
    <t>MM930254499</t>
  </si>
  <si>
    <t>MMP00794302</t>
    <phoneticPr fontId="18" type="noConversion"/>
  </si>
  <si>
    <t>0402</t>
    <phoneticPr fontId="18" type="noConversion"/>
  </si>
  <si>
    <t>MMP00794302</t>
  </si>
  <si>
    <t>MMP00794303</t>
    <phoneticPr fontId="18" type="noConversion"/>
  </si>
  <si>
    <t>MMP00794303</t>
  </si>
  <si>
    <t>MMP00794304</t>
    <phoneticPr fontId="18" type="noConversion"/>
  </si>
  <si>
    <t>MMP00794304</t>
  </si>
  <si>
    <t>MMP00794305</t>
    <phoneticPr fontId="18" type="noConversion"/>
  </si>
  <si>
    <t>MMP00794305</t>
  </si>
  <si>
    <t>MMP00794306</t>
    <phoneticPr fontId="18" type="noConversion"/>
  </si>
  <si>
    <t>MMP00794306</t>
  </si>
  <si>
    <t>MMP00794307</t>
    <phoneticPr fontId="18" type="noConversion"/>
  </si>
  <si>
    <t>MMP00794307</t>
  </si>
  <si>
    <t>MMP00794290</t>
    <phoneticPr fontId="18" type="noConversion"/>
  </si>
  <si>
    <t>MMP00794290</t>
  </si>
  <si>
    <t>MMP00794291</t>
    <phoneticPr fontId="18" type="noConversion"/>
  </si>
  <si>
    <t>MMP00794291</t>
  </si>
  <si>
    <t>MM930254501</t>
    <phoneticPr fontId="18" type="noConversion"/>
  </si>
  <si>
    <t>조달 수수료(15)</t>
    <phoneticPr fontId="18" type="noConversion"/>
  </si>
  <si>
    <t>MM930254501</t>
  </si>
  <si>
    <t>조명기구 TYPE "G"</t>
  </si>
  <si>
    <t>다운라이트 LED 10W</t>
  </si>
  <si>
    <t>조명기구 TYPE "H"</t>
  </si>
  <si>
    <t>벽부등 LED 10W</t>
  </si>
  <si>
    <t>조명기구 TYPE "I"</t>
  </si>
  <si>
    <t>벽부등 LED 15W</t>
  </si>
  <si>
    <t>LED 50W</t>
  </si>
  <si>
    <t>스텐가로등주</t>
  </si>
  <si>
    <t>5M, 1등</t>
  </si>
  <si>
    <t>가로등주부속자재</t>
  </si>
  <si>
    <t>베이스커버 '소'</t>
  </si>
  <si>
    <t>옥외 라인조명</t>
  </si>
  <si>
    <t>볼라드등</t>
  </si>
  <si>
    <t>옥외 투광등</t>
  </si>
  <si>
    <t>지중등</t>
  </si>
  <si>
    <t>LED 12W</t>
  </si>
  <si>
    <t>[ 평창 에코랜드 카페 신축공사(전기) ]</t>
  </si>
  <si>
    <t>품      명</t>
  </si>
  <si>
    <t>규      격</t>
  </si>
  <si>
    <t>재  료  비</t>
  </si>
  <si>
    <t>노  무  비</t>
  </si>
  <si>
    <t>경      비</t>
  </si>
  <si>
    <t>비  고</t>
  </si>
  <si>
    <t>품목코드</t>
  </si>
  <si>
    <t>변수</t>
  </si>
  <si>
    <t>설정</t>
  </si>
  <si>
    <t>공종코드</t>
  </si>
  <si>
    <t>일위</t>
  </si>
  <si>
    <t>단산</t>
  </si>
  <si>
    <t>자재</t>
  </si>
  <si>
    <t>손료적용</t>
  </si>
  <si>
    <t>손료저장</t>
  </si>
  <si>
    <t>적용율</t>
  </si>
  <si>
    <t>JUK1</t>
  </si>
  <si>
    <t>JUK2</t>
  </si>
  <si>
    <t>JUK3</t>
  </si>
  <si>
    <t>JUK4</t>
  </si>
  <si>
    <t>JUK5</t>
  </si>
  <si>
    <t>JUK6</t>
  </si>
  <si>
    <t>JUK7</t>
  </si>
  <si>
    <t>JUK8</t>
  </si>
  <si>
    <t>JUK9</t>
  </si>
  <si>
    <t>JUK10</t>
  </si>
  <si>
    <t>JUK11</t>
  </si>
  <si>
    <t>JUK12</t>
  </si>
  <si>
    <t>JUK13</t>
  </si>
  <si>
    <t>JUK14</t>
  </si>
  <si>
    <t>JUK15</t>
  </si>
  <si>
    <t>JUK16</t>
  </si>
  <si>
    <t>JUK17</t>
  </si>
  <si>
    <t>JUK18</t>
  </si>
  <si>
    <t>JUK19</t>
  </si>
  <si>
    <t>JUK20</t>
  </si>
  <si>
    <t>자재구분</t>
  </si>
  <si>
    <t>공종구분</t>
  </si>
  <si>
    <t>공종레벨</t>
  </si>
  <si>
    <t>공종+자재</t>
  </si>
  <si>
    <t>고유번호</t>
  </si>
  <si>
    <t>1-1-1.전력간선공사</t>
  </si>
  <si>
    <t>01010101</t>
  </si>
  <si>
    <t>신규호표 1</t>
  </si>
  <si>
    <t>56D721037238540E9D307EF2D93E5A</t>
  </si>
  <si>
    <t>T</t>
  </si>
  <si>
    <t>F</t>
  </si>
  <si>
    <t>0101010156D721037238540E9D307EF2D93E5A</t>
  </si>
  <si>
    <t>신규호표 2</t>
  </si>
  <si>
    <t>56D72103723884C205FF9F5B17316B</t>
  </si>
  <si>
    <t>0101010156D72103723884C205FF9F5B17316B</t>
  </si>
  <si>
    <t>신규호표 3</t>
  </si>
  <si>
    <t>56D721037238E46A4237DB110EC84A</t>
  </si>
  <si>
    <t>0101010156D721037238E46A4237DB110EC84A</t>
  </si>
  <si>
    <t>56D721037238E46A4237DB110EC952</t>
  </si>
  <si>
    <t>0101010156D721037238E46A4237DB110EC952</t>
  </si>
  <si>
    <t>신규호표 5</t>
  </si>
  <si>
    <t>56D721037238E46A4237DB110ECFFA</t>
  </si>
  <si>
    <t>0101010156D721037238E46A4237DB110ECFFA</t>
  </si>
  <si>
    <t>신규호표 6</t>
  </si>
  <si>
    <t>56D721037238E46A4237DB110ECFFE</t>
  </si>
  <si>
    <t>0101010156D721037238E46A4237DB110ECFFE</t>
  </si>
  <si>
    <t>신규호표 7</t>
  </si>
  <si>
    <t>56D721037238E46A4237DB110FD271</t>
  </si>
  <si>
    <t>0101010156D721037238E46A4237DB110FD271</t>
  </si>
  <si>
    <t>신규호표 8</t>
  </si>
  <si>
    <t>56D721037238F471B0B3142049583E</t>
  </si>
  <si>
    <t>0101010156D721037238F471B0B3142049583E</t>
  </si>
  <si>
    <t>신규호표 9</t>
  </si>
  <si>
    <t>56D721037238F471B0B31420484E79</t>
  </si>
  <si>
    <t>0101010156D721037238F471B0B31420484E79</t>
  </si>
  <si>
    <t>56D721037238F471B0B317F58E47CF</t>
  </si>
  <si>
    <t>0101010156D721037238F471B0B317F58E47CF</t>
  </si>
  <si>
    <t>신규호표 11</t>
  </si>
  <si>
    <t>56D721037238F471B0B3116C8247CE</t>
  </si>
  <si>
    <t>0101010156D721037238F471B0B3116C8247CE</t>
  </si>
  <si>
    <t>신규호표 12</t>
  </si>
  <si>
    <t>56D721037238F471B0B3116C824479</t>
  </si>
  <si>
    <t>0101010156D721037238F471B0B3116C824479</t>
  </si>
  <si>
    <t>56D72103723894E928313064EEF829</t>
  </si>
  <si>
    <t>0101010156D72103723894E928313064EEF829</t>
  </si>
  <si>
    <t>신규호표 14</t>
  </si>
  <si>
    <t>56D721037238540E9C28625D5C9B1A</t>
  </si>
  <si>
    <t>0101010156D721037238540E9C28625D5C9B1A</t>
  </si>
  <si>
    <t>신규호표 15</t>
  </si>
  <si>
    <t>56D721037238540E9C28625D5C9B1B</t>
  </si>
  <si>
    <t>0101010156D721037238540E9C28625D5C9B1B</t>
  </si>
  <si>
    <t>신규호표 16</t>
  </si>
  <si>
    <t>56D721037238540E9C28625D5C9B1D</t>
  </si>
  <si>
    <t>0101010156D721037238540E9C28625D5C9B1D</t>
  </si>
  <si>
    <t>신규호표 17</t>
  </si>
  <si>
    <t>56D721037238540E9C28625D5C9A70</t>
  </si>
  <si>
    <t>0101010156D721037238540E9C28625D5C9A70</t>
  </si>
  <si>
    <t>신규호표 18</t>
  </si>
  <si>
    <t>56D72103703DD43A1ED2B005ADF627</t>
  </si>
  <si>
    <t>0101010156D72103703DD43A1ED2B005ADF627</t>
  </si>
  <si>
    <t>신규호표 19</t>
  </si>
  <si>
    <t>56D72103723894E92CAB35A83F0DCD</t>
  </si>
  <si>
    <t>0101010156D72103723894E92CAB35A83F0DCD</t>
  </si>
  <si>
    <t>파상형 폴리에틸렌 전선관</t>
    <phoneticPr fontId="17" type="noConversion"/>
  </si>
  <si>
    <t>56D721037238446715351CA32E7F48</t>
  </si>
  <si>
    <t>0101010156D721037238446715351CA32E7F48</t>
  </si>
  <si>
    <t>56D721037238446715351CA32E7EA0</t>
  </si>
  <si>
    <t>0101010156D721037238446715351CA32E7EA0</t>
  </si>
  <si>
    <t>신규호표 22</t>
  </si>
  <si>
    <t>56D721037238446715351CA32E7EA3</t>
  </si>
  <si>
    <t>0101010156D721037238446715351CA32E7EA3</t>
  </si>
  <si>
    <t>신규호표 23</t>
  </si>
  <si>
    <t>56D721037238446715351CA32E793E</t>
  </si>
  <si>
    <t>0101010156D721037238446715351CA32E793E</t>
  </si>
  <si>
    <t>신규호표 24</t>
  </si>
  <si>
    <t>56D721037238446715351CA32E7819</t>
  </si>
  <si>
    <t>0101010156D721037238446715351CA32E7819</t>
  </si>
  <si>
    <t>56D72103723894E928313793BD42CF</t>
  </si>
  <si>
    <t>0101010156D72103723894E928313793BD42CF</t>
  </si>
  <si>
    <t>신규호표 26</t>
  </si>
  <si>
    <t>56D721037238540E9D307EF2D93456</t>
  </si>
  <si>
    <t>0101010156D721037238540E9D307EF2D93456</t>
  </si>
  <si>
    <t>신규호표 27</t>
  </si>
  <si>
    <t>56D721037238540E9D307EF2DBEACF</t>
  </si>
  <si>
    <t>0101010156D721037238540E9D307EF2DBEACF</t>
  </si>
  <si>
    <t>신규호표 28</t>
  </si>
  <si>
    <t>56D721037238540E9D307EF2DBEBE9</t>
  </si>
  <si>
    <t>0101010156D721037238540E9D307EF2DBEBE9</t>
  </si>
  <si>
    <t>신규호표 29</t>
  </si>
  <si>
    <t>56D721037238540E9D307EF2DBEBEC</t>
  </si>
  <si>
    <t>0101010156D721037238540E9D307EF2DBEBEC</t>
  </si>
  <si>
    <t>신규호표 30</t>
  </si>
  <si>
    <t>56D721037238540E9D307CC4DD9E9E</t>
  </si>
  <si>
    <t>0101010156D721037238540E9D307CC4DD9E9E</t>
  </si>
  <si>
    <t>569DE103C338D485C142AB2FBA6AB2</t>
  </si>
  <si>
    <t>01010101569DE103C338D485C142AB2FBA6AB2</t>
  </si>
  <si>
    <t>569DE103C53B84CC97FB4DEFFA0997</t>
  </si>
  <si>
    <t>01010101569DE103C53B84CC97FB4DEFFA0997</t>
  </si>
  <si>
    <t>신규호표 33</t>
  </si>
  <si>
    <t>56D72103723894E92F608073667515</t>
  </si>
  <si>
    <t>0101010156D72103723894E92F608073667515</t>
  </si>
  <si>
    <t>[ 합           계 ]</t>
  </si>
  <si>
    <t>TOTAL</t>
  </si>
  <si>
    <t>1-1-2.옥외조명전원설비공사</t>
  </si>
  <si>
    <t>01010102</t>
  </si>
  <si>
    <t>56D721037238540E9FFE4D14B82D67</t>
  </si>
  <si>
    <t>0101010256D721037238540E9FFE4D14B82D67</t>
  </si>
  <si>
    <t>신규호표 35</t>
  </si>
  <si>
    <t>56D721037238E46A4237DB110EC84B</t>
  </si>
  <si>
    <t>0101010256D721037238E46A4237DB110EC84B</t>
  </si>
  <si>
    <t>0101010256D721037238E46A4237DB110EC952</t>
  </si>
  <si>
    <t>0101010256D721037238F471B0B317F58E47CF</t>
  </si>
  <si>
    <t>56D721037238F471B0B317F58E4080</t>
  </si>
  <si>
    <t>0101010256D721037238F471B0B317F58E4080</t>
  </si>
  <si>
    <t>56D72103723894E928313793BD474E</t>
  </si>
  <si>
    <t>0101010256D72103723894E928313793BD474E</t>
  </si>
  <si>
    <t>0101010256D72103723894E928313064EEF829</t>
  </si>
  <si>
    <t>0101010256D721037238446715351CA32E7F48</t>
  </si>
  <si>
    <t>0101010256D721037238446715351CA32E7EA0</t>
  </si>
  <si>
    <t>56D721037238F471B15A9EE9FA6830</t>
  </si>
  <si>
    <t>0101010256D721037238F471B15A9EE9FA6830</t>
  </si>
  <si>
    <t>56D721037238540E9D307EF2DEBCF5</t>
  </si>
  <si>
    <t>0101010256D721037238540E9D307EF2DEBCF5</t>
  </si>
  <si>
    <t>56D721037238540E9D307EF2DEBCF4</t>
  </si>
  <si>
    <t>0101010256D721037238540E9D307EF2DEBCF4</t>
  </si>
  <si>
    <t>56D72103723894E928313793BD43D0</t>
  </si>
  <si>
    <t>0101010256D72103723894E928313793BD43D0</t>
  </si>
  <si>
    <t>56D721037238540E9D307EF2DBEBED</t>
  </si>
  <si>
    <t>0101010256D721037238540E9D307EF2DBEBED</t>
  </si>
  <si>
    <t>56D721037238540E9D307EF2DBEBE8</t>
  </si>
  <si>
    <t>0101010256D721037238540E9D307EF2DBEBE8</t>
  </si>
  <si>
    <t>0101010256D72103723894E928313793BD42CF</t>
  </si>
  <si>
    <t>56D72103723894E928313793BD42CE</t>
  </si>
  <si>
    <t>0101010256D72103723894E928313793BD42CE</t>
  </si>
  <si>
    <t>56D72103723894E928313793BD43D6</t>
  </si>
  <si>
    <t>0101010256D72103723894E928313793BD43D6</t>
  </si>
  <si>
    <t>56D721037238540E9D307EF2DAC10C</t>
  </si>
  <si>
    <t>0101010256D721037238540E9D307EF2DAC10C</t>
  </si>
  <si>
    <t>56D721037238540E9D307DEBE760FE</t>
  </si>
  <si>
    <t>0101010256D721037238540E9D307DEBE760FE</t>
  </si>
  <si>
    <t>56D721037238540E9D307DEBE760FC</t>
  </si>
  <si>
    <t>0101010256D721037238540E9D307DEBE760FC</t>
  </si>
  <si>
    <t>56D721037238540E9D307DEBE760FD</t>
  </si>
  <si>
    <t>0101010256D721037238540E9D307DEBE760FD</t>
  </si>
  <si>
    <t>56D72103723894E928313793BD43D1</t>
  </si>
  <si>
    <t>0101010256D72103723894E928313793BD43D1</t>
  </si>
  <si>
    <t>56D72103723894E92CAB35A83F0DCE</t>
  </si>
  <si>
    <t>0101010256D72103723894E92CAB35A83F0DCE</t>
  </si>
  <si>
    <t>01010102569DE103C338D485C142AB2FBA6AB2</t>
  </si>
  <si>
    <t>01010102569DE103C53B84CC97FB4DEFFA0997</t>
  </si>
  <si>
    <t>1-2-1.전력간선공사</t>
  </si>
  <si>
    <t>01010201</t>
  </si>
  <si>
    <t>경질비닐전선관</t>
    <phoneticPr fontId="17" type="noConversion"/>
  </si>
  <si>
    <t>신규호표 52</t>
  </si>
  <si>
    <t>56D721037238D443B9948C99B0D45B</t>
  </si>
  <si>
    <t>0101020156D721037238D443B9948C99B0D45B</t>
  </si>
  <si>
    <t>신규호표 53</t>
  </si>
  <si>
    <t>56D721037238D443B9948C99B0D608</t>
  </si>
  <si>
    <t>0101020156D721037238D443B9948C99B0D608</t>
  </si>
  <si>
    <t>신규호표 54</t>
  </si>
  <si>
    <t>56D721037238D443B9948C99B1F891</t>
  </si>
  <si>
    <t>0101020156D721037238D443B9948C99B1F891</t>
  </si>
  <si>
    <t>0101020156D72103723884C205FF9F5B17316B</t>
  </si>
  <si>
    <t>0101020156D721037238E46A4237DB110EC952</t>
  </si>
  <si>
    <t>0101020156D721037238E46A4237DB110ECFFA</t>
  </si>
  <si>
    <t>신규호표 55</t>
  </si>
  <si>
    <t>56D721037238E46A4237DB110ECFFD</t>
  </si>
  <si>
    <t>0101020156D721037238E46A4237DB110ECFFD</t>
  </si>
  <si>
    <t>신규호표 56</t>
  </si>
  <si>
    <t>56D721037238F471B0B314204849F6</t>
  </si>
  <si>
    <t>0101020156D721037238F471B0B314204849F6</t>
  </si>
  <si>
    <t>0101020156D721037238F471B0B317F58E4080</t>
  </si>
  <si>
    <t>0101020156D721037238F471B0B3116C8247CE</t>
  </si>
  <si>
    <t>0101020156D721037238F471B0B3116C824479</t>
  </si>
  <si>
    <t>신규호표 57</t>
  </si>
  <si>
    <t>56D721037238F471B0B3116C824BA9</t>
  </si>
  <si>
    <t>0101020156D721037238F471B0B3116C824BA9</t>
  </si>
  <si>
    <t>0101020156D721037238540E9C28625D5C9B1A</t>
  </si>
  <si>
    <t>0101020156D721037238540E9C28625D5C9B1B</t>
  </si>
  <si>
    <t>신규호표 58</t>
  </si>
  <si>
    <t>56D721037238540E9C28625D5C9B10</t>
  </si>
  <si>
    <t>0101020156D721037238540E9C28625D5C9B10</t>
  </si>
  <si>
    <t>신규호표 59</t>
  </si>
  <si>
    <t>56D721037238540E9C28625D5C9A76</t>
  </si>
  <si>
    <t>0101020156D721037238540E9C28625D5C9A76</t>
  </si>
  <si>
    <t>신규호표 60</t>
  </si>
  <si>
    <t>56D72103713E442CD0A2B4891C2293</t>
  </si>
  <si>
    <t>0101020156D72103713E442CD0A2B4891C2293</t>
  </si>
  <si>
    <t>신규호표 61</t>
  </si>
  <si>
    <t>56D72103713E442CD0A2B4891C244D</t>
  </si>
  <si>
    <t>0101020156D72103713E442CD0A2B4891C244D</t>
  </si>
  <si>
    <t>신규호표 62</t>
  </si>
  <si>
    <t>56D72103713E442CD0A2B4891C244C</t>
  </si>
  <si>
    <t>0101020156D72103713E442CD0A2B4891C244C</t>
  </si>
  <si>
    <t>신규호표 63</t>
  </si>
  <si>
    <t>56D72103713E442CD0A2B4891C244F</t>
  </si>
  <si>
    <t>0101020156D72103713E442CD0A2B4891C244F</t>
  </si>
  <si>
    <t>신규호표 64</t>
  </si>
  <si>
    <t>56D72103713E442CD0A2B4891C244E</t>
  </si>
  <si>
    <t>0101020156D72103713E442CD0A2B4891C244E</t>
  </si>
  <si>
    <t>1-2-2.전열공사</t>
  </si>
  <si>
    <t>01010202</t>
  </si>
  <si>
    <t>0101020256D721037238D443B9948C99B0D45B</t>
  </si>
  <si>
    <t>신규호표 65</t>
  </si>
  <si>
    <t>56D721037238D443BABB9662C14F9A</t>
  </si>
  <si>
    <t>0101020256D721037238D443BABB9662C14F9A</t>
  </si>
  <si>
    <t>신규호표 66</t>
  </si>
  <si>
    <t>56D72103703DA466B9C9A6134B41D3</t>
  </si>
  <si>
    <t>0101020256D72103703DA466B9C9A6134B41D3</t>
  </si>
  <si>
    <t>신규호표 67</t>
  </si>
  <si>
    <t>56D721037238E46A400B8D6C8BEB92</t>
  </si>
  <si>
    <t>0101020256D721037238E46A400B8D6C8BEB92</t>
  </si>
  <si>
    <t>0101020256D721037238E46A4237DB110EC84B</t>
  </si>
  <si>
    <t>신규호표 68</t>
  </si>
  <si>
    <t>56D721037238F471B0B3116C82409F</t>
  </si>
  <si>
    <t>0101020256D721037238F471B0B3116C82409F</t>
  </si>
  <si>
    <t>신규호표 69</t>
  </si>
  <si>
    <t>56D721037238540E9D307970DE8BAA</t>
  </si>
  <si>
    <t>0101020256D721037238540E9D307970DE8BAA</t>
  </si>
  <si>
    <t>신규호표 70</t>
  </si>
  <si>
    <t>56D721037238540E9D307970DE847D</t>
  </si>
  <si>
    <t>0101020256D721037238540E9D307970DE847D</t>
  </si>
  <si>
    <t>신규호표 71</t>
  </si>
  <si>
    <t>56D721037238540E9D307970DE8BA9</t>
  </si>
  <si>
    <t>0101020256D721037238540E9D307970DE8BA9</t>
  </si>
  <si>
    <t>1-3-3.전등공사</t>
  </si>
  <si>
    <t>01010203</t>
  </si>
  <si>
    <t>0101020356D721037238D443BABB9662C14F9A</t>
  </si>
  <si>
    <t>신규호표 72</t>
  </si>
  <si>
    <t>56D721037238D443BD0FD4A2004080</t>
  </si>
  <si>
    <t>0101020356D721037238D443BD0FD4A2004080</t>
  </si>
  <si>
    <t>51B74103823624F9511499FEE08044DD401679</t>
  </si>
  <si>
    <t>0101020351B74103823624F9511499FEE08044DD401679</t>
  </si>
  <si>
    <t>신규호표 73</t>
  </si>
  <si>
    <t>56D721037238540E9FFE4C0D47DAB6</t>
  </si>
  <si>
    <t>0101020356D721037238540E9FFE4C0D47DAB6</t>
  </si>
  <si>
    <t>신규호표 74</t>
  </si>
  <si>
    <t>56D721037238540E9FFE4C0D47DB5D</t>
  </si>
  <si>
    <t>0101020356D721037238540E9FFE4C0D47DB5D</t>
  </si>
  <si>
    <t>신규호표 75</t>
  </si>
  <si>
    <t>56D721037238540E9FFE4C0D46353C</t>
  </si>
  <si>
    <t>0101020356D721037238540E9FFE4C0D46353C</t>
  </si>
  <si>
    <t>신규호표 76</t>
  </si>
  <si>
    <t>56D721037238E46A400B8D6C8BEA8A</t>
  </si>
  <si>
    <t>0101020356D721037238E46A400B8D6C8BEA8A</t>
  </si>
  <si>
    <t>신규호표 77</t>
  </si>
  <si>
    <t>56D721037238540E9D307970DCD225</t>
  </si>
  <si>
    <t>0101020356D721037238540E9D307970DCD225</t>
  </si>
  <si>
    <t>신규호표 78</t>
  </si>
  <si>
    <t>56D721037238540E9D307970DCD224</t>
  </si>
  <si>
    <t>0101020356D721037238540E9D307970DCD224</t>
  </si>
  <si>
    <t>신규호표 79</t>
  </si>
  <si>
    <t>56D721037238540E9D307970DCD227</t>
  </si>
  <si>
    <t>0101020356D721037238540E9D307970DCD227</t>
  </si>
  <si>
    <t>신규호표 80</t>
  </si>
  <si>
    <t>56D721037238540E9D307970DCD226</t>
  </si>
  <si>
    <t>0101020356D721037238540E9D307970DCD226</t>
  </si>
  <si>
    <t>신규호표 81</t>
  </si>
  <si>
    <t>56D721037238540E9D307EF2DBEACE</t>
  </si>
  <si>
    <t>0101020356D721037238540E9D307EF2DBEACE</t>
  </si>
  <si>
    <t>51B74103823624F9511499FEE08044DD4013AB</t>
  </si>
  <si>
    <t>0101020351B74103823624F9511499FEE08044DD4013AB</t>
  </si>
  <si>
    <t>51B74103823624F9511499FEE08044DD4013A8</t>
  </si>
  <si>
    <t>0101020351B74103823624F9511499FEE08044DD4013A8</t>
  </si>
  <si>
    <t>신규호표 82</t>
  </si>
  <si>
    <t>56D721037238540E9D307EF2DEBCF6</t>
  </si>
  <si>
    <t>0101020356D721037238540E9D307EF2DEBCF6</t>
  </si>
  <si>
    <t>신규호표 83</t>
  </si>
  <si>
    <t>56D721037238540E9D307EF2DEBCFE</t>
  </si>
  <si>
    <t>0101020356D721037238540E9D307EF2DEBCFE</t>
  </si>
  <si>
    <t>신규호표 84</t>
  </si>
  <si>
    <t>56D721037238540E9D307EF2DEBD9E</t>
  </si>
  <si>
    <t>0101020356D721037238540E9D307EF2DEBD9E</t>
  </si>
  <si>
    <t>신규호표 85</t>
  </si>
  <si>
    <t>56D721037238540E9D307EF2DEBD9F</t>
  </si>
  <si>
    <t>0101020356D721037238540E9D307EF2DEBD9F</t>
  </si>
  <si>
    <t>신규호표 86</t>
  </si>
  <si>
    <t>56D721037238540E9D307EF2DEBD9C</t>
  </si>
  <si>
    <t>0101020356D721037238540E9D307EF2DEBD9C</t>
  </si>
  <si>
    <t>신규호표 87</t>
  </si>
  <si>
    <t>56D721037238540E9D307EF2DEBD9D</t>
  </si>
  <si>
    <t>0101020356D721037238540E9D307EF2DEBD9D</t>
  </si>
  <si>
    <t>신규호표 88</t>
  </si>
  <si>
    <t>56D721037238540E9D307EF2DEBD9A</t>
  </si>
  <si>
    <t>0101020356D721037238540E9D307EF2DEBD9A</t>
  </si>
  <si>
    <t>신규호표 89</t>
  </si>
  <si>
    <t>56D721037238540E9D307EF2DEBD9B</t>
  </si>
  <si>
    <t>0101020356D721037238540E9D307EF2DEBD9B</t>
  </si>
  <si>
    <t>신규호표 90</t>
  </si>
  <si>
    <t>56D721037238540E9D307EF2DEBD98</t>
  </si>
  <si>
    <t>0101020356D721037238540E9D307EF2DEBD98</t>
  </si>
  <si>
    <t>1-3-4.냉난방공사</t>
  </si>
  <si>
    <t>01010204</t>
  </si>
  <si>
    <t>0101020456D721037238D443BABB9662C14F9A</t>
  </si>
  <si>
    <t>0101020456D721037238D443BD0FD4A2004080</t>
  </si>
  <si>
    <t>신규호표 91</t>
  </si>
  <si>
    <t>56D721037238D443BD0FD4A2004BAB</t>
  </si>
  <si>
    <t>0101020456D721037238D443BD0FD4A2004BAB</t>
  </si>
  <si>
    <t>신규호표 92</t>
  </si>
  <si>
    <t>56D721037238D443BD0FD4A2004500</t>
  </si>
  <si>
    <t>0101020456D721037238D443BD0FD4A2004500</t>
  </si>
  <si>
    <t>0101020451B74103823624F9511499FEE08044DD401679</t>
  </si>
  <si>
    <t>51B74103823624F9511499FEE08044DD4010DC</t>
  </si>
  <si>
    <t>0101020451B74103823624F9511499FEE08044DD4010DC</t>
  </si>
  <si>
    <t>51B74103823624F9511499FEE08044DD4013A9</t>
  </si>
  <si>
    <t>0101020451B74103823624F9511499FEE08044DD4013A9</t>
  </si>
  <si>
    <t>0101020456D721037238540E9FFE4C0D47DAB6</t>
  </si>
  <si>
    <t>0101020456D721037238540E9FFE4C0D46353C</t>
  </si>
  <si>
    <t>신규호표 93</t>
  </si>
  <si>
    <t>56D721037238E46A400B8D6C8BEB90</t>
  </si>
  <si>
    <t>0101020456D721037238E46A400B8D6C8BEB90</t>
  </si>
  <si>
    <t>0101020456D721037238E46A4237DB110EC84B</t>
  </si>
  <si>
    <t>신규호표 94</t>
  </si>
  <si>
    <t>56D721037238E46A4237DB110ECFFC</t>
  </si>
  <si>
    <t>0101020456D721037238E46A4237DB110ECFFC</t>
  </si>
  <si>
    <t>0101020456D721037238F471B0B3116C824BA9</t>
  </si>
  <si>
    <t>0101020456D721037238F471B0B3116C82409F</t>
  </si>
  <si>
    <t>0101020456D721037238F471B0B3116C824479</t>
  </si>
  <si>
    <t>0101020456D721037238540E9C28625D5C9B1A</t>
  </si>
  <si>
    <t>0101020456D721037238540E9C28625D5C9B1B</t>
  </si>
  <si>
    <t>2-1.분전반</t>
  </si>
  <si>
    <t>010201</t>
  </si>
  <si>
    <t>분전반 계량기함</t>
    <phoneticPr fontId="17" type="noConversion"/>
  </si>
  <si>
    <t>분전반 LP-M</t>
    <phoneticPr fontId="17" type="noConversion"/>
  </si>
  <si>
    <t>51B74103823604CB5DC99694ABEE7E5BCDC79D</t>
  </si>
  <si>
    <t>관급자재</t>
  </si>
  <si>
    <t>01020151B74103823604CB5DC99694ABEE7E5BCDC79D</t>
  </si>
  <si>
    <t>51B74103823604CB5DC99694ABEE7E5BCDC5E8</t>
  </si>
  <si>
    <t>01020151B74103823604CB5DC99694ABEE7E5BCDC5E8</t>
  </si>
  <si>
    <t>51B74103823604CB5DC99694ABEE7E5BCDC4C4</t>
  </si>
  <si>
    <t>01020151B74103823604CB5DC99694ABEE7E5BCDC4C4</t>
  </si>
  <si>
    <t>51B74103823604CB5DC99694ABEE7E5BCDC79C</t>
  </si>
  <si>
    <t>01020151B74103823604CB5DC99694ABEE7E5BCDC79C</t>
  </si>
  <si>
    <t>51B74103823604CB5DC99694ABEE7E5BCDC4C5</t>
  </si>
  <si>
    <t>01020151B74103823604CB5DC99694ABEE7E5BCDC4C5</t>
  </si>
  <si>
    <t>51B74103823604CB5DC99694ABEE7E5BCDC4C2</t>
  </si>
  <si>
    <t>01020151B74103823604CB5DC99694ABEE7E5BCDC4C2</t>
  </si>
  <si>
    <t>51B74103823604CB5DC99694ABEE7E5BCDC4C3</t>
  </si>
  <si>
    <t>01020151B74103823604CB5DC99694ABEE7E5BCDC4C3</t>
  </si>
  <si>
    <t>소계</t>
    <phoneticPr fontId="17" type="noConversion"/>
  </si>
  <si>
    <t>식</t>
    <phoneticPr fontId="17" type="noConversion"/>
  </si>
  <si>
    <t>계</t>
    <phoneticPr fontId="17" type="noConversion"/>
  </si>
  <si>
    <t>절상 176</t>
    <phoneticPr fontId="17" type="noConversion"/>
  </si>
  <si>
    <t>2-2.조명설비</t>
  </si>
  <si>
    <t>010202</t>
  </si>
  <si>
    <t>조명기구 TYPE "A"</t>
  </si>
  <si>
    <t>라인조명 LED 22W</t>
  </si>
  <si>
    <t>51B74103823604CB5ED508F8E17340BF20A775</t>
  </si>
  <si>
    <t>01020251B74103823604CB5ED508F8E17340BF20A775</t>
  </si>
  <si>
    <t>조명기구 TYPE "B"</t>
  </si>
  <si>
    <t>샹들리애 LED 40W</t>
  </si>
  <si>
    <t>51B74103823604CB5ED508F8E17340BF20A776</t>
  </si>
  <si>
    <t>01020251B74103823604CB5ED508F8E17340BF20A776</t>
  </si>
  <si>
    <t>조명기구 TYPE "C"</t>
  </si>
  <si>
    <t>팬던트등 LED 10W</t>
  </si>
  <si>
    <t>51B74103823604CB5ED508F8E17340BF20A777</t>
  </si>
  <si>
    <t>01020251B74103823604CB5ED508F8E17340BF20A777</t>
  </si>
  <si>
    <t>조명기구 TYPE "D"</t>
  </si>
  <si>
    <t>직부등 LED 40W</t>
  </si>
  <si>
    <t>51B74103823604CB5ED508F8E17340BF20A778</t>
  </si>
  <si>
    <t>01020251B74103823604CB5ED508F8E17340BF20A778</t>
  </si>
  <si>
    <t>조명기구 TYPE "E"</t>
  </si>
  <si>
    <t>직부등 LED 25W</t>
  </si>
  <si>
    <t>51B74103823604CB5ED508F8E17340BF20A779</t>
  </si>
  <si>
    <t>01020251B74103823604CB5ED508F8E17340BF20A779</t>
  </si>
  <si>
    <t>조명기구 TYPE "F"</t>
  </si>
  <si>
    <t>스포트라이트 LED 10W</t>
  </si>
  <si>
    <t>51B74103823604CB5ED508F8E17340BF20A66C</t>
  </si>
  <si>
    <t>01020251B74103823604CB5ED508F8E17340BF20A66C</t>
  </si>
  <si>
    <t>51B74103823604CB5ED508F8E17340BF20A66F</t>
  </si>
  <si>
    <t>01020251B74103823604CB5ED508F8E17340BF20A66F</t>
  </si>
  <si>
    <t>51B74103823604CB5ED508F8E17340BF20A66E</t>
  </si>
  <si>
    <t>지급자재</t>
  </si>
  <si>
    <t>01020251B74103823604CB5ED508F8E17340BF20A66E</t>
  </si>
  <si>
    <t>51B74103823604CB5ED508F8E17340BF20A661</t>
  </si>
  <si>
    <t>01020251B74103823604CB5ED508F8E17340BF20A661</t>
  </si>
  <si>
    <t>51B74103823604CB5ED508F8E17340BF20A66B</t>
  </si>
  <si>
    <t>01020251B74103823604CB5ED508F8E17340BF20A66B</t>
  </si>
  <si>
    <t>51B74103823604CB5ED508F8E17340BF20A66A</t>
  </si>
  <si>
    <t>01020251B74103823604CB5ED508F8E17340BF20A66A</t>
  </si>
  <si>
    <t>51B74103823604CB5ED508F8E17340BF20A66D</t>
  </si>
  <si>
    <t>01020251B74103823604CB5ED508F8E17340BF20A66D</t>
  </si>
  <si>
    <t>51B74103823604CB5ED508F8E17340BF21B6B9</t>
  </si>
  <si>
    <t>01020251B74103823604CB5ED508F8E17340BF21B6B9</t>
  </si>
  <si>
    <t>51B74103823604CB5ED508F8E17340BF21B6BA</t>
  </si>
  <si>
    <t>01020251B74103823604CB5ED508F8E17340BF21B6BA</t>
  </si>
  <si>
    <t>51B74103823604CB5ED508F8E17340BF21B6BB</t>
  </si>
  <si>
    <t>01020251B74103823604CB5ED508F8E17340BF21B6BB</t>
  </si>
  <si>
    <t>51B74103823604CB5ED508F8E17340BF21B6B1</t>
  </si>
  <si>
    <t>01020251B74103823604CB5ED508F8E17340BF21B6B1</t>
  </si>
  <si>
    <t>3-1.태양광</t>
    <phoneticPr fontId="17" type="noConversion"/>
  </si>
  <si>
    <t>태양광</t>
    <phoneticPr fontId="17" type="noConversion"/>
  </si>
  <si>
    <t>107</t>
  </si>
  <si>
    <t>[ 평창 에코랜드 조성사업(전기) ] - 일위대가목차</t>
    <phoneticPr fontId="18" type="noConversion"/>
  </si>
  <si>
    <t>제 1호</t>
  </si>
  <si>
    <t xml:space="preserve">  </t>
    <phoneticPr fontId="18" type="noConversion"/>
  </si>
  <si>
    <t>56950120036</t>
  </si>
  <si>
    <t>제 2호</t>
  </si>
  <si>
    <t xml:space="preserve"> </t>
    <phoneticPr fontId="18" type="noConversion"/>
  </si>
  <si>
    <t>56950120104</t>
  </si>
  <si>
    <t>제 3호</t>
  </si>
  <si>
    <t>56950201000</t>
  </si>
  <si>
    <t>제 4호</t>
  </si>
  <si>
    <t>56950220300</t>
  </si>
  <si>
    <t>제 5호</t>
  </si>
  <si>
    <t>제 6호</t>
  </si>
  <si>
    <t>56951004517</t>
  </si>
  <si>
    <t>제 7호</t>
  </si>
  <si>
    <t>56959000166</t>
  </si>
  <si>
    <t>제 8호</t>
  </si>
  <si>
    <t>제 9호</t>
  </si>
  <si>
    <t>5975A337004</t>
  </si>
  <si>
    <t>제 10호</t>
  </si>
  <si>
    <t>5975A337010</t>
  </si>
  <si>
    <t>제 11호</t>
  </si>
  <si>
    <t>제 12호</t>
  </si>
  <si>
    <t>5975B467012</t>
  </si>
  <si>
    <t>제 13호</t>
  </si>
  <si>
    <t>5975B467014</t>
  </si>
  <si>
    <t>제 14호</t>
  </si>
  <si>
    <t>5975B467015</t>
  </si>
  <si>
    <t>제 15호</t>
  </si>
  <si>
    <t>5975B467016</t>
  </si>
  <si>
    <t>제 16호</t>
  </si>
  <si>
    <t>제 17호</t>
  </si>
  <si>
    <t>5975B467020</t>
  </si>
  <si>
    <t>제 18호</t>
  </si>
  <si>
    <t>제 19호</t>
  </si>
  <si>
    <t>M..</t>
  </si>
  <si>
    <t>제 20호</t>
  </si>
  <si>
    <t>5975D077001</t>
  </si>
  <si>
    <t>제 21호</t>
  </si>
  <si>
    <t>5975D077007</t>
  </si>
  <si>
    <t>제 22호</t>
  </si>
  <si>
    <t>5975D017003</t>
  </si>
  <si>
    <t>제 23호</t>
  </si>
  <si>
    <t>5975D017024</t>
  </si>
  <si>
    <t>제 24호</t>
  </si>
  <si>
    <t>5975D017026</t>
  </si>
  <si>
    <t>제 25호</t>
  </si>
  <si>
    <t>5975D017064</t>
  </si>
  <si>
    <t>제 26호</t>
  </si>
  <si>
    <t>5975D017066</t>
  </si>
  <si>
    <t>제 27호</t>
  </si>
  <si>
    <t>5975E877200</t>
  </si>
  <si>
    <t>제 28호</t>
  </si>
  <si>
    <t>제 29호</t>
  </si>
  <si>
    <t>5975E877204</t>
  </si>
  <si>
    <t>제 30호</t>
  </si>
  <si>
    <t>5975E877205</t>
  </si>
  <si>
    <t>제 31호</t>
  </si>
  <si>
    <t>5975J017062</t>
  </si>
  <si>
    <t>제 32호</t>
  </si>
  <si>
    <t>5975J027001</t>
  </si>
  <si>
    <t>제 33호</t>
  </si>
  <si>
    <t>5975J027002</t>
  </si>
  <si>
    <t>제 34호</t>
  </si>
  <si>
    <t>제 35호</t>
  </si>
  <si>
    <t>5975J027007</t>
  </si>
  <si>
    <t>제 36호</t>
  </si>
  <si>
    <t>5975D767011</t>
  </si>
  <si>
    <t>제 37호</t>
  </si>
  <si>
    <t>5975D767041</t>
  </si>
  <si>
    <t>제 38호</t>
  </si>
  <si>
    <t>제 39호</t>
  </si>
  <si>
    <t>제 40호</t>
  </si>
  <si>
    <t>5975D767221</t>
  </si>
  <si>
    <t>제 41호</t>
  </si>
  <si>
    <t>5975D767251</t>
  </si>
  <si>
    <t>제 42호</t>
  </si>
  <si>
    <t>제 43호</t>
  </si>
  <si>
    <t>제 44호</t>
  </si>
  <si>
    <t>5975D857031</t>
  </si>
  <si>
    <t>제 45호</t>
  </si>
  <si>
    <t>5975D857101</t>
  </si>
  <si>
    <t>제 46호</t>
  </si>
  <si>
    <t>5975D857131</t>
  </si>
  <si>
    <t>제 47호</t>
  </si>
  <si>
    <t>제 48호</t>
  </si>
  <si>
    <t>56959000167</t>
  </si>
  <si>
    <t>제 49호</t>
  </si>
  <si>
    <t>제 50호</t>
  </si>
  <si>
    <t>E145A927203</t>
  </si>
  <si>
    <t>제 51호</t>
  </si>
  <si>
    <t>E145A927212</t>
  </si>
  <si>
    <t>제 52호</t>
  </si>
  <si>
    <t>E145A927213</t>
  </si>
  <si>
    <t>제 53호</t>
  </si>
  <si>
    <t>E145A287514</t>
  </si>
  <si>
    <t>제 54호</t>
  </si>
  <si>
    <t>E145A287516</t>
  </si>
  <si>
    <t>제 55호</t>
  </si>
  <si>
    <t>E145A287563</t>
  </si>
  <si>
    <t>제 56호</t>
  </si>
  <si>
    <t>5930B517201</t>
  </si>
  <si>
    <t>제 57호</t>
  </si>
  <si>
    <t>5930B517202</t>
  </si>
  <si>
    <t>제 58호</t>
  </si>
  <si>
    <t>5930B517203</t>
  </si>
  <si>
    <t>제 59호</t>
  </si>
  <si>
    <t>제 60호</t>
  </si>
  <si>
    <t>제 61호</t>
  </si>
  <si>
    <t>E940A177027</t>
  </si>
  <si>
    <t>제 62호</t>
  </si>
  <si>
    <t>E940A177034</t>
  </si>
  <si>
    <t>제 63호</t>
  </si>
  <si>
    <t>E940A177028</t>
  </si>
  <si>
    <t>제 64호</t>
  </si>
  <si>
    <t>E940A177030</t>
  </si>
  <si>
    <t>제 65호</t>
  </si>
  <si>
    <t>E940A267008</t>
  </si>
  <si>
    <t>제 66호</t>
  </si>
  <si>
    <t>제 67호</t>
  </si>
  <si>
    <t>56959000168</t>
  </si>
  <si>
    <t>제 68호</t>
  </si>
  <si>
    <t>56959000169</t>
  </si>
  <si>
    <t>제 69호</t>
  </si>
  <si>
    <t>제 70호</t>
  </si>
  <si>
    <t>제 71호</t>
  </si>
  <si>
    <t>제 72호</t>
  </si>
  <si>
    <t>제 73호</t>
  </si>
  <si>
    <t>56959000174</t>
  </si>
  <si>
    <t>제 74호</t>
  </si>
  <si>
    <t>56959000175</t>
  </si>
  <si>
    <t>제 75호</t>
  </si>
  <si>
    <t>제 76호</t>
  </si>
  <si>
    <t>제 77호</t>
  </si>
  <si>
    <t>56959000178</t>
  </si>
  <si>
    <t>제 78호</t>
  </si>
  <si>
    <t>56959000179</t>
  </si>
  <si>
    <t>제 79호</t>
  </si>
  <si>
    <t>56959000180</t>
  </si>
  <si>
    <t>제 80호</t>
  </si>
  <si>
    <t>56959000181</t>
  </si>
  <si>
    <t>제 81호</t>
  </si>
  <si>
    <t>56959000182</t>
  </si>
  <si>
    <t>제 82호</t>
  </si>
  <si>
    <t>56959000183</t>
  </si>
  <si>
    <t>제 83호</t>
  </si>
  <si>
    <t>56959000184</t>
  </si>
  <si>
    <t>제 84호</t>
  </si>
  <si>
    <t>56959000185</t>
  </si>
  <si>
    <t>제 85호</t>
  </si>
  <si>
    <t>56959000186</t>
  </si>
  <si>
    <t>제 86호</t>
  </si>
  <si>
    <t>56959000187</t>
  </si>
  <si>
    <t>제 87호</t>
  </si>
  <si>
    <t>56959000188</t>
  </si>
  <si>
    <t>제 88호</t>
  </si>
  <si>
    <t>56959000189</t>
  </si>
  <si>
    <t>제 89호</t>
  </si>
  <si>
    <t>56959000190</t>
  </si>
  <si>
    <t>제 90호</t>
  </si>
  <si>
    <t>제 91호</t>
  </si>
  <si>
    <t>제 92호</t>
  </si>
  <si>
    <t>제 93호</t>
  </si>
  <si>
    <t>56959000194</t>
  </si>
  <si>
    <t>제 94호</t>
  </si>
  <si>
    <t>56959000195</t>
  </si>
  <si>
    <t>제 95호</t>
  </si>
  <si>
    <t>56959000196</t>
  </si>
  <si>
    <t>제 96호</t>
  </si>
  <si>
    <t>56959000197</t>
  </si>
  <si>
    <t>제 97호</t>
  </si>
  <si>
    <t>56959000198</t>
  </si>
  <si>
    <t>제 98호</t>
  </si>
  <si>
    <t>일 위 대 가 목 록</t>
  </si>
  <si>
    <t>코  드</t>
  </si>
  <si>
    <t>재 료 비</t>
  </si>
  <si>
    <t>노 무 비</t>
  </si>
  <si>
    <t>경    비</t>
  </si>
  <si>
    <t>합    계</t>
  </si>
  <si>
    <t>번  호</t>
  </si>
  <si>
    <t>비      고</t>
  </si>
  <si>
    <t>노임계수</t>
  </si>
  <si>
    <t>할증</t>
  </si>
  <si>
    <t>품셈개요</t>
  </si>
  <si>
    <t>장비일위</t>
  </si>
  <si>
    <t>호표 1</t>
  </si>
  <si>
    <t>전기 5-1</t>
  </si>
  <si>
    <t>호표 2</t>
  </si>
  <si>
    <t>전기 5-8</t>
  </si>
  <si>
    <t>호표 3</t>
  </si>
  <si>
    <t>전기 3-38</t>
  </si>
  <si>
    <t>호표 4</t>
  </si>
  <si>
    <t>호표 5</t>
  </si>
  <si>
    <t>호표 6</t>
  </si>
  <si>
    <t>호표 7</t>
  </si>
  <si>
    <t>호표 8</t>
  </si>
  <si>
    <t>전기 4-34</t>
  </si>
  <si>
    <t>호표 9</t>
  </si>
  <si>
    <t>전기 5-11</t>
  </si>
  <si>
    <t>호표 10</t>
  </si>
  <si>
    <t>전기 5-13</t>
  </si>
  <si>
    <t>호표 11</t>
  </si>
  <si>
    <t>호표 12</t>
  </si>
  <si>
    <t>호표 13</t>
  </si>
  <si>
    <t>전기 4-45</t>
  </si>
  <si>
    <t>호표 14</t>
  </si>
  <si>
    <t>전기 4-37</t>
  </si>
  <si>
    <t>호표 15</t>
  </si>
  <si>
    <t>호표 16</t>
  </si>
  <si>
    <t>호표 17</t>
  </si>
  <si>
    <t>호표 18</t>
  </si>
  <si>
    <t>전기 4-43-3</t>
  </si>
  <si>
    <t>호표 19</t>
  </si>
  <si>
    <t>호표 20</t>
  </si>
  <si>
    <t>전기 4-31</t>
  </si>
  <si>
    <t>호표 21</t>
  </si>
  <si>
    <t>호표 22</t>
  </si>
  <si>
    <t>호표 23</t>
  </si>
  <si>
    <t>호표 24</t>
  </si>
  <si>
    <t>호표 25</t>
  </si>
  <si>
    <t>단가산출</t>
  </si>
  <si>
    <t>호표 26</t>
  </si>
  <si>
    <t>전기 5-21</t>
  </si>
  <si>
    <t>호표 27</t>
  </si>
  <si>
    <t>전기 5-4</t>
  </si>
  <si>
    <t>호표 28</t>
  </si>
  <si>
    <t>호표 29</t>
  </si>
  <si>
    <t>전기 5-18-2</t>
  </si>
  <si>
    <t>호표 30</t>
  </si>
  <si>
    <t>전기 5-29</t>
  </si>
  <si>
    <t>호표 31</t>
  </si>
  <si>
    <t>단가산출 319P</t>
  </si>
  <si>
    <t>호표 32</t>
  </si>
  <si>
    <t>단가산출 74P</t>
  </si>
  <si>
    <t>호표 33</t>
  </si>
  <si>
    <t>전기 4-38,4-43-3</t>
  </si>
  <si>
    <t>호표 34</t>
  </si>
  <si>
    <t>호표 35</t>
  </si>
  <si>
    <t>호표 36</t>
  </si>
  <si>
    <t>호표 37</t>
  </si>
  <si>
    <t>전기 5-19</t>
  </si>
  <si>
    <t>호표 38</t>
  </si>
  <si>
    <t>전기 5-7</t>
  </si>
  <si>
    <t>호표 39</t>
  </si>
  <si>
    <t>전기 5-25-3</t>
  </si>
  <si>
    <t>호표 40</t>
  </si>
  <si>
    <t>전기 5-26-4</t>
  </si>
  <si>
    <t>호표 41</t>
  </si>
  <si>
    <t>전기 5-27-1</t>
  </si>
  <si>
    <t>호표 42</t>
  </si>
  <si>
    <t>호표 43</t>
  </si>
  <si>
    <t>호표 44</t>
  </si>
  <si>
    <t>호표 45</t>
  </si>
  <si>
    <t>호표 46</t>
  </si>
  <si>
    <t>전기 5-26-3</t>
  </si>
  <si>
    <t>호표 47</t>
  </si>
  <si>
    <t>전기 5-27.2</t>
  </si>
  <si>
    <t>호표 48</t>
  </si>
  <si>
    <t>호표 49</t>
  </si>
  <si>
    <t>호표 50</t>
  </si>
  <si>
    <t>호표 51</t>
  </si>
  <si>
    <t>호표 52</t>
  </si>
  <si>
    <t>호표 53</t>
  </si>
  <si>
    <t>호표 54</t>
  </si>
  <si>
    <t>호표 55</t>
  </si>
  <si>
    <t>호표 56</t>
  </si>
  <si>
    <t>호표 57</t>
  </si>
  <si>
    <t>호표 58</t>
  </si>
  <si>
    <t>호표 59</t>
  </si>
  <si>
    <t>호표 60</t>
  </si>
  <si>
    <t>호표 61</t>
  </si>
  <si>
    <t>호표 62</t>
  </si>
  <si>
    <t>호표 63</t>
  </si>
  <si>
    <t>호표 64</t>
  </si>
  <si>
    <t>호표 65</t>
  </si>
  <si>
    <t>호표 66</t>
  </si>
  <si>
    <t>전기 5-3</t>
  </si>
  <si>
    <t>450/750V 내열비닐절연전선</t>
    <phoneticPr fontId="17" type="noConversion"/>
  </si>
  <si>
    <t>HFIX 2.25mm(4㎟)</t>
    <phoneticPr fontId="17" type="noConversion"/>
  </si>
  <si>
    <t>호표 67</t>
  </si>
  <si>
    <t>전기 5-10</t>
  </si>
  <si>
    <t>호표 68</t>
  </si>
  <si>
    <t>호표 69</t>
  </si>
  <si>
    <t>전기 5-23.1</t>
  </si>
  <si>
    <t>호표 70</t>
  </si>
  <si>
    <t>호표 71</t>
  </si>
  <si>
    <t>호표 72</t>
  </si>
  <si>
    <t>호표 73</t>
  </si>
  <si>
    <t>호표 74</t>
  </si>
  <si>
    <t>호표 75</t>
  </si>
  <si>
    <t>HFIX 1.78mm(2.5㎟)</t>
    <phoneticPr fontId="17" type="noConversion"/>
  </si>
  <si>
    <t>호표 76</t>
  </si>
  <si>
    <t>호표 77</t>
  </si>
  <si>
    <t>전기 5-23.2</t>
  </si>
  <si>
    <t>호표 78</t>
  </si>
  <si>
    <t>호표 79</t>
  </si>
  <si>
    <t>호표 80</t>
  </si>
  <si>
    <t>호표 81</t>
  </si>
  <si>
    <t>호표 82</t>
  </si>
  <si>
    <t>호표 83</t>
  </si>
  <si>
    <t>호표 84</t>
  </si>
  <si>
    <t>호표 85</t>
  </si>
  <si>
    <t>호표 86</t>
  </si>
  <si>
    <t>호표 87</t>
  </si>
  <si>
    <t>호표 88</t>
  </si>
  <si>
    <t>호표 89</t>
  </si>
  <si>
    <t>호표 90</t>
  </si>
  <si>
    <t>호표 91</t>
  </si>
  <si>
    <t>호표 92</t>
  </si>
  <si>
    <t>호표 93</t>
  </si>
  <si>
    <t>호표 94</t>
  </si>
  <si>
    <t>569DE103C338D485C0BEAD2F683454</t>
  </si>
  <si>
    <t>터파기(기계)</t>
  </si>
  <si>
    <t>보통토사, 백호0.7m3</t>
  </si>
  <si>
    <t>호표 95</t>
  </si>
  <si>
    <t>토목 9-3</t>
  </si>
  <si>
    <t>569DE103C53B84CC97FB42C5A3863F</t>
  </si>
  <si>
    <t>토사, T=30cm</t>
  </si>
  <si>
    <t>호표 96</t>
  </si>
  <si>
    <t>토목 9-3, 9-11.3</t>
  </si>
  <si>
    <t>518A9103013724F1685F75AD9C0F34D01EE432AF</t>
  </si>
  <si>
    <t>트럭탑재형 크레인</t>
  </si>
  <si>
    <t>10ton</t>
  </si>
  <si>
    <t>HR</t>
  </si>
  <si>
    <t>호표 97</t>
  </si>
  <si>
    <t>A</t>
  </si>
  <si>
    <t>토목 11-5.9</t>
  </si>
  <si>
    <t>518A9103013724F3140E45C48689E0BF80D65EFF</t>
  </si>
  <si>
    <t>굴삭기(무한궤도)</t>
  </si>
  <si>
    <t>0.7 ㎥</t>
  </si>
  <si>
    <t>호표 98</t>
  </si>
  <si>
    <t>기계화 11-3 경비</t>
  </si>
  <si>
    <t>518A9103013724F276E3D28BB81D08B7F361D091</t>
  </si>
  <si>
    <t>래머</t>
  </si>
  <si>
    <t>80 kg</t>
  </si>
  <si>
    <t>호표 99</t>
  </si>
  <si>
    <t>기계화 11-11 경비</t>
  </si>
  <si>
    <t>569DE103C53B84CC904AAE85906EF1</t>
  </si>
  <si>
    <t>현장내 잔토처리</t>
  </si>
  <si>
    <t>소운반. 깔고 고르기</t>
  </si>
  <si>
    <t>호표 100</t>
  </si>
  <si>
    <t>토목 3-1-3.1</t>
  </si>
  <si>
    <t>705</t>
  </si>
  <si>
    <t>[ 평창 에코랜드 조성사업(전기) ] - 일위대가표</t>
    <phoneticPr fontId="18" type="noConversion"/>
  </si>
  <si>
    <t>목차코드</t>
    <phoneticPr fontId="18" type="noConversion"/>
  </si>
  <si>
    <t>일목줄</t>
    <phoneticPr fontId="18" type="noConversion"/>
  </si>
  <si>
    <t>EAA110120000</t>
    <phoneticPr fontId="18" type="noConversion"/>
  </si>
  <si>
    <t>[제 1호] 파이프행가  22 C [개소]</t>
  </si>
  <si>
    <t>59759017112</t>
  </si>
  <si>
    <t>파이프행거, 22 C</t>
  </si>
  <si>
    <t>53060327011</t>
  </si>
  <si>
    <t>행거볼트</t>
  </si>
  <si>
    <t>∮9×1000㎜</t>
  </si>
  <si>
    <t>53060807001</t>
  </si>
  <si>
    <t>스트롱앵커</t>
  </si>
  <si>
    <t>3/8</t>
  </si>
  <si>
    <t>53100027003</t>
  </si>
  <si>
    <t>6각너트</t>
  </si>
  <si>
    <t>M10</t>
  </si>
  <si>
    <t>52100327001</t>
  </si>
  <si>
    <t>스프링와샤</t>
  </si>
  <si>
    <t>D10</t>
  </si>
  <si>
    <t>56900017016</t>
  </si>
  <si>
    <t>내선전공</t>
  </si>
  <si>
    <t>인</t>
  </si>
  <si>
    <t>A0300000000</t>
  </si>
  <si>
    <t>[ 공 구 손 료 ]</t>
  </si>
  <si>
    <t>노무비의 2 %</t>
  </si>
  <si>
    <t>EAA110140000</t>
    <phoneticPr fontId="18" type="noConversion"/>
  </si>
  <si>
    <t>[제 2호] 파이프행가  36 C [개소]</t>
  </si>
  <si>
    <t>59759017114</t>
  </si>
  <si>
    <t>파이프행거, 36 C</t>
  </si>
  <si>
    <t>EAA110200000</t>
    <phoneticPr fontId="18" type="noConversion"/>
  </si>
  <si>
    <t>[제 3호] 파이프행가  104 C [개소]</t>
  </si>
  <si>
    <t>59759017119</t>
  </si>
  <si>
    <t>파이프행거, 104 C</t>
  </si>
  <si>
    <t>E56950201000</t>
    <phoneticPr fontId="18" type="noConversion"/>
  </si>
  <si>
    <t>[제 4호] 맨홀  1000x1000x1000 [개소]</t>
  </si>
  <si>
    <t>MMJ24303809</t>
  </si>
  <si>
    <t>핸드홀카바</t>
  </si>
  <si>
    <t>주철각형(1120x680x132)</t>
  </si>
  <si>
    <t>56300217297</t>
  </si>
  <si>
    <t>핸드홀</t>
  </si>
  <si>
    <t>59750427102</t>
  </si>
  <si>
    <t>14Φ×1000 mm</t>
  </si>
  <si>
    <t>E1450927209</t>
  </si>
  <si>
    <t>50㎟</t>
  </si>
  <si>
    <t>CA565826042</t>
  </si>
  <si>
    <t>종합적산68</t>
  </si>
  <si>
    <t>ild</t>
  </si>
  <si>
    <t>CA565826051</t>
  </si>
  <si>
    <t>CA565826044</t>
  </si>
  <si>
    <t>크레인</t>
  </si>
  <si>
    <t>트럭 탑재형 10 Ton</t>
  </si>
  <si>
    <t>분</t>
  </si>
  <si>
    <t>종합적산682</t>
  </si>
  <si>
    <t>ILD</t>
  </si>
  <si>
    <t>A0100000000</t>
  </si>
  <si>
    <t>[ 소모 잡자재 ]</t>
  </si>
  <si>
    <t>전선, 전선관의 2 %</t>
  </si>
  <si>
    <t>56900017041</t>
  </si>
  <si>
    <t>보통인부</t>
  </si>
  <si>
    <t>56900017118</t>
  </si>
  <si>
    <t>특별인부</t>
  </si>
  <si>
    <t>EAD110120000</t>
    <phoneticPr fontId="18" type="noConversion"/>
  </si>
  <si>
    <t>[제 5호] 접지공사  3종 [개소]</t>
  </si>
  <si>
    <t>59750427104</t>
  </si>
  <si>
    <t>16Φ×1800 mm</t>
  </si>
  <si>
    <t>59400077101</t>
  </si>
  <si>
    <t>접지봉 콘넥터</t>
  </si>
  <si>
    <t>일반형 Φ16</t>
  </si>
  <si>
    <t>59751777102</t>
  </si>
  <si>
    <t>접지첨가제</t>
  </si>
  <si>
    <t>접지저항저감제,아스판,10 Kg</t>
  </si>
  <si>
    <t>E56951004514</t>
    <phoneticPr fontId="18" type="noConversion"/>
  </si>
  <si>
    <t>[제 6호] 가로등중공기초  접지(유),500*800*700 [개소]</t>
  </si>
  <si>
    <t>MM599859674</t>
  </si>
  <si>
    <t>가로등중공기초(정방형)</t>
  </si>
  <si>
    <t>500x800x700</t>
  </si>
  <si>
    <t>CA565826048</t>
  </si>
  <si>
    <t>굴삭기</t>
  </si>
  <si>
    <t>0.2㎥</t>
  </si>
  <si>
    <t>CA565885400</t>
  </si>
  <si>
    <t>80kg</t>
  </si>
  <si>
    <t>167-하</t>
  </si>
  <si>
    <t>EA1000002000</t>
    <phoneticPr fontId="18" type="noConversion"/>
  </si>
  <si>
    <t>[제 7호] 가로등 건주 기계화 시공  일반 5m-7m [개소]</t>
  </si>
  <si>
    <t>CA565826045</t>
  </si>
  <si>
    <t>타이어 30 Ton</t>
  </si>
  <si>
    <t>종합적산680</t>
  </si>
  <si>
    <t>E56959000166</t>
    <phoneticPr fontId="18" type="noConversion"/>
  </si>
  <si>
    <t>[제 8호] 정원등중공기초  400x500x565x400 [개소]</t>
  </si>
  <si>
    <t>MMJ24368104</t>
  </si>
  <si>
    <t>가로등중공기초(직각형)</t>
  </si>
  <si>
    <t>E59750337002</t>
    <phoneticPr fontId="18" type="noConversion"/>
  </si>
  <si>
    <t>[제 9호] 강제전선관  아연도 22 mm [M.]</t>
  </si>
  <si>
    <t>59750337002</t>
  </si>
  <si>
    <t>A0500000000</t>
  </si>
  <si>
    <t>[ 배관 부속재 ]</t>
  </si>
  <si>
    <t>전선관의 15 %</t>
  </si>
  <si>
    <t>E59750337004</t>
    <phoneticPr fontId="18" type="noConversion"/>
  </si>
  <si>
    <t>[제 10호] 강제전선관  아연도 36 mm [M.]</t>
  </si>
  <si>
    <t>59750337004</t>
  </si>
  <si>
    <t>E59750337010</t>
    <phoneticPr fontId="18" type="noConversion"/>
  </si>
  <si>
    <t>[제 11호] 강제전선관  아연도 104 mm [M.]</t>
  </si>
  <si>
    <t>59750337010</t>
  </si>
  <si>
    <t>E59750337012</t>
    <phoneticPr fontId="18" type="noConversion"/>
  </si>
  <si>
    <t>[제 12호] 강제전선관(노출)  아연도 22 mm [M.]</t>
  </si>
  <si>
    <t>59750337012</t>
  </si>
  <si>
    <t>E59751467012</t>
    <phoneticPr fontId="18" type="noConversion"/>
  </si>
  <si>
    <t>[제 13호] 경질비닐전선관  HI 16 mm [M.]</t>
  </si>
  <si>
    <t>59751467012</t>
  </si>
  <si>
    <t>E59751467014</t>
    <phoneticPr fontId="18" type="noConversion"/>
  </si>
  <si>
    <t>[제 14호] 경질비닐전선관  HI 28 mm [M.]</t>
  </si>
  <si>
    <t>59751467014</t>
  </si>
  <si>
    <t>E59751467015</t>
    <phoneticPr fontId="18" type="noConversion"/>
  </si>
  <si>
    <t>[제 15호] 경질비닐전선관  HI 36 mm [M.]</t>
  </si>
  <si>
    <t>59751467015</t>
  </si>
  <si>
    <t>E59751467016</t>
    <phoneticPr fontId="18" type="noConversion"/>
  </si>
  <si>
    <t>[제 16호] 경질비닐전선관  HI 42 mm [M.]</t>
  </si>
  <si>
    <t>59751467016</t>
  </si>
  <si>
    <t>E59751467018</t>
    <phoneticPr fontId="18" type="noConversion"/>
  </si>
  <si>
    <t>[제 17호] 경질비닐전선관  HI 70 mm [M.]</t>
  </si>
  <si>
    <t>59751467018</t>
  </si>
  <si>
    <t>E59751467020</t>
    <phoneticPr fontId="18" type="noConversion"/>
  </si>
  <si>
    <t>[제 18호] 경질비닐전선관  HI 104 mm [M.]</t>
  </si>
  <si>
    <t>59751467020</t>
  </si>
  <si>
    <t>E59753097003</t>
    <phoneticPr fontId="18" type="noConversion"/>
  </si>
  <si>
    <t>[제 19호] 합성수지제 가요전선관  CD 난연성, 22㎜ [M..]</t>
  </si>
  <si>
    <t>59753097003</t>
  </si>
  <si>
    <t>CD-난연성 22㎜</t>
  </si>
  <si>
    <t>A0600000000</t>
  </si>
  <si>
    <t>CD 전선관의 40 %</t>
  </si>
  <si>
    <t>E59753097004</t>
    <phoneticPr fontId="18" type="noConversion"/>
  </si>
  <si>
    <t>[제 20호] 합성수지제 가요전선관  CD 난연성, 28㎜ [M..]</t>
  </si>
  <si>
    <t>59753097004</t>
  </si>
  <si>
    <t>CD-난연성 28㎜</t>
  </si>
  <si>
    <t>E59753077001</t>
    <phoneticPr fontId="18" type="noConversion"/>
  </si>
  <si>
    <t>[제 21호] 파상형 폴리에틸렌 전선관  30㎜ [M.]</t>
  </si>
  <si>
    <t>59753077001</t>
  </si>
  <si>
    <t>56900017031</t>
  </si>
  <si>
    <t>배전전공</t>
  </si>
  <si>
    <t>E59753077007</t>
    <phoneticPr fontId="18" type="noConversion"/>
  </si>
  <si>
    <t>[제 22호] 파상형 폴리에틸렌 전선관  125㎜ [M.]</t>
  </si>
  <si>
    <t>59753077007</t>
  </si>
  <si>
    <t>E59753017003</t>
    <phoneticPr fontId="18" type="noConversion"/>
  </si>
  <si>
    <t>[제 23호] 1종금속제가요전선관  16 mm 비방수 [M.]</t>
  </si>
  <si>
    <t>59753017003</t>
  </si>
  <si>
    <t>E59753017024</t>
    <phoneticPr fontId="18" type="noConversion"/>
  </si>
  <si>
    <t>[제 24호] 1종금속제가요전선관  비닐피복, 22 mm 방수 [M.]</t>
  </si>
  <si>
    <t>59753017024</t>
  </si>
  <si>
    <t>E59753017026</t>
    <phoneticPr fontId="18" type="noConversion"/>
  </si>
  <si>
    <t>[제 25호] 1종금속제가요전선관  비닐피복, 36 mm 방수 [M.]</t>
  </si>
  <si>
    <t>59753017026</t>
  </si>
  <si>
    <t>E59753017064</t>
    <phoneticPr fontId="18" type="noConversion"/>
  </si>
  <si>
    <t>[제 26호] 1종금속제가요전선관  박스커넥터-비닐,22mm 방수 [개]</t>
  </si>
  <si>
    <t>59753017064</t>
  </si>
  <si>
    <t>E59753017066</t>
    <phoneticPr fontId="18" type="noConversion"/>
  </si>
  <si>
    <t>[제 27호] 1종금속제가요전선관  박스커넥터-비닐,36mm 방수 [개]</t>
  </si>
  <si>
    <t>59753017066</t>
  </si>
  <si>
    <t>E59754877200</t>
    <phoneticPr fontId="18" type="noConversion"/>
  </si>
  <si>
    <t>[제 28호] 관로구방수장치  D30 [조]</t>
  </si>
  <si>
    <t>59754877200</t>
  </si>
  <si>
    <t>56900017076</t>
  </si>
  <si>
    <t>저압케이블전공</t>
  </si>
  <si>
    <t>E59754877202</t>
    <phoneticPr fontId="18" type="noConversion"/>
  </si>
  <si>
    <t>[제 29호] 관로구방수장치  D65 [조]</t>
  </si>
  <si>
    <t>59754877202</t>
  </si>
  <si>
    <t>E59754877204</t>
    <phoneticPr fontId="18" type="noConversion"/>
  </si>
  <si>
    <t>[제 30호] 관로구방수장치  D100 [조]</t>
  </si>
  <si>
    <t>59754877204</t>
  </si>
  <si>
    <t>E59754877205</t>
    <phoneticPr fontId="18" type="noConversion"/>
  </si>
  <si>
    <t>[제 31호] 관로구방수장치  D125 [조]</t>
  </si>
  <si>
    <t>59754877205</t>
  </si>
  <si>
    <t>56900017117</t>
  </si>
  <si>
    <t>특고압케이블전공</t>
  </si>
  <si>
    <t>E59759017062</t>
    <phoneticPr fontId="18" type="noConversion"/>
  </si>
  <si>
    <t>[제 32호] 강재전선관용 부품  노말밴드, 아연도 36 mm [개]</t>
  </si>
  <si>
    <t>59759017062</t>
  </si>
  <si>
    <t>E59759027001</t>
    <phoneticPr fontId="18" type="noConversion"/>
  </si>
  <si>
    <t>[제 33호] 경질비닐전선관용 부품  노말밴드, 28 mm [개]</t>
  </si>
  <si>
    <t>59759027001</t>
  </si>
  <si>
    <t>E59759027002</t>
    <phoneticPr fontId="18" type="noConversion"/>
  </si>
  <si>
    <t>[제 34호] 경질비닐전선관용 부품  노말밴드, 36 mm [개]</t>
  </si>
  <si>
    <t>59759027002</t>
  </si>
  <si>
    <t>E59759027005</t>
    <phoneticPr fontId="18" type="noConversion"/>
  </si>
  <si>
    <t>[제 35호] 경질비닐전선관용 부품  노말밴드, 70 mm [개]</t>
  </si>
  <si>
    <t>59759027005</t>
  </si>
  <si>
    <t>E59759027007</t>
    <phoneticPr fontId="18" type="noConversion"/>
  </si>
  <si>
    <t>[제 36호] 경질비닐전선관용 부품  노말밴드, 104 mm [개]</t>
  </si>
  <si>
    <t>59759027007</t>
  </si>
  <si>
    <t>E59753767011</t>
    <phoneticPr fontId="18" type="noConversion"/>
  </si>
  <si>
    <t>[제 37호] 아우트렛박스  8각 54㎜ [개]</t>
  </si>
  <si>
    <t>59753767011</t>
  </si>
  <si>
    <t>E59753767041</t>
    <phoneticPr fontId="18" type="noConversion"/>
  </si>
  <si>
    <t>[제 38호] 아우트렛박스  중형4각 54㎜ [개]</t>
  </si>
  <si>
    <t>59753767041</t>
  </si>
  <si>
    <t>E59753777102</t>
    <phoneticPr fontId="18" type="noConversion"/>
  </si>
  <si>
    <t>[제 39호] 스위치박스  1 개용 54 mm [개]</t>
  </si>
  <si>
    <t>59753777102</t>
  </si>
  <si>
    <t>E59753777111</t>
    <phoneticPr fontId="18" type="noConversion"/>
  </si>
  <si>
    <t>[제 40호] 스위치박스  2 개용 54 mm [개]</t>
  </si>
  <si>
    <t>59753777111</t>
  </si>
  <si>
    <t>E59753767221</t>
    <phoneticPr fontId="18" type="noConversion"/>
  </si>
  <si>
    <t>[제 41호] 아우트렛박스 커버  커버, 8각, 둥근구멍(평) [개]</t>
  </si>
  <si>
    <t>59753767221</t>
  </si>
  <si>
    <t>E59753767251</t>
    <phoneticPr fontId="18" type="noConversion"/>
  </si>
  <si>
    <t>[제 42호] 아우트렛박스 커버  커버, 4각, 둥근구멍(평) [개]</t>
  </si>
  <si>
    <t>59753767251</t>
  </si>
  <si>
    <t>E59753767281</t>
    <phoneticPr fontId="18" type="noConversion"/>
  </si>
  <si>
    <t>[제 43호] 아우트렛박스 커버  커버, 4각,2개용S/W (오목) [개]</t>
  </si>
  <si>
    <t>59753767281</t>
  </si>
  <si>
    <t>E61455137894</t>
    <phoneticPr fontId="18" type="noConversion"/>
  </si>
  <si>
    <t>[제 44호] 정션 박스  100*100*50 [EA]</t>
  </si>
  <si>
    <t>61455137894</t>
  </si>
  <si>
    <t>E59753857031</t>
    <phoneticPr fontId="18" type="noConversion"/>
  </si>
  <si>
    <t>[제 45호] 풀박스  150×150×100 [개]</t>
  </si>
  <si>
    <t>59753857031</t>
  </si>
  <si>
    <t>E59753857101</t>
    <phoneticPr fontId="18" type="noConversion"/>
  </si>
  <si>
    <t>[제 46호] 풀박스  250×250×150 [개]</t>
  </si>
  <si>
    <t>59753857101</t>
  </si>
  <si>
    <t>E59753857131</t>
    <phoneticPr fontId="18" type="noConversion"/>
  </si>
  <si>
    <t>[제 47호] 풀박스  300×300×200 [개]</t>
  </si>
  <si>
    <t>59753857131</t>
  </si>
  <si>
    <t>E59753857181</t>
    <phoneticPr fontId="18" type="noConversion"/>
  </si>
  <si>
    <t>[제 48호] 풀박스  400×400×300 [개]</t>
  </si>
  <si>
    <t>59753857181</t>
  </si>
  <si>
    <t>E56959000167</t>
    <phoneticPr fontId="18" type="noConversion"/>
  </si>
  <si>
    <t>[제 49호] 450/750V 내열비닐절연전선  HFIX 1.78mm(2.5㎟) [M]</t>
  </si>
  <si>
    <t>MM481669624</t>
  </si>
  <si>
    <t>EE1450667003</t>
    <phoneticPr fontId="18" type="noConversion"/>
  </si>
  <si>
    <t>[제 50호] 450/750V 내열비닐절연전선  HFIX 2.25mm(4㎟) [M]</t>
  </si>
  <si>
    <t>E1450667003</t>
  </si>
  <si>
    <t>EE1450927203</t>
    <phoneticPr fontId="18" type="noConversion"/>
  </si>
  <si>
    <t>[제 51호] 접지용난연절연전선(FGV)  6㎟ [M]</t>
  </si>
  <si>
    <t>E1450927203</t>
  </si>
  <si>
    <t>EE1450927212</t>
    <phoneticPr fontId="18" type="noConversion"/>
  </si>
  <si>
    <t>[제 52호] 접지용난연절연전선(FGV)  95㎟ [M]</t>
  </si>
  <si>
    <t>E1450927212</t>
  </si>
  <si>
    <t>EE1450927213</t>
    <phoneticPr fontId="18" type="noConversion"/>
  </si>
  <si>
    <t>[제 53호] 접지용난연절연전선(FGV)  120㎟ [M]</t>
  </si>
  <si>
    <t>E1450927213</t>
  </si>
  <si>
    <t>EE1450287514</t>
    <phoneticPr fontId="18" type="noConversion"/>
  </si>
  <si>
    <t>[제 54호] 0.6/1kv 폴리에틸렌 난연케이블  F-CV 1C×150㎟ 4열포설 1열당 [M]</t>
  </si>
  <si>
    <t>E1450287514</t>
  </si>
  <si>
    <t>EE1450287516</t>
    <phoneticPr fontId="18" type="noConversion"/>
  </si>
  <si>
    <t>[제 55호] 0.6/1kv 폴리에틸렌 난연케이블  F-CV 1C×240㎟ 4열포설 1열당 [M]</t>
  </si>
  <si>
    <t>E1450287516</t>
  </si>
  <si>
    <t>EE1450287563</t>
    <phoneticPr fontId="18" type="noConversion"/>
  </si>
  <si>
    <t>[제 56호] 0.6/1kv 폴리에틸렌 난연케이블  F-CV 4C×6㎟ [M]</t>
  </si>
  <si>
    <t>E1450287563</t>
  </si>
  <si>
    <t>E59301517201</t>
    <phoneticPr fontId="18" type="noConversion"/>
  </si>
  <si>
    <t>[제 57호] 와이드 스위치  SUPPER WIDE,15A,250V 1로1구 [개]</t>
  </si>
  <si>
    <t>59301517201</t>
  </si>
  <si>
    <t>E59301517202</t>
    <phoneticPr fontId="18" type="noConversion"/>
  </si>
  <si>
    <t>[제 58호] 와이드 스위치  SUPPER WIDE,15A,250V 1로2구 [개]</t>
  </si>
  <si>
    <t>59301517202</t>
  </si>
  <si>
    <t>E59301517203</t>
    <phoneticPr fontId="18" type="noConversion"/>
  </si>
  <si>
    <t>[제 59호] 와이드 스위치  SUPPER WIDE,15A,250V 1로3구 [개]</t>
  </si>
  <si>
    <t>59301517203</t>
  </si>
  <si>
    <t>E59350317206</t>
    <phoneticPr fontId="18" type="noConversion"/>
  </si>
  <si>
    <t>[제 60호] 콘센트  매입-접지형, 15A 250V 2구 [개]</t>
  </si>
  <si>
    <t>59350317206</t>
  </si>
  <si>
    <t>E59350317208</t>
    <phoneticPr fontId="18" type="noConversion"/>
  </si>
  <si>
    <t>[제 61호] 방우콘센트  매입-접지형, 15A 250V 2구 [개]</t>
  </si>
  <si>
    <t>59350317208</t>
  </si>
  <si>
    <t>EE9400177027</t>
    <phoneticPr fontId="18" type="noConversion"/>
  </si>
  <si>
    <t>[제 62호] 러그단자(IEC 90)  동관단자 2 HOLE 95 ㎟ [개]</t>
  </si>
  <si>
    <t>E9400177027</t>
  </si>
  <si>
    <t>EE9400177034</t>
    <phoneticPr fontId="18" type="noConversion"/>
  </si>
  <si>
    <t>[제 63호] 러그단자(IEC 90)  동관단자 2 HOLE 120 ㎟ [개]</t>
  </si>
  <si>
    <t>E9400177034</t>
  </si>
  <si>
    <t>EE9400177028</t>
    <phoneticPr fontId="18" type="noConversion"/>
  </si>
  <si>
    <t>[제 64호] 러그단자(IEC 90)  동관단자 2 HOLE 150 ㎟ [개]</t>
  </si>
  <si>
    <t>E9400177028</t>
  </si>
  <si>
    <t>EE9400177030</t>
    <phoneticPr fontId="18" type="noConversion"/>
  </si>
  <si>
    <t>[제 65호] 러그단자(IEC 90)  동관단자 2 HOLE 240 ㎟ [개]</t>
  </si>
  <si>
    <t>E9400177030</t>
  </si>
  <si>
    <t>EE9400267008</t>
    <phoneticPr fontId="18" type="noConversion"/>
  </si>
  <si>
    <t>[제 66호] 압착단자(IEC 90)  R형동선 나압착 35 ㎟ [개]</t>
  </si>
  <si>
    <t>E9400267008</t>
  </si>
  <si>
    <t>E59755057152</t>
    <phoneticPr fontId="18" type="noConversion"/>
  </si>
  <si>
    <t>[제 67호] 지중선용 가선철물  케이블표지시트, 0.15x150 [m]</t>
  </si>
  <si>
    <t>59755057152</t>
  </si>
  <si>
    <t>E56959000168</t>
    <phoneticPr fontId="18" type="noConversion"/>
  </si>
  <si>
    <t>[제 68호] 다기능 접속함  방수형 [EA]</t>
  </si>
  <si>
    <t>MMJ12728749</t>
  </si>
  <si>
    <t>E56959000169</t>
    <phoneticPr fontId="18" type="noConversion"/>
  </si>
  <si>
    <t>[제 69호] 천정구멍따기  다운라이트용 [개소]</t>
  </si>
  <si>
    <t>MMJ79095249</t>
  </si>
  <si>
    <t>E56959000170</t>
    <phoneticPr fontId="18" type="noConversion"/>
  </si>
  <si>
    <t>[제 70호] 0.6/1kv 폴리에틸렌 난연케이블  F-CV 2C×6㎟(옥외) [M]</t>
  </si>
  <si>
    <t>MMJ03395978</t>
  </si>
  <si>
    <t>E56959000171</t>
    <phoneticPr fontId="18" type="noConversion"/>
  </si>
  <si>
    <t>[제 71호] 0.6/1kv 폴리에틸렌 난연케이블  F-CV 2C×6㎟(옥외),2열포설1열 [M]</t>
  </si>
  <si>
    <t>MMJ03395980</t>
  </si>
  <si>
    <t>E56959000172</t>
    <phoneticPr fontId="18" type="noConversion"/>
  </si>
  <si>
    <t>[제 72호] 0.6/1kv 폴리에틸렌 난연케이블  F-CV 2C×2.5㎟(옥외) [M]</t>
  </si>
  <si>
    <t>MMJ03395982</t>
  </si>
  <si>
    <t>E56959000173</t>
    <phoneticPr fontId="18" type="noConversion"/>
  </si>
  <si>
    <t>[제 73호] 접지용난연절연전선(FGV)  6㎟(옥외) [M]</t>
  </si>
  <si>
    <t>MMJ03395985</t>
  </si>
  <si>
    <t>E56959000174</t>
    <phoneticPr fontId="18" type="noConversion"/>
  </si>
  <si>
    <t>[제 74호] 0.6/1kv 폴리에틸렌 난연케이블  F-CV1C×240㎟옥외4열포설1열당 [M]</t>
  </si>
  <si>
    <t>MMJ03395996</t>
  </si>
  <si>
    <t>E56959000175</t>
    <phoneticPr fontId="18" type="noConversion"/>
  </si>
  <si>
    <t>[제 75호] 접지용난연절연전선(FGV)  16㎟(옥외) [M]</t>
  </si>
  <si>
    <t>MMJ03396000</t>
  </si>
  <si>
    <t>E56959000176</t>
    <phoneticPr fontId="18" type="noConversion"/>
  </si>
  <si>
    <t>[제 76호] 파상형 폴리에틸렌 전선관  30㎜(가로등,신호,구내) [M.]</t>
  </si>
  <si>
    <t>MMJ03396002</t>
  </si>
  <si>
    <t>E56959000177</t>
    <phoneticPr fontId="18" type="noConversion"/>
  </si>
  <si>
    <t>[제 77호] 파상형 폴리에틸렌 전선관  40㎜(가로등,신호,구내) [M.]</t>
  </si>
  <si>
    <t>MMJ03396004</t>
  </si>
  <si>
    <t>E56959000178</t>
    <phoneticPr fontId="18" type="noConversion"/>
  </si>
  <si>
    <t>[제 78호] 조명기구(TYPE-A)  매입 LED 40W [SET]</t>
  </si>
  <si>
    <t>E56959000179</t>
    <phoneticPr fontId="18" type="noConversion"/>
  </si>
  <si>
    <t>[제 79호] 조명기구(TYPE-B)  직부 LED 40W [SET]</t>
  </si>
  <si>
    <t>E56959000180</t>
    <phoneticPr fontId="18" type="noConversion"/>
  </si>
  <si>
    <t>[제 80호] 조명기구(TYPE-C)  투광등 LED 150W [SET]</t>
  </si>
  <si>
    <t>E56959000181</t>
    <phoneticPr fontId="18" type="noConversion"/>
  </si>
  <si>
    <t>[제 81호] 조명기구(TYPE-D)  벽부상하등 LED 10W*2 [SET]</t>
  </si>
  <si>
    <t>E56959000182</t>
    <phoneticPr fontId="18" type="noConversion"/>
  </si>
  <si>
    <t>[제 82호] 조명기구(TYPE-E)  D/L LED 15W [SET]</t>
  </si>
  <si>
    <t>E56959000183</t>
    <phoneticPr fontId="18" type="noConversion"/>
  </si>
  <si>
    <t>[제 83호] 조명기구(TYPE-F)  원형직부 LED 15W [SET]</t>
  </si>
  <si>
    <t>E56959000184</t>
    <phoneticPr fontId="18" type="noConversion"/>
  </si>
  <si>
    <t>[제 84호] 조명기구(TYPE-OA)  보안등(열주등)LED 45W,H:4M [SET]</t>
  </si>
  <si>
    <t>E56959000185</t>
    <phoneticPr fontId="18" type="noConversion"/>
  </si>
  <si>
    <t>[제 85호] 조명기구(TYEP-OB)  볼라드 LED 12W [SET]</t>
  </si>
  <si>
    <t>E56959000186</t>
    <phoneticPr fontId="18" type="noConversion"/>
  </si>
  <si>
    <t>[제 86호] 분전반  WHM [면]</t>
  </si>
  <si>
    <t>E56959000187</t>
    <phoneticPr fontId="18" type="noConversion"/>
  </si>
  <si>
    <t>[제 87호] 분전반  LP-M [면]</t>
  </si>
  <si>
    <t>E56959000188</t>
    <phoneticPr fontId="18" type="noConversion"/>
  </si>
  <si>
    <t>[제 88호] 분전반  P-EHP [면]</t>
  </si>
  <si>
    <t>E56959000189</t>
    <phoneticPr fontId="18" type="noConversion"/>
  </si>
  <si>
    <t>[제 89호] 태양광발전설비  88.32KW [식]</t>
  </si>
  <si>
    <t>E56959000190</t>
    <phoneticPr fontId="18" type="noConversion"/>
  </si>
  <si>
    <t>[제 90호] 0.6/1kv 폴리에틸렌 난연케이블  F-CV 4C×6㎟(옥외) [M]</t>
  </si>
  <si>
    <t>MMJ14530250</t>
  </si>
  <si>
    <t>E56959000191</t>
    <phoneticPr fontId="18" type="noConversion"/>
  </si>
  <si>
    <t>[제 91호] 파상형 폴리에틸렌 전선관  65㎜(가로등,신호,구내) [M.]</t>
  </si>
  <si>
    <t>MM4J5399238</t>
  </si>
  <si>
    <t>ELP</t>
  </si>
  <si>
    <t>E56959000192</t>
    <phoneticPr fontId="18" type="noConversion"/>
  </si>
  <si>
    <t>[제 92호] 0.6/1kv 폴리에틸렌 난연케이블  F-CV 2C×6㎟(옥외),5열포설1열 [M]</t>
  </si>
  <si>
    <t>MMJ24303805</t>
  </si>
  <si>
    <t>E56959000193</t>
    <phoneticPr fontId="18" type="noConversion"/>
  </si>
  <si>
    <t>[제 93호] 0.6/1kv 폴리에틸렌 난연케이블  F-CV 2C×6㎟(옥외),6열포설1열 [M]</t>
  </si>
  <si>
    <t>MMJ24303807</t>
  </si>
  <si>
    <t>E56959000194</t>
    <phoneticPr fontId="18" type="noConversion"/>
  </si>
  <si>
    <t>[제 94호] 0.6/1kv 폴리에틸렌 난연케이블  F-CV 2C×4㎟(옥외) [M]</t>
  </si>
  <si>
    <t>MMJ24368093</t>
  </si>
  <si>
    <t>E56959000195</t>
    <phoneticPr fontId="18" type="noConversion"/>
  </si>
  <si>
    <t>[제 95호] 0.6/1kv 폴리에틸렌 난연케이블  F-CV 4C×35㎟(옥외) [M]</t>
  </si>
  <si>
    <t>MMJ24368095</t>
  </si>
  <si>
    <t>E56959000196</t>
    <phoneticPr fontId="18" type="noConversion"/>
  </si>
  <si>
    <t>[제 96호] 파상형 폴리에틸렌 전선관  30㎜ 4열포설 1열당 [M.]</t>
  </si>
  <si>
    <t>MMJ24368101</t>
  </si>
  <si>
    <t>E56959000197</t>
    <phoneticPr fontId="18" type="noConversion"/>
  </si>
  <si>
    <t>[제 97호] 파상형 폴리에틸렌 전선관  65㎜ 4열포설 1열당 [M.]</t>
  </si>
  <si>
    <t>MMJ24368102</t>
  </si>
  <si>
    <t>E56959000198</t>
    <phoneticPr fontId="18" type="noConversion"/>
  </si>
  <si>
    <t>[제 98호] UTP 케이블(옥외)  Cat.5e 0.5mm 4P [M]</t>
  </si>
  <si>
    <t>MMJ24374856</t>
  </si>
  <si>
    <t>56900017116</t>
  </si>
  <si>
    <t>통신케이블공</t>
  </si>
  <si>
    <t>합      계</t>
  </si>
  <si>
    <t>일위대가</t>
  </si>
  <si>
    <t>할증적용</t>
  </si>
  <si>
    <t>할증저장</t>
  </si>
  <si>
    <t>할증율</t>
  </si>
  <si>
    <t>HAL1</t>
  </si>
  <si>
    <t>HAL2</t>
  </si>
  <si>
    <t>HAL3</t>
  </si>
  <si>
    <t>일위대가+자재</t>
  </si>
  <si>
    <t>전주입상관 설치  HI 104C  M  전기 5-1   ( 호표 1 )</t>
  </si>
  <si>
    <t>HI 104mm</t>
  </si>
  <si>
    <t>51B74103823624F9511499FDD9AF486333F35F</t>
  </si>
  <si>
    <t>56D721037238540E9D307EF2D93E5A51B74103823624F9511499FDD9AF486333F35F</t>
  </si>
  <si>
    <t>전선관부속품비</t>
  </si>
  <si>
    <t>전선관의 15%</t>
  </si>
  <si>
    <t>57871103F43654AE9B877C1D35E7001</t>
  </si>
  <si>
    <t>56D721037238540E9D307EF2D93E5A57871103F43654AE9B877C1D35E5003</t>
  </si>
  <si>
    <t>잡재료비</t>
  </si>
  <si>
    <t>배관배선의 2%</t>
  </si>
  <si>
    <t>57871103F43654AE9B877C1D35E4002</t>
  </si>
  <si>
    <t>56D721037238540E9D307EF2D93E5A57871103F43654AE9B877C1D35E7001</t>
  </si>
  <si>
    <t>공구손료</t>
  </si>
  <si>
    <t>인력품의 3%</t>
  </si>
  <si>
    <t>57871103F43654AE9B877C1D35E5003</t>
  </si>
  <si>
    <t>56D721037238540E9D307EF2D93E5A57871103F43654AE9B877C1D35E4002</t>
  </si>
  <si>
    <t>1</t>
  </si>
  <si>
    <t>5642A103463094DC23D165F7F9B032D39D1B0D</t>
  </si>
  <si>
    <t>56D721037238540E9D307EF2D93E5A5642A103463094DC23D165F7F9B032D39D1B0D</t>
  </si>
  <si>
    <t xml:space="preserve"> [ 합          계 ]</t>
  </si>
  <si>
    <t>ST 케이블 트레이-STRAIGHT  W400x100Hx2.3t  m  전기 5-8   ( 호표 2 )</t>
  </si>
  <si>
    <t>케이블트레이</t>
  </si>
  <si>
    <t>케이블트레이, Straight, 스틸, 400*100*t2.3mm</t>
  </si>
  <si>
    <t>51B74103823624F951149BA8E1782ACB65A0F8</t>
  </si>
  <si>
    <t>56D72103723884C205FF9F5B17316B51B74103823624F951149BA8E1782ACB65A0F8</t>
  </si>
  <si>
    <t>케이블트레이 커버</t>
  </si>
  <si>
    <t>케이블트레이 커버(400x100)</t>
  </si>
  <si>
    <t>51B74103823624F951149BA8E1782ACB65A0FB</t>
  </si>
  <si>
    <t>56D72103723884C205FF9F5B17316B51B74103823624F951149BA8E1782ACB65A0FB</t>
  </si>
  <si>
    <t>56D72103723884C205FF9F5B17316B57871103F43654AE9B877C1D35E7001</t>
  </si>
  <si>
    <t>56D72103723884C205FF9F5B17316B5642A103463094DC23D165F7F9B032D39D1B0D</t>
  </si>
  <si>
    <t>난연 비닐 절연 접지용전선(F-GV)  0.6/1kV  4㎟  m  전기 3-38   ( 호표 3 )</t>
  </si>
  <si>
    <t>접지용비닐절연전선</t>
  </si>
  <si>
    <t>F-GV, 4㎟</t>
  </si>
  <si>
    <t>51A511035531749231747254FBE1520712BC28</t>
  </si>
  <si>
    <t>56D721037238E46A4237DB110EC84A51A511035531749231747254FBE1520712BC28</t>
  </si>
  <si>
    <t>56D721037238E46A4237DB110EC84A57871103F43654AE9B877C1D35E7001</t>
  </si>
  <si>
    <t>56D721037238E46A4237DB110EC84A5642A103463094DC23D165F7F9B032D39D1B0D</t>
  </si>
  <si>
    <t>56D721037238E46A4237DB110EC84A57871103F43654AE9B877C1D35E4002</t>
  </si>
  <si>
    <t>난연 비닐 절연 접지용전선(F-GV)  0.6/1kV  6㎟  m  전기 3-38   ( 호표 4 )</t>
  </si>
  <si>
    <t>F-GV, 6㎟</t>
  </si>
  <si>
    <t>51A511035531749231747254FBE1520712BC29</t>
  </si>
  <si>
    <t>56D721037238E46A4237DB110EC95251A511035531749231747254FBE1520712BC29</t>
  </si>
  <si>
    <t>56D721037238E46A4237DB110EC95257871103F43654AE9B877C1D35E7001</t>
  </si>
  <si>
    <t>56D721037238E46A4237DB110EC9525642A103463094DC23D165F7F9B032D39D1B0D</t>
  </si>
  <si>
    <t>56D721037238E46A4237DB110EC95257871103F43654AE9B877C1D35E4002</t>
  </si>
  <si>
    <t>난연 비닐 절연 접지용전선(F-GV)  0.6/1kV  16㎟  m  전기 3-38   ( 호표 5 )</t>
  </si>
  <si>
    <t>F-GV, 16㎟</t>
  </si>
  <si>
    <t>51A511035531749231747254FBE1520712BC27</t>
  </si>
  <si>
    <t>56D721037238E46A4237DB110ECFFA51A511035531749231747254FBE1520712BC27</t>
  </si>
  <si>
    <t>56D721037238E46A4237DB110ECFFA57871103F43654AE9B877C1D35E7001</t>
  </si>
  <si>
    <t>56D721037238E46A4237DB110ECFFA57871103F43654AE9B877C1D35E4002</t>
  </si>
  <si>
    <t>56D721037238E46A4237DB110ECFFA5642A103463094DC23D165F7F9B032D39D1B0D</t>
  </si>
  <si>
    <t>난연 비닐 절연 접지용전선(F-GV)  0.6/1kV  25㎟  m  전기 3-38   ( 호표 6 )</t>
  </si>
  <si>
    <t>F-GV, 25㎟</t>
  </si>
  <si>
    <t>51A511035531749231747254FBE15207135E13</t>
  </si>
  <si>
    <t>56D721037238E46A4237DB110ECFFE51A511035531749231747254FBE15207135E13</t>
  </si>
  <si>
    <t>56D721037238E46A4237DB110ECFFE57871103F43654AE9B877C1D35E7001</t>
  </si>
  <si>
    <t>56D721037238E46A4237DB110ECFFE57871103F43654AE9B877C1D35E4002</t>
  </si>
  <si>
    <t>56D721037238E46A4237DB110ECFFE5642A103463094DC23D165F7F9B032D39D1B0D</t>
  </si>
  <si>
    <t>난연 비닐 절연 접지용전선(F-GV)  0.6/1kV  185㎟  m  전기 3-38   ( 호표 7 )</t>
  </si>
  <si>
    <t>F-GV, 185㎟</t>
  </si>
  <si>
    <t>51A511035531749231747254FBE15207135C6E</t>
  </si>
  <si>
    <t>56D721037238E46A4237DB110FD27151A511035531749231747254FBE15207135C6E</t>
  </si>
  <si>
    <t>56D721037238E46A4237DB110FD27157871103F43654AE9B877C1D35E7001</t>
  </si>
  <si>
    <t>56D721037238E46A4237DB110FD2715642A103463094DC23D165F7F9B032D39D1B0D</t>
  </si>
  <si>
    <t>0.6/1kV 난연 전력 케이블(F-CV)-4열동시  1C 50㎟  m  전기 4-34   ( 호표 8 )</t>
  </si>
  <si>
    <t>600V폴리에틸렌케이블</t>
  </si>
  <si>
    <t>0.6/1kV, F-CV, 1C*50㎟</t>
  </si>
  <si>
    <t>51A5110355317492321F52CC31D491D62FB843</t>
  </si>
  <si>
    <t>56D721037238F471B0B3142049583E51A5110355317492321F52CC31D491D62FB843</t>
  </si>
  <si>
    <t>56D721037238F471B0B3142049583E57871103F43654AE9B877C1D35E7001</t>
  </si>
  <si>
    <t>5642A103463094DC23D165F7F9B032D39D1C2D</t>
  </si>
  <si>
    <t>56D721037238F471B0B3142049583E5642A103463094DC23D165F7F9B032D39D1C2D</t>
  </si>
  <si>
    <t>일반공사 직종</t>
  </si>
  <si>
    <t>5642A103463094DC23D165F7F9B032D39D1B00</t>
  </si>
  <si>
    <t>56D721037238F471B0B3142049583E5642A103463094DC23D165F7F9B032D39D1B00</t>
  </si>
  <si>
    <t>0.6/1kV 난연 전력 케이블(F-CV)-4열동시  1C 185㎟  m  전기 5-11   ( 호표 9 )</t>
  </si>
  <si>
    <t>0.6/1kV, F-CV, 1C*185㎟</t>
  </si>
  <si>
    <t>51A5110355317492321F52CC31D491D62FB954</t>
  </si>
  <si>
    <t>56D721037238F471B0B31420484E7951A5110355317492321F52CC31D491D62FB954</t>
  </si>
  <si>
    <t>56D721037238F471B0B31420484E7957871103F43654AE9B877C1D35E7001</t>
  </si>
  <si>
    <t>56D721037238F471B0B31420484E795642A103463094DC23D165F7F9B032D39D1C2D</t>
  </si>
  <si>
    <t>56D721037238F471B0B31420484E795642A103463094DC23D165F7F9B032D39D1B00</t>
  </si>
  <si>
    <t>0.6/1kV 난연 전력 케이블(F-CV)  2C 4㎟  m  전기 5-13   ( 호표 10 )</t>
  </si>
  <si>
    <t>0.6/1kV, F-CV, 2C*4㎟</t>
  </si>
  <si>
    <t>51A5110355317492321F52CC31D491D62EA901</t>
  </si>
  <si>
    <t>56D721037238F471B0B317F58E47CF51A5110355317492321F52CC31D491D62EA901</t>
  </si>
  <si>
    <t>56D721037238F471B0B317F58E47CF57871103F43654AE9B877C1D35E7001</t>
  </si>
  <si>
    <t>56D721037238F471B0B317F58E47CF5642A103463094DC23D165F7F9B032D39D1B00</t>
  </si>
  <si>
    <t>56D721037238F471B0B317F58E47CF57871103F43654AE9B877C1D35E4002</t>
  </si>
  <si>
    <t>0.6/1kV 난연 전력 케이블(F-CV)  4C 6㎟  m  전기 5-13   ( 호표 11 )</t>
  </si>
  <si>
    <t>0.6/1kV, F-CV, 4C*6㎟</t>
  </si>
  <si>
    <t>51A5110355317492321F52CC31D491D62EADF8</t>
  </si>
  <si>
    <t>56D721037238F471B0B3116C8247CE51A5110355317492321F52CC31D491D62EADF8</t>
  </si>
  <si>
    <t>56D721037238F471B0B3116C8247CE57871103F43654AE9B877C1D35E7001</t>
  </si>
  <si>
    <t>56D721037238F471B0B3116C8247CE57871103F43654AE9B877C1D35E4002</t>
  </si>
  <si>
    <t>56D721037238F471B0B3116C8247CE5642A103463094DC23D165F7F9B032D39D1B00</t>
  </si>
  <si>
    <t>0.6/1kV 난연 전력 케이블(F-CV)  4C 16㎟  m  전기 5-11   ( 호표 12 )</t>
  </si>
  <si>
    <t>0.6/1kV, F-CV, 4C*16㎟</t>
  </si>
  <si>
    <t>51A5110355317492321F52CC31D491D62EADFA</t>
  </si>
  <si>
    <t>56D721037238F471B0B3116C82447951A5110355317492321F52CC31D491D62EADFA</t>
  </si>
  <si>
    <t>56D721037238F471B0B3116C82447957871103F43654AE9B877C1D35E7001</t>
  </si>
  <si>
    <t>56D721037238F471B0B3116C82447957871103F43654AE9B877C1D35E4002</t>
  </si>
  <si>
    <t>56D721037238F471B0B3116C8244795642A103463094DC23D165F7F9B032D39D1B00</t>
  </si>
  <si>
    <t>경고테이프 포설  저압용  M  전기 4-45   ( 호표 13 )</t>
  </si>
  <si>
    <t>지중선용가선철물</t>
  </si>
  <si>
    <t>지중선용가선철물, 케이블표지시트, 0.23*400mm</t>
  </si>
  <si>
    <t>51B741038236349C676DECDBF1478E28479566</t>
  </si>
  <si>
    <t>56D72103723894E928313064EEF82951B741038236349C676DECDBF1478E28479566</t>
  </si>
  <si>
    <t>56D72103723894E928313064EEF8295642A103463094DC23D165F7F9B032D39D1C2D</t>
  </si>
  <si>
    <t>56D72103723894E928313064EEF8295642A103463094DC23D165F7F9B032D39D1B00</t>
  </si>
  <si>
    <t>56D72103723894E928313064EEF82957871103F43654AE9B877C1D35E7001</t>
  </si>
  <si>
    <t>러그단자  동관단자 1H 16㎟  개  전기 4-37   ( 호표 14 )</t>
  </si>
  <si>
    <t>동관단자, 1홀, 16 ㎟</t>
  </si>
  <si>
    <t>51B741038236349F3E94D4B9ACCA345FD5BA00</t>
  </si>
  <si>
    <t>56D721037238540E9C28625D5C9B1A51B741038236349F3E94D4B9ACCA345FD5BA00</t>
  </si>
  <si>
    <t>56D721037238540E9C28625D5C9B1A5642A103463094DC23D165F7F9B032D39D1B00</t>
  </si>
  <si>
    <t>56D721037238540E9C28625D5C9B1A57871103F43654AE9B877C1D35E7001</t>
  </si>
  <si>
    <t>러그단자  동관단자 1H 25㎟  개  전기 4-37   ( 호표 15 )</t>
  </si>
  <si>
    <t>동관단자, 1홀, 25 ㎟</t>
  </si>
  <si>
    <t>51B741038236349F3E94D4B9ACCA345FD5BA06</t>
  </si>
  <si>
    <t>56D721037238540E9C28625D5C9B1B51B741038236349F3E94D4B9ACCA345FD5BA06</t>
  </si>
  <si>
    <t>56D721037238540E9C28625D5C9B1B57871103F43654AE9B877C1D35E7001</t>
  </si>
  <si>
    <t>56D721037238540E9C28625D5C9B1B5642A103463094DC23D165F7F9B032D39D1B00</t>
  </si>
  <si>
    <t>러그단자  동관단자 1H 50㎟  개  전기 4-37   ( 호표 16 )</t>
  </si>
  <si>
    <t>동관단자, 1홀, 50 ㎟</t>
  </si>
  <si>
    <t>51B741038236349F3E94D4B9ACCA345FD5BA0A</t>
  </si>
  <si>
    <t>56D721037238540E9C28625D5C9B1D51B741038236349F3E94D4B9ACCA345FD5BA0A</t>
  </si>
  <si>
    <t>56D721037238540E9C28625D5C9B1D5642A103463094DC23D165F7F9B032D39D1B00</t>
  </si>
  <si>
    <t>56D721037238540E9C28625D5C9B1D57871103F43654AE9B877C1D35E7001</t>
  </si>
  <si>
    <t>러그단자  동관단자 2H 185㎟  개  전기 4-37   ( 호표 17 )</t>
  </si>
  <si>
    <t>러그단자, 동관단자, 2홀, 185 ㎟</t>
  </si>
  <si>
    <t>51B741038236349F3E94D4B9ACCA345FD5BEF5</t>
  </si>
  <si>
    <t>56D721037238540E9C28625D5C9A7051B741038236349F3E94D4B9ACCA345FD5BEF5</t>
  </si>
  <si>
    <t>56D721037238540E9C28625D5C9A705642A103463094DC23D165F7F9B032D39D1B00</t>
  </si>
  <si>
    <t>56D721037238540E9C28625D5C9A7057871103F43654AE9B877C1D35E7001</t>
  </si>
  <si>
    <t>핸드홀(수공1호)  950*450*700  조  전기 4-43-3   ( 호표 18 )</t>
  </si>
  <si>
    <t>수공1호</t>
  </si>
  <si>
    <t>51B7D103FE3DE4D8EC0BEAAAFBA5DB119C9AB6</t>
  </si>
  <si>
    <t>56D72103703DD43A1ED2B005ADF62751B7D103FE3DE4D8EC0BEAAAFBA5DB119C9AB6</t>
  </si>
  <si>
    <t>51B7D103FE3DE4D8EC0BEAAAFBA5DB119C9AB7</t>
  </si>
  <si>
    <t>56D72103703DD43A1ED2B005ADF62751B7D103FE3DE4D8EC0BEAAAFBA5DB119C9AB7</t>
  </si>
  <si>
    <t>56D72103703DD43A1ED2B005ADF62756D721037238E46A4237DB110FD271</t>
  </si>
  <si>
    <t>56D72103703DD43A1ED2B005ADF627569DE103C338D485C0BEAD2F683454</t>
  </si>
  <si>
    <t>56D72103703DD43A1ED2B005ADF627569DE103C53B84CC97FB42C5A3863F</t>
  </si>
  <si>
    <t>잔토처리</t>
  </si>
  <si>
    <t>토사</t>
  </si>
  <si>
    <t>56B2D1033A3FE422E985831EC17DF7</t>
  </si>
  <si>
    <t>56D72103703DD43A1ED2B005ADF62756B2D1033A3FE422E985831EC17DF7</t>
  </si>
  <si>
    <t>56D72103703DD43A1ED2B005ADF627518A9103013724F1685F75AD9C0F34D01EE432AF</t>
  </si>
  <si>
    <t>작업반장</t>
  </si>
  <si>
    <t>5642A103463094DC23D165F7F9B032D39D1C2E</t>
  </si>
  <si>
    <t>56D72103703DD43A1ED2B005ADF6275642A103463094DC23D165F7F9B032D39D1C2E</t>
  </si>
  <si>
    <t>5642A103463094DC23D165F7F9B032D39D1C2C</t>
  </si>
  <si>
    <t>56D72103703DD43A1ED2B005ADF6275642A103463094DC23D165F7F9B032D39D1C2C</t>
  </si>
  <si>
    <t>줄눈공</t>
  </si>
  <si>
    <t>5642A103463094DC23D165F7F9B032D39D1FE7</t>
  </si>
  <si>
    <t>56D72103703DD43A1ED2B005ADF6275642A103463094DC23D165F7F9B032D39D1FE7</t>
  </si>
  <si>
    <t>56D72103703DD43A1ED2B005ADF62757871103F43654AE9B877C1D35E7001</t>
  </si>
  <si>
    <t>접지공사(접지봉매설)    개소  전기 3-38   ( 호표 19 )</t>
  </si>
  <si>
    <t>접지봉, 18Φ*2400mm</t>
  </si>
  <si>
    <t>51B741038236349F3CE82BCECE99CC5436E207</t>
  </si>
  <si>
    <t>56D72103723894E92CAB35A83F0DCD51B741038236349F3CE82BCECE99CC5436E207</t>
  </si>
  <si>
    <t>볼트형콘넥터</t>
  </si>
  <si>
    <t>서비스콘넥터, 22SQ</t>
  </si>
  <si>
    <t>51B741038236349F3CEBFDBC6E0F93C9E1B898</t>
  </si>
  <si>
    <t>56D72103723894E92CAB35A83F0DCD51B741038236349F3CEBFDBC6E0F93C9E1B898</t>
  </si>
  <si>
    <t>56D72103723894E92CAB35A83F0DCD51A511035531749231747254FBE15207135C6E</t>
  </si>
  <si>
    <t>56D72103723894E92CAB35A83F0DCD57871103F43654AE9B877C1D35E7001</t>
  </si>
  <si>
    <t>접지 저항 저감제</t>
  </si>
  <si>
    <t>아스론 10KG</t>
  </si>
  <si>
    <t>포</t>
  </si>
  <si>
    <t>51B741038236349F3CE0D5146E415BAA6F3322</t>
  </si>
  <si>
    <t>56D72103723894E92CAB35A83F0DCD51B741038236349F3CE0D5146E415BAA6F3322</t>
  </si>
  <si>
    <t>56D72103723894E92CAB35A83F0DCD5642A103463094DC23D165F7F9B032D39D1C2D</t>
  </si>
  <si>
    <t>56D72103723894E92CAB35A83F0DCD5642A103463094DC23D165F7F9B032D39D1B0D</t>
  </si>
  <si>
    <t>56D72103723894E92CAB35A83F0DCD57871103F43654AE9B877C1D35E4002</t>
  </si>
  <si>
    <t>56D72103723894E92CAB35A83F0DCD5642A103463094DC23D165F7F9B032D39D1B00</t>
  </si>
  <si>
    <t>합성수지 파형관(ELP)설치  30mm  M  전기 4-31   ( 호표 20 )</t>
    <phoneticPr fontId="17" type="noConversion"/>
  </si>
  <si>
    <t>파상형경질폴리에틸렌전선관</t>
  </si>
  <si>
    <t>ELP 30mm</t>
  </si>
  <si>
    <t>51B74103823624F9511499FDD9AF486215C40E</t>
  </si>
  <si>
    <t>56D721037238446715351CA32E7F4851B74103823624F9511499FDD9AF486215C40E</t>
  </si>
  <si>
    <t>56D721037238446715351CA32E7F4857871103F43654AE9B877C1D35E7001</t>
  </si>
  <si>
    <t>56D721037238446715351CA32E7F4857871103F43654AE9B877C1D35E4002</t>
  </si>
  <si>
    <t>56D721037238446715351CA32E7F485642A103463094DC23D165F7F9B032D39D1C2D</t>
  </si>
  <si>
    <t>배선전공</t>
  </si>
  <si>
    <t>5642A103463094DC23D165F7F9B032D39D14D8</t>
  </si>
  <si>
    <t>56D721037238446715351CA32E7F485642A103463094DC23D165F7F9B032D39D14D8</t>
  </si>
  <si>
    <t>인력품의 2%</t>
    <phoneticPr fontId="17" type="noConversion"/>
  </si>
  <si>
    <t>56D721037238446715351CA32E7F4857871103F43654AE9B877C1D35E5003</t>
  </si>
  <si>
    <t>합성수지 파형관(ELP)설치  40mm  M  전기 4-31   ( 호표 21 )</t>
  </si>
  <si>
    <t>ELP 40mm</t>
  </si>
  <si>
    <t>51B74103823624F9511499FDD9AF486215C40D</t>
  </si>
  <si>
    <t>56D721037238446715351CA32E7EA051B74103823624F9511499FDD9AF486215C40D</t>
  </si>
  <si>
    <t>56D721037238446715351CA32E7EA057871103F43654AE9B877C1D35E7001</t>
  </si>
  <si>
    <t>56D721037238446715351CA32E7EA057871103F43654AE9B877C1D35E4002</t>
  </si>
  <si>
    <t>56D721037238446715351CA32E7EA05642A103463094DC23D165F7F9B032D39D1C2D</t>
  </si>
  <si>
    <t>56D721037238446715351CA32E7EA05642A103463094DC23D165F7F9B032D39D14D8</t>
  </si>
  <si>
    <t>56D721037238446715351CA32E7EA057871103F43654AE9B877C1D35E5003</t>
  </si>
  <si>
    <t>합성수지 파형관(ELP)설치  50mm  M  전기 4-31   ( 호표 22 )</t>
  </si>
  <si>
    <t>ELP 50mm</t>
  </si>
  <si>
    <t>51B74103823624F9511499FDD9AF486215C40C</t>
  </si>
  <si>
    <t>56D721037238446715351CA32E7EA351B74103823624F9511499FDD9AF486215C40C</t>
  </si>
  <si>
    <t>56D721037238446715351CA32E7EA357871103F43654AE9B877C1D35E4002</t>
  </si>
  <si>
    <t>56D721037238446715351CA32E7EA357871103F43654AE9B877C1D35E7001</t>
  </si>
  <si>
    <t>56D721037238446715351CA32E7EA35642A103463094DC23D165F7F9B032D39D1C2D</t>
  </si>
  <si>
    <t>56D721037238446715351CA32E7EA35642A103463094DC23D165F7F9B032D39D14D8</t>
  </si>
  <si>
    <t>합성수지 파형관(ELP)설치  65mm  M  전기 4-31   ( 호표 23 )</t>
  </si>
  <si>
    <t>ELP 65mm</t>
  </si>
  <si>
    <t>51B74103823624F9511499FDD9AF486215C40B</t>
  </si>
  <si>
    <t>56D721037238446715351CA32E793E51B74103823624F9511499FDD9AF486215C40B</t>
  </si>
  <si>
    <t>56D721037238446715351CA32E793E57871103F43654AE9B877C1D35E4002</t>
  </si>
  <si>
    <t>56D721037238446715351CA32E793E57871103F43654AE9B877C1D35E7001</t>
  </si>
  <si>
    <t>56D721037238446715351CA32E793E5642A103463094DC23D165F7F9B032D39D1C2D</t>
  </si>
  <si>
    <t>56D721037238446715351CA32E793E5642A103463094DC23D165F7F9B032D39D14D8</t>
  </si>
  <si>
    <t>56D721037238446715351CA32E793E57871103F43654AE9B877C1D35E5003</t>
  </si>
  <si>
    <t>합성수지 파형관(ELP)설치  100mm  M  전기 4-31   ( 호표 24 )</t>
  </si>
  <si>
    <t>ELP 100mm</t>
  </si>
  <si>
    <t>51B74103823624F9511499FDD9AF486215C409</t>
  </si>
  <si>
    <t>56D721037238446715351CA32E781951B74103823624F9511499FDD9AF486215C409</t>
  </si>
  <si>
    <t>56D721037238446715351CA32E781957871103F43654AE9B877C1D35E4002</t>
  </si>
  <si>
    <t>56D721037238446715351CA32E781957871103F43654AE9B877C1D35E7001</t>
  </si>
  <si>
    <t>56D721037238446715351CA32E78195642A103463094DC23D165F7F9B032D39D1C2D</t>
  </si>
  <si>
    <t>56D721037238446715351CA32E78195642A103463094DC23D165F7F9B032D39D14D8</t>
  </si>
  <si>
    <t>56D721037238446715351CA32E781957871103F43654AE9B877C1D35E5003</t>
  </si>
  <si>
    <t>자립형 함체 기초  1,000x1,000x500  식  단가산출   ( 호표 25 )</t>
  </si>
  <si>
    <t>콘크리트 타설</t>
  </si>
  <si>
    <t>장비사용</t>
  </si>
  <si>
    <t>51B74103823604CB5ED508F8E17340BF20AAC0</t>
  </si>
  <si>
    <t>56D72103723894E928313793BD42CF51B74103823604CB5ED508F8E17340BF20AAC0</t>
  </si>
  <si>
    <t>거푸집</t>
  </si>
  <si>
    <t>M2</t>
  </si>
  <si>
    <t>51B74103823604CB5ED508F8E17615248BD7FD</t>
  </si>
  <si>
    <t>56D72103723894E928313793BD42CF51B74103823604CB5ED508F8E17615248BD7FD</t>
  </si>
  <si>
    <t>레미콘</t>
  </si>
  <si>
    <t>51B7D103FE3DD4336BBA3EB98BF10473F61825</t>
  </si>
  <si>
    <t>56D72103723894E928313793BD42CF51B7D103FE3DD4336BBA3EB98BF10473F61825</t>
  </si>
  <si>
    <t>계량기함 설치    면  전기 5-21   ( 호표 26 )</t>
  </si>
  <si>
    <t>계량기함 설치비</t>
  </si>
  <si>
    <t>옥외 노출벽부형</t>
  </si>
  <si>
    <t>51B74103823604CB5DC99694ABEE7E5BCDC4C0</t>
  </si>
  <si>
    <t>56D721037238540E9D307EF2D9345651B74103823604CB5DC99694ABEE7E5BCDC4C0</t>
  </si>
  <si>
    <t>56D721037238540E9D307EF2D9345657871103F43654AE9B877C1D35E7001</t>
  </si>
  <si>
    <t>56D721037238540E9D307EF2D934565642A103463094DC23D165F7F9B032D39D1B0D</t>
  </si>
  <si>
    <t>분전반 신설(LP-M)  옥외벽부자립형  면  전기 5-4   ( 호표 27 )</t>
  </si>
  <si>
    <t>분전반 설치비(LP-M)</t>
  </si>
  <si>
    <t>옥외 노출벽부자립형</t>
  </si>
  <si>
    <t>51B74103823604CB5DC99694ABEE7E5BCDC4C1</t>
  </si>
  <si>
    <t>56D721037238540E9D307EF2DBEACF51B74103823604CB5DC99694ABEE7E5BCDC4C1</t>
  </si>
  <si>
    <t>56D721037238540E9D307EF2DBEACF57871103F43654AE9B877C1D35E7001</t>
  </si>
  <si>
    <t>56D721037238540E9D307EF2DBEACF5642A103463094DC23D165F7F9B032D39D1B0D</t>
  </si>
  <si>
    <t>역전력 보호계전기 분전반 신설  550*780*250  면  전기 5-4   ( 호표 28 )</t>
  </si>
  <si>
    <t>분전반 설치비(역전력 보호계전기 분전반)</t>
  </si>
  <si>
    <t>51B74103823604CB5DC99694ABEE7E5BCDC21F</t>
  </si>
  <si>
    <t>56D721037238540E9D307EF2DBEBE951B74103823604CB5DC99694ABEE7E5BCDC21F</t>
  </si>
  <si>
    <t>56D721037238540E9D307EF2DBEBE95642A103463094DC23D165F7F9B032D39D1B0D</t>
  </si>
  <si>
    <t>56D721037238540E9D307EF2DBEBE957871103F43654AE9B877C1D35E7001</t>
  </si>
  <si>
    <t>분전반 신설(LP-O1)  옥외 자립형  면  전기 5-18-2   ( 호표 29 )</t>
  </si>
  <si>
    <t>분전반 설치비(LP-O1)</t>
  </si>
  <si>
    <t>51B74103823604CB5DC99694ABEE7E5BCDC4CE</t>
  </si>
  <si>
    <t>56D721037238540E9D307EF2DBEBEC51B74103823604CB5DC99694ABEE7E5BCDC4CE</t>
  </si>
  <si>
    <t>56D721037238540E9D307EF2DBEBEC57871103F43654AE9B877C1D35E7001</t>
  </si>
  <si>
    <t>56D721037238540E9D307EF2DBEBEC5642A103463094DC23D165F7F9B032D39D1B0D</t>
  </si>
  <si>
    <t>엔트런스 캡  2 1/4" (54mm)초과-104C  개  전기 5-29   ( 호표 30 )</t>
  </si>
  <si>
    <t>엔트런스캡</t>
  </si>
  <si>
    <t>104C</t>
  </si>
  <si>
    <t>51B74103823604CB5ED508F8E17340BF20A772</t>
  </si>
  <si>
    <t>56D721037238540E9D307CC4DD9E9E51B74103823604CB5ED508F8E17340BF20A772</t>
  </si>
  <si>
    <t>56D721037238540E9D307CC4DD9E9E57871103F43654AE9B877C1D35E7001</t>
  </si>
  <si>
    <t>56D721037238540E9D307CC4DD9E9E5642A103463094DC23D165F7F9B032D39D1B0D</t>
  </si>
  <si>
    <t>터파기(기계 9:1)  보통토사. 백호 90%+인력 10%  ㎥  단가산출 319P   ( 호표 31 )</t>
  </si>
  <si>
    <t>터파기</t>
  </si>
  <si>
    <t>기계90%, 인력10%</t>
  </si>
  <si>
    <t>51B74103823604CB5ED508F8E17340BF20AAC2</t>
  </si>
  <si>
    <t>569DE103C338D485C142AB2FBA6AB251B74103823604CB5ED508F8E17340BF20AAC2</t>
  </si>
  <si>
    <t>되메우고 다지기(백호+래머)  토사, T=15cm  M3  단가산출 74P   ( 호표 32 )</t>
  </si>
  <si>
    <t>되메우고 다지기</t>
  </si>
  <si>
    <t>51B74103823604CB5ED508F8E17340BF20AAC3</t>
  </si>
  <si>
    <t>569DE103C53B84CC97FB4DEFFA099751B74103823604CB5ED508F8E17340BF20AAC3</t>
  </si>
  <si>
    <t>맨홀(저압)  1,500*1,500*1,500  개소  전기 4-38,4-43-3   ( 호표 33 )</t>
  </si>
  <si>
    <t>56D72103723894E92F608073667515569DE103C338D485C142AB2FBA6AB2</t>
  </si>
  <si>
    <t>56D72103723894E92F608073667515569DE103C53B84CC97FB4DEFFA0997</t>
  </si>
  <si>
    <t>56D72103723894E92F608073667515569DE103C53B84CC904AAE85906EF1</t>
  </si>
  <si>
    <t>맨홀커버(저압)</t>
  </si>
  <si>
    <t>51B7D103FE3DE4D8EC0BEAAAFBA5DB119C9AB3</t>
  </si>
  <si>
    <t>56D72103723894E92F60807366751551B7D103FE3DE4D8EC0BEAAAFBA5DB119C9AB3</t>
  </si>
  <si>
    <t>1500x1500x1500</t>
  </si>
  <si>
    <t>51B7D103FE3DE4D8EC0BEAAAFBA5DB119C9B5C</t>
  </si>
  <si>
    <t>56D72103723894E92F60807366751551B7D103FE3DE4D8EC0BEAAAFBA5DB119C9B5C</t>
  </si>
  <si>
    <t>전기용행어(저압)</t>
  </si>
  <si>
    <t>케이블받침대, 75*40*5*750mm</t>
  </si>
  <si>
    <t>51B741038236349F3DF02126EF937498ECEBC4</t>
  </si>
  <si>
    <t>56D72103723894E92F60807366751551B741038236349F3DF02126EF937498ECEBC4</t>
  </si>
  <si>
    <t>오거크레인</t>
  </si>
  <si>
    <t>10TON</t>
  </si>
  <si>
    <t>51B74103823604CB5ED508F8E17340BF20AD91</t>
  </si>
  <si>
    <t>56D72103723894E92F60807366751551B74103823604CB5ED508F8E17340BF20AD91</t>
  </si>
  <si>
    <t>전기용행어</t>
  </si>
  <si>
    <t>케이블걸이, 걸이쇠, 2조</t>
  </si>
  <si>
    <t>51B741038236349F3DF02126EF93749F1F5C5B</t>
  </si>
  <si>
    <t>56D72103723894E92F60807366751551B741038236349F3DF02126EF93749F1F5C5B</t>
  </si>
  <si>
    <t>지중선용가선철물(저압)</t>
  </si>
  <si>
    <t>지중선용가선철물, 맨홀용발판볼트, 200*330mm</t>
  </si>
  <si>
    <t>51B741038236349C676DECDBF1478E28479E42</t>
  </si>
  <si>
    <t>56D72103723894E92F60807366751551B741038236349C676DECDBF1478E28479E42</t>
  </si>
  <si>
    <t>56D72103723894E92F6080736675155642A103463094DC23D165F7F9B032D39D1C2E</t>
  </si>
  <si>
    <t>56D72103723894E92F6080736675155642A103463094DC23D165F7F9B032D39D1C2D</t>
  </si>
  <si>
    <t>56D72103723894E92F6080736675155642A103463094DC23D165F7F9B032D39D1C2C</t>
  </si>
  <si>
    <t>56D72103723894E92F6080736675155642A103463094DC23D165F7F9B032D39D1FE7</t>
  </si>
  <si>
    <t>56D72103723894E92F6080736675155642A103463094DC23D165F7F9B032D39D1B00</t>
  </si>
  <si>
    <t>56D72103723894E92F60807366751557871103F43654AE9B877C1D35E7001</t>
  </si>
  <si>
    <t>풀박스  100X100X50  개  전기 5-4   ( 호표 34 )</t>
  </si>
  <si>
    <t>100*100*50mm</t>
  </si>
  <si>
    <t>51B741038236349F3915924899F497D09418A0</t>
  </si>
  <si>
    <t>56D721037238540E9FFE4D14B82D6751B741038236349F3915924899F497D09418A0</t>
  </si>
  <si>
    <t>56D721037238540E9FFE4D14B82D675642A103463094DC23D165F7F9B032D39D1B0D</t>
  </si>
  <si>
    <t>56D721037238540E9FFE4D14B82D6757871103F43654AE9B877C1D35E7001</t>
  </si>
  <si>
    <t>난연 비닐 절연 접지용전선(F-GV)  0.6/1kV  4㎟  m  전기 3-38   ( 호표 35 )</t>
  </si>
  <si>
    <t>56D721037238E46A4237DB110EC84B51A511035531749231747254FBE1520712BC28</t>
  </si>
  <si>
    <t>56D721037238E46A4237DB110EC84B57871103F43654AE9B877C1D35E7001</t>
  </si>
  <si>
    <t>56D721037238E46A4237DB110EC84B5642A103463094DC23D165F7F9B032D39D1B0D</t>
  </si>
  <si>
    <t>56D721037238E46A4237DB110EC84B57871103F43654AE9B877C1D35E4002</t>
  </si>
  <si>
    <t>0.6/1kV 난연 전력 케이블(F-CV)  2C 6㎟  m  전기 5-13   ( 호표 36 )</t>
  </si>
  <si>
    <t>0.6/1kV, F-CV, 2C*6㎟</t>
  </si>
  <si>
    <t>51A5110355317492321F52CC31D491D62EA906</t>
  </si>
  <si>
    <t>56D721037238F471B0B317F58E408051A5110355317492321F52CC31D491D62EA906</t>
  </si>
  <si>
    <t>56D721037238F471B0B317F58E408057871103F43654AE9B877C1D35E7001</t>
  </si>
  <si>
    <t>56D721037238F471B0B317F58E408057871103F43654AE9B877C1D35E4002</t>
  </si>
  <si>
    <t>56D721037238F471B0B317F58E40805642A103463094DC23D165F7F9B032D39D1B00</t>
  </si>
  <si>
    <t>누전차단기  ELB 2P 30AF  개  전기 5-19   ( 호표 37 )</t>
  </si>
  <si>
    <t>누전차단기, 2P 30AF</t>
  </si>
  <si>
    <t>51B741038236349F3CE82CD419268774AF943D</t>
  </si>
  <si>
    <t>56D72103723894E928313793BD474E51B741038236349F3CE82CD419268774AF943D</t>
  </si>
  <si>
    <t>56D72103723894E928313793BD474E5642A103463094DC23D165F7F9B032D39D1B0D</t>
  </si>
  <si>
    <t>56D72103723894E928313793BD474E57871103F43654AE9B877C1D35E7001</t>
  </si>
  <si>
    <t>AL DUCT 신설  W:50  m  전기 5-7   ( 호표 38 )</t>
  </si>
  <si>
    <t>AL DUCT</t>
  </si>
  <si>
    <t>AL, 50x35mm</t>
  </si>
  <si>
    <t>51B74103823624F951149BA8E1782ACA5DABAC</t>
  </si>
  <si>
    <t>56D721037238F471B15A9EE9FA683051B74103823624F951149BA8E1782ACA5DABAC</t>
  </si>
  <si>
    <t>56D721037238F471B15A9EE9FA683057871103F43654AE9B877C1D35E4002</t>
  </si>
  <si>
    <t>56D721037238F471B15A9EE9FA68305642A103463094DC23D165F7F9B032D39D1B0D</t>
  </si>
  <si>
    <t>옥외 조명기구(라인조명)  LED 18W  개  전기 5-25-3   ( 호표 39 )</t>
  </si>
  <si>
    <t>옥외 라인조명 18W 설치비</t>
  </si>
  <si>
    <t>51B7410382363497ED77A0525736D703AF7578</t>
  </si>
  <si>
    <t>56D721037238540E9D307EF2DEBCF551B7410382363497ED77A0525736D703AF7578</t>
  </si>
  <si>
    <t>56D721037238540E9D307EF2DEBCF557871103F43654AE9B877C1D35E7001</t>
  </si>
  <si>
    <t>56D721037238540E9D307EF2DEBCF55642A103463094DC23D165F7F9B032D39D1B0D</t>
  </si>
  <si>
    <t>옥외 조명기구(투광등)  LED 54W  개  전기 5-26-4   ( 호표 40 )</t>
  </si>
  <si>
    <t>옥외 투광등 54W 설치비</t>
  </si>
  <si>
    <t>51B7410382363497ED77A0525736D703AF7579</t>
  </si>
  <si>
    <t>56D721037238540E9D307EF2DEBCF451B7410382363497ED77A0525736D703AF7579</t>
  </si>
  <si>
    <t>56D721037238540E9D307EF2DEBCF457871103F43654AE9B877C1D35E7001</t>
  </si>
  <si>
    <t>56D721037238540E9D307EF2DEBCF45642A103463094DC23D165F7F9B032D39D1B0D</t>
  </si>
  <si>
    <t>투광등 기초 기성품설치    개소  전기 5-27-1   ( 호표 41 )</t>
  </si>
  <si>
    <t>56D72103723894E928313793BD43D05642A103463094DC23D165F7F9B032D39D1C2D</t>
  </si>
  <si>
    <t>56D72103723894E928313793BD43D05642A103463094DC23D165F7F9B032D39D1B0D</t>
  </si>
  <si>
    <t>트럭탑재형크레인</t>
  </si>
  <si>
    <t>5TON</t>
  </si>
  <si>
    <t>51B74103823604CB5ED508F8E17340BF20A660</t>
  </si>
  <si>
    <t>56D72103723894E928313793BD43D051B74103823604CB5ED508F8E17340BF20A660</t>
  </si>
  <si>
    <t>56D72103723894E928313793BD43D057871103F43654AE9B877C1D35E7001</t>
  </si>
  <si>
    <t>투광등 기초</t>
  </si>
  <si>
    <t>51B74103823604CB5DC99694ABEE7E5BCDC4CF</t>
  </si>
  <si>
    <t>56D72103723894E928313793BD43D051B74103823604CB5DC99694ABEE7E5BCDC4CF</t>
  </si>
  <si>
    <t>SMPS함-1 신설  옥외 자립형  면  전기 5-18-2   ( 호표 42 )</t>
  </si>
  <si>
    <t>SPMS함 신설</t>
  </si>
  <si>
    <t>51B74103823604CB5DC99694ABEE7E5BCDC5ED</t>
  </si>
  <si>
    <t>56D721037238540E9D307EF2DBEBED51B74103823604CB5DC99694ABEE7E5BCDC5ED</t>
  </si>
  <si>
    <t>56D721037238540E9D307EF2DBEBED56D72103723894E928313793BD474E</t>
  </si>
  <si>
    <t>SMPS</t>
  </si>
  <si>
    <t>SMPS 400W</t>
  </si>
  <si>
    <t>51B74103823604CB5DC99694ABEE7E5BCDC5EC</t>
  </si>
  <si>
    <t>56D721037238540E9D307EF2DBEBED51B74103823604CB5DC99694ABEE7E5BCDC5EC</t>
  </si>
  <si>
    <t>단자대</t>
  </si>
  <si>
    <t>51B74103823604CB5DC99694ABEE7E5BCDC5EF</t>
  </si>
  <si>
    <t>56D721037238540E9D307EF2DBEBED51B74103823604CB5DC99694ABEE7E5BCDC5EF</t>
  </si>
  <si>
    <t>56D721037238540E9D307EF2DBEBED57871103F43654AE9B877C1D35E7001</t>
  </si>
  <si>
    <t>56D721037238540E9D307EF2DBEBED5642A103463094DC23D165F7F9B032D39D1B0D</t>
  </si>
  <si>
    <t>SMPS함-2 신설  옥외 자립형  면  전기 5-18-2   ( 호표 43 )</t>
  </si>
  <si>
    <t>56D721037238540E9D307EF2DBEBE851B74103823604CB5DC99694ABEE7E5BCDC5ED</t>
  </si>
  <si>
    <t>56D721037238540E9D307EF2DBEBE856D72103723894E928313793BD474E</t>
  </si>
  <si>
    <t>SMPS 200W</t>
  </si>
  <si>
    <t>51B74103823604CB5DC99694ABEE7E5BCDC21C</t>
  </si>
  <si>
    <t>56D721037238540E9D307EF2DBEBE851B74103823604CB5DC99694ABEE7E5BCDC21C</t>
  </si>
  <si>
    <t>56D721037238540E9D307EF2DBEBE851B74103823604CB5DC99694ABEE7E5BCDC5EF</t>
  </si>
  <si>
    <t>56D721037238540E9D307EF2DBEBE857871103F43654AE9B877C1D35E7001</t>
  </si>
  <si>
    <t>56D721037238540E9D307EF2DBEBE85642A103463094DC23D165F7F9B032D39D1B0D</t>
  </si>
  <si>
    <t>SMPS함 기초  SMPS함 기초  식  단가산출   ( 호표 44 )</t>
  </si>
  <si>
    <t>56D72103723894E928313793BD42CE51B74103823604CB5ED508F8E17340BF20AAC0</t>
  </si>
  <si>
    <t>56D72103723894E928313793BD42CE51B74103823604CB5ED508F8E17615248BD7FD</t>
  </si>
  <si>
    <t>56D72103723894E928313793BD42CE51B7D103FE3DD4336BBA3EB98BF10473F61825</t>
  </si>
  <si>
    <t>가로등 기초 기성품설치    개소  전기 5-27-1   ( 호표 45 )</t>
  </si>
  <si>
    <t>56D72103723894E928313793BD43D65642A103463094DC23D165F7F9B032D39D1C2D</t>
  </si>
  <si>
    <t>56D72103723894E928313793BD43D651B74103823604CB5ED508F8E17340BF20A660</t>
  </si>
  <si>
    <t>56D72103723894E928313793BD43D65642A103463094DC23D165F7F9B032D39D1B0D</t>
  </si>
  <si>
    <t>56D72103723894E928313793BD43D657871103F43654AE9B877C1D35E7001</t>
  </si>
  <si>
    <t>가로등 기초</t>
  </si>
  <si>
    <t>51B74103823604CB5DC99694ABEE7E5BCEE815</t>
  </si>
  <si>
    <t>56D72103723894E928313793BD43D651B74103823604CB5DC99694ABEE7E5BCEE815</t>
  </si>
  <si>
    <t>보안등기구  LED  보안등기구 50W  등  전기 5-26-3   ( 호표 46 )</t>
  </si>
  <si>
    <t>LED 보안등기구 설치비</t>
  </si>
  <si>
    <t>51B74103823604CB5ED508F8E21D9FED3C2706</t>
  </si>
  <si>
    <t>56D721037238540E9D307EF2DAC10C51B74103823604CB5ED508F8E21D9FED3C2706</t>
  </si>
  <si>
    <t>56D721037238540E9D307EF2DAC10C57871103F43654AE9B877C1D35E7001</t>
  </si>
  <si>
    <t>56D721037238540E9D307EF2DAC10C5642A103463094DC23D165F7F9B032D39D1B0D</t>
  </si>
  <si>
    <t>POLE LIGHT 기계설치(등기구설치 제외)  5m~7m  본  전기 5-27.2   ( 호표 47 )</t>
  </si>
  <si>
    <t>가로등주 설치비</t>
  </si>
  <si>
    <t>가로등주 4M</t>
  </si>
  <si>
    <t>51B74103823604CB5ED508F8E17340BF20A669</t>
  </si>
  <si>
    <t>56D721037238540E9D307DEBE760FE51B74103823604CB5ED508F8E17340BF20A669</t>
  </si>
  <si>
    <t>56D721037238540E9D307DEBE760FE51B74103823604CB5ED508F8E17340BF20A660</t>
  </si>
  <si>
    <t>56D721037238540E9D307DEBE760FE57871103F43654AE9B877C1D35E7001</t>
  </si>
  <si>
    <t>56D721037238540E9D307DEBE760FE5642A103463094DC23D165F7F9B032D39D1B0D</t>
  </si>
  <si>
    <t>볼라드등 설치  볼라드등 설치  EA  전기 5-27.2   ( 호표 48 )</t>
  </si>
  <si>
    <t>56D721037238540E9D307DEBE760FC51B74103823604CB5ED508F8E17340BF20A660</t>
  </si>
  <si>
    <t>볼라드등 설치비</t>
  </si>
  <si>
    <t>51B74103823604CB5ED508F8E17340BF21B6B8</t>
  </si>
  <si>
    <t>56D721037238540E9D307DEBE760FC51B74103823604CB5ED508F8E17340BF21B6B8</t>
  </si>
  <si>
    <t>56D721037238540E9D307DEBE760FC57871103F43654AE9B877C1D35E7001</t>
  </si>
  <si>
    <t>56D721037238540E9D307DEBE760FC5642A103463094DC23D165F7F9B032D39D1B0D</t>
  </si>
  <si>
    <t>지중등 설치  지중등 설치  EA  전기 5-25-3   ( 호표 49 )</t>
  </si>
  <si>
    <t>LED 지중등</t>
  </si>
  <si>
    <t>12W</t>
  </si>
  <si>
    <t>51B74103823604CB5ED508F8E17340BF20AEBE</t>
  </si>
  <si>
    <t>56D721037238540E9D307DEBE760FD51B74103823604CB5ED508F8E17340BF20AEBE</t>
  </si>
  <si>
    <t>56D721037238540E9D307DEBE760FD5642A103463094DC23D165F7F9B032D39D1B0D</t>
  </si>
  <si>
    <t>56D721037238540E9D307DEBE760FD57871103F43654AE9B877C1D35E7001</t>
  </si>
  <si>
    <t>볼라드등 기초 설치  볼라드등 기초  개소  전기 5-27-1   ( 호표 50 )</t>
  </si>
  <si>
    <t>56D72103723894E928313793BD43D15642A103463094DC23D165F7F9B032D39D1C2D</t>
  </si>
  <si>
    <t>56D72103723894E928313793BD43D151B74103823604CB5ED508F8E17340BF20A660</t>
  </si>
  <si>
    <t>56D72103723894E928313793BD43D15642A103463094DC23D165F7F9B032D39D1B0D</t>
  </si>
  <si>
    <t>56D72103723894E928313793BD43D157871103F43654AE9B877C1D35E7001</t>
  </si>
  <si>
    <t>51B74103823604CB5DC99694ABEE7E5BCDC5EE</t>
  </si>
  <si>
    <t>56D72103723894E928313793BD43D151B74103823604CB5DC99694ABEE7E5BCDC5EE</t>
  </si>
  <si>
    <t>접지봉  18Φ*2400 mm  개  전기 3-38   ( 호표 51 )</t>
  </si>
  <si>
    <t>51B741038236349F3CE82BCECE99CC5436E209</t>
  </si>
  <si>
    <t>56D72103723894E92CAB35A83F0DCE51B741038236349F3CE82BCECE99CC5436E209</t>
  </si>
  <si>
    <t>56D72103723894E92CAB35A83F0DCE5642A103463094DC23D165F7F9B032D39D1C2D</t>
  </si>
  <si>
    <t>56D72103723894E92CAB35A83F0DCE5642A103463094DC23D165F7F9B032D39D1B0D</t>
  </si>
  <si>
    <t>56D72103723894E92CAB35A83F0DCE57871103F43654AE9B877C1D35E7001</t>
  </si>
  <si>
    <t>경질비닐PVC전선관-매입  HI 36 mm  M  전기 5-1   ( 호표 52 )</t>
  </si>
  <si>
    <t>51B74103823624F9511499FDD9AF486333F2BD</t>
  </si>
  <si>
    <t>56D721037238D443B9948C99B0D45B51B74103823624F9511499FDD9AF486333F2BD</t>
  </si>
  <si>
    <t>56D721037238D443B9948C99B0D45B57871103F43654AE9B877C1D35E7001</t>
  </si>
  <si>
    <t>56D721037238D443B9948C99B0D45B57871103F43654AE9B877C1D35E4002</t>
  </si>
  <si>
    <t>56D721037238D443B9948C99B0D45B5642A103463094DC23D165F7F9B032D39D1B0D</t>
  </si>
  <si>
    <t>경질비닐PVC전선관-매입  HI 54 mm  M  전기 5-1   ( 호표 53 )</t>
  </si>
  <si>
    <t>51B74103823624F9511499FDD9AF486333F35C</t>
  </si>
  <si>
    <t>56D721037238D443B9948C99B0D60851B74103823624F9511499FDD9AF486333F35C</t>
  </si>
  <si>
    <t>56D721037238D443B9948C99B0D60857871103F43654AE9B877C1D35E7001</t>
  </si>
  <si>
    <t>56D721037238D443B9948C99B0D60857871103F43654AE9B877C1D35E4002</t>
  </si>
  <si>
    <t>56D721037238D443B9948C99B0D6085642A103463094DC23D165F7F9B032D39D1B0D</t>
  </si>
  <si>
    <t>경질비닐PVC전선관-옥외  HI 104 mm  M  전기 5-1   ( 호표 54 )</t>
  </si>
  <si>
    <t>56D721037238D443B9948C99B1F89151B74103823624F9511499FDD9AF486333F35F</t>
  </si>
  <si>
    <t>56D721037238D443B9948C99B1F89157871103F43654AE9B877C1D35E5003</t>
  </si>
  <si>
    <t>56D721037238D443B9948C99B1F89157871103F43654AE9B877C1D35E7001</t>
  </si>
  <si>
    <t>56D721037238D443B9948C99B1F8915642A103463094DC23D165F7F9B032D39D1B0D</t>
  </si>
  <si>
    <t>56D721037238D443B9948C99B1F89157871103F43654AE9B877C1D35E4002</t>
  </si>
  <si>
    <t>난연 비닐 절연 접지용전선(F-GV)-옥외  0.6/1kV  95㎟  m  전기 3-38   ( 호표 55 )</t>
  </si>
  <si>
    <t>F-GV, 95㎟</t>
  </si>
  <si>
    <t>51A511035531749231747254FBE15207135C6D</t>
  </si>
  <si>
    <t>56D721037238E46A4237DB110ECFFD51A511035531749231747254FBE15207135C6D</t>
  </si>
  <si>
    <t>56D721037238E46A4237DB110ECFFD57871103F43654AE9B877C1D35E7001</t>
  </si>
  <si>
    <t>56D721037238E46A4237DB110ECFFD5642A103463094DC23D165F7F9B032D39D1B0D</t>
  </si>
  <si>
    <t>56D721037238E46A4237DB110ECFFD57871103F43654AE9B877C1D35E4002</t>
  </si>
  <si>
    <t>0.6/1kV 난연 전력 케이블(F-CV)  1C 150㎟-4열동시  m  전기 5-11   ( 호표 56 )</t>
  </si>
  <si>
    <t>0.6/1kV, F-CV, 1C*150㎟</t>
  </si>
  <si>
    <t>51A5110355317492321F52CC31D491D62FB953</t>
  </si>
  <si>
    <t>56D721037238F471B0B314204849F651A5110355317492321F52CC31D491D62FB953</t>
  </si>
  <si>
    <t>56D721037238F471B0B314204849F657871103F43654AE9B877C1D35E7001</t>
  </si>
  <si>
    <t>56D721037238F471B0B314204849F65642A103463094DC23D165F7F9B032D39D1B00</t>
  </si>
  <si>
    <t>56D721037238F471B0B314204849F657871103F43654AE9B877C1D35E4002</t>
  </si>
  <si>
    <t>0.6/1kV 난연 전력 케이블(F-CV)  4C 25㎟  m  전기 5-11   ( 호표 57 )</t>
  </si>
  <si>
    <t>0.6/1kV, F-CV, 4C*25㎟</t>
  </si>
  <si>
    <t>51A5110355317492321F52CC31D491D62EADF5</t>
  </si>
  <si>
    <t>56D721037238F471B0B3116C824BA951A5110355317492321F52CC31D491D62EADF5</t>
  </si>
  <si>
    <t>56D721037238F471B0B3116C824BA957871103F43654AE9B877C1D35E7001</t>
  </si>
  <si>
    <t>56D721037238F471B0B3116C824BA957871103F43654AE9B877C1D35E4002</t>
  </si>
  <si>
    <t>56D721037238F471B0B3116C824BA95642A103463094DC23D165F7F9B032D39D1B00</t>
  </si>
  <si>
    <t>러그단자  동관단자 1H 95㎟  개  전기 4-37   ( 호표 58 )</t>
  </si>
  <si>
    <t>동관단자, 1홀, 95 ㎟</t>
  </si>
  <si>
    <t>51B741038236349F3E94D4B9ACCA345FD5B979</t>
  </si>
  <si>
    <t>56D721037238540E9C28625D5C9B1051B741038236349F3E94D4B9ACCA345FD5B979</t>
  </si>
  <si>
    <t>56D721037238540E9C28625D5C9B105642A103463094DC23D165F7F9B032D39D1B00</t>
  </si>
  <si>
    <t>56D721037238540E9C28625D5C9B1057871103F43654AE9B877C1D35E7001</t>
  </si>
  <si>
    <t>러그단자  동관단자 2H 150㎟  개  전기 4-37   ( 호표 59 )</t>
  </si>
  <si>
    <t>러그단자, 동관단자, 2홀, 150 ㎟</t>
  </si>
  <si>
    <t>51B741038236349F3E94D4B9ACCA345FD5BEFB</t>
  </si>
  <si>
    <t>56D721037238540E9C28625D5C9A7651B741038236349F3E94D4B9ACCA345FD5BEFB</t>
  </si>
  <si>
    <t>56D721037238540E9C28625D5C9A765642A103463094DC23D165F7F9B032D39D1B00</t>
  </si>
  <si>
    <t>56D721037238540E9C28625D5C9A7657871103F43654AE9B877C1D35E7001</t>
  </si>
  <si>
    <t>분전반 설치(신설)  LP-1  면  전기 5-4   ( 호표 60 )</t>
  </si>
  <si>
    <t>51B741038236349F3BC224FF41BF35824AE1C0</t>
  </si>
  <si>
    <t>56D72103713E442CD0A2B4891C229351B741038236349F3BC224FF41BF35824AE1C0</t>
  </si>
  <si>
    <t>56D72103713E442CD0A2B4891C22935642A103463094DC23D165F7F9B032D39D1B0D</t>
  </si>
  <si>
    <t>56D72103713E442CD0A2B4891C229357871103F43654AE9B877C1D35E7001</t>
  </si>
  <si>
    <t>분전반 설치(신설)  LP-2  면  전기 5-4   ( 호표 61 )</t>
  </si>
  <si>
    <t>51B741038236349F3BC224FF41BF35824AE03E</t>
  </si>
  <si>
    <t>56D72103713E442CD0A2B4891C244D51B741038236349F3BC224FF41BF35824AE03E</t>
  </si>
  <si>
    <t>56D72103713E442CD0A2B4891C244D5642A103463094DC23D165F7F9B032D39D1B0D</t>
  </si>
  <si>
    <t>56D72103713E442CD0A2B4891C244D57871103F43654AE9B877C1D35E7001</t>
  </si>
  <si>
    <t>분전반 설치(신설)  LP-3  면  전기 5-4   ( 호표 62 )</t>
  </si>
  <si>
    <t>51B741038236349F3BC224FF41BF35824AE031</t>
  </si>
  <si>
    <t>56D72103713E442CD0A2B4891C244C51B741038236349F3BC224FF41BF35824AE031</t>
  </si>
  <si>
    <t>56D72103713E442CD0A2B4891C244C5642A103463094DC23D165F7F9B032D39D1B0D</t>
  </si>
  <si>
    <t>56D72103713E442CD0A2B4891C244C57871103F43654AE9B877C1D35E7001</t>
  </si>
  <si>
    <t>분전반 설치(신설)  PP-ELEV  면  전기 5-4   ( 호표 63 )</t>
  </si>
  <si>
    <t>51B741038236349F3BC224FF41BF35824AE030</t>
  </si>
  <si>
    <t>56D72103713E442CD0A2B4891C244F51B741038236349F3BC224FF41BF35824AE030</t>
  </si>
  <si>
    <t>56D72103713E442CD0A2B4891C244F5642A103463094DC23D165F7F9B032D39D1B0D</t>
  </si>
  <si>
    <t>56D72103713E442CD0A2B4891C244F57871103F43654AE9B877C1D35E7001</t>
  </si>
  <si>
    <t>분전반 설치(신설)  PP-OAC  면  전기 5-4   ( 호표 64 )</t>
  </si>
  <si>
    <t>51B741038236349F3BC224FF41BF35824AE768</t>
  </si>
  <si>
    <t>56D72103713E442CD0A2B4891C244E51B741038236349F3BC224FF41BF35824AE768</t>
  </si>
  <si>
    <t>56D72103713E442CD0A2B4891C244E5642A103463094DC23D165F7F9B032D39D1B0D</t>
  </si>
  <si>
    <t>56D72103713E442CD0A2B4891C244E57871103F43654AE9B877C1D35E7001</t>
  </si>
  <si>
    <t>합성수지제 가요전선관-매입  (난연성), 16㎜  M  전기 5-1   ( 호표 65 )</t>
  </si>
  <si>
    <t>합성수지제가요전선관</t>
  </si>
  <si>
    <t>합성수지제가요전선관, 난연성, 16mm</t>
  </si>
  <si>
    <t>51B74103823624F9511499FDD9AF486215C095</t>
  </si>
  <si>
    <t>56D721037238D443BABB9662C14F9A51B74103823624F9511499FDD9AF486215C095</t>
  </si>
  <si>
    <t>CD 관의 40%</t>
  </si>
  <si>
    <t>56D721037238D443BABB9662C14F9A57871103F43654AE9B877C1D35E5003</t>
  </si>
  <si>
    <t>56D721037238D443BABB9662C14F9A57871103F43654AE9B877C1D35E7001</t>
  </si>
  <si>
    <t>56D721037238D443BABB9662C14F9A5642A103463094DC23D165F7F9B032D39D1B0D</t>
  </si>
  <si>
    <t>56D721037238D443BABB9662C14F9A57871103F43654AE9B877C1D35E4002</t>
  </si>
  <si>
    <t>아우트렛박스  중형4각 54㎜  개  전기 5-3   ( 호표 66 )</t>
  </si>
  <si>
    <t>아웃렛박스</t>
  </si>
  <si>
    <t>중형4각, 54mm</t>
  </si>
  <si>
    <t>51B741038236349F391599F9B5AABA24F94CAF</t>
  </si>
  <si>
    <t>56D72103703DA466B9C9A6134B41D351B741038236349F391599F9B5AABA24F94CAF</t>
  </si>
  <si>
    <t>커버, 4각, 평</t>
  </si>
  <si>
    <t>51B741038236349F391599FA5B0CF54E49FFE5</t>
  </si>
  <si>
    <t>56D72103703DA466B9C9A6134B41D351B741038236349F391599FA5B0CF54E49FFE5</t>
  </si>
  <si>
    <t>56D72103703DA466B9C9A6134B41D35642A103463094DC23D165F7F9B032D39D1B0D</t>
  </si>
  <si>
    <t>56D72103703DA466B9C9A6134B41D357871103F43654AE9B877C1D35E7001</t>
  </si>
  <si>
    <t>450/75OV 저독성난연가교폴리올레핀절연전선(HFIX)  4㎟ (바닥)  m  전기 5-10   ( 호표 67 )</t>
  </si>
  <si>
    <t>저독성난연케이블</t>
  </si>
  <si>
    <t>HFIX, 4 ㎟</t>
  </si>
  <si>
    <t>51A5110355317492321F52CC339F5FA1C9037D</t>
  </si>
  <si>
    <t>56D721037238E46A400B8D6C8BEB9251A5110355317492321F52CC339F5FA1C9037D</t>
  </si>
  <si>
    <t>56D721037238E46A400B8D6C8BEB925642A103463094DC23D165F7F9B032D39D1B0D</t>
  </si>
  <si>
    <t>56D721037238E46A400B8D6C8BEB9257871103F43654AE9B877C1D35E7001</t>
  </si>
  <si>
    <t>0.6/1kV 난연 전력 케이블(F-CV)  4C 4㎟  m  전기 5-13   ( 호표 68 )</t>
  </si>
  <si>
    <t>0.6/1kV, F-CV, 4C*4㎟</t>
  </si>
  <si>
    <t>51A5110355317492321F52CC31D491D62EADF9</t>
  </si>
  <si>
    <t>56D721037238F471B0B3116C82409F51A5110355317492321F52CC31D491D62EADF9</t>
  </si>
  <si>
    <t>56D721037238F471B0B3116C82409F57871103F43654AE9B877C1D35E7001</t>
  </si>
  <si>
    <t>56D721037238F471B0B3116C82409F57871103F43654AE9B877C1D35E4002</t>
  </si>
  <si>
    <t>56D721037238F471B0B3116C82409F5642A103463094DC23D165F7F9B032D39D1B00</t>
  </si>
  <si>
    <t>콘센트 설치(매입)  접지형, 15A 250V, 2구  개  전기 5-23.1   ( 호표 69 )</t>
  </si>
  <si>
    <t>2구, 15A, 250V, 매입형, 접지</t>
  </si>
  <si>
    <t>51B741038236349F3E97ACF18F381882199E5A</t>
  </si>
  <si>
    <t>56D721037238540E9D307970DE8BAA51B741038236349F3E97ACF18F381882199E5A</t>
  </si>
  <si>
    <t>56D721037238540E9D307970DE8BAA5642A103463094DC23D165F7F9B032D39D1B0D</t>
  </si>
  <si>
    <t>56D721037238540E9D307970DE8BAA57871103F43654AE9B877C1D35E7001</t>
  </si>
  <si>
    <t>콘센트 설치(매입)  방우형, 15A 250V, 2구  개  전기 5-23.1   ( 호표 70 )</t>
  </si>
  <si>
    <t>2구, 15A, 250V, 방우형</t>
  </si>
  <si>
    <t>51B741038236349F3E97ACF18E121F2E6442D6</t>
  </si>
  <si>
    <t>56D721037238540E9D307970DE847D51B741038236349F3E97ACF18E121F2E6442D6</t>
  </si>
  <si>
    <t>56D721037238540E9D307970DE847D5642A103463094DC23D165F7F9B032D39D1B0D</t>
  </si>
  <si>
    <t>56D721037238540E9D307970DE847D57871103F43654AE9B877C1D35E7001</t>
  </si>
  <si>
    <t>대기전력차단콘센트 설치(매입)  3구, 16A 250V  개  전기 5-23.1   ( 호표 71 )</t>
  </si>
  <si>
    <t>대기전력자동차단 콘센트</t>
  </si>
  <si>
    <t>51B741038236349F3E97ACF0E954FB7DDFCEBB</t>
  </si>
  <si>
    <t>56D721037238540E9D307970DE8BA951B741038236349F3E97ACF0E954FB7DDFCEBB</t>
  </si>
  <si>
    <t>56D721037238540E9D307970DE8BA957871103F43654AE9B877C1D35E7001</t>
  </si>
  <si>
    <t>56D721037238540E9D307970DE8BA95642A103463094DC23D165F7F9B032D39D1B0D</t>
  </si>
  <si>
    <t>1종금속제가요전선관   16 mm 비방수  M  전기 5-1   ( 호표 72 )</t>
  </si>
  <si>
    <t>16mm, 비방수</t>
  </si>
  <si>
    <t>51B74103823624F9511499FEE08044DD4014B0</t>
  </si>
  <si>
    <t>56D721037238D443BD0FD4A200408051B74103823624F9511499FEE08044DD4014B0</t>
  </si>
  <si>
    <t>56D721037238D443BD0FD4A200408057871103F43654AE9B877C1D35E7001</t>
  </si>
  <si>
    <t>56D721037238D443BD0FD4A200408057871103F43654AE9B877C1D35E4002</t>
  </si>
  <si>
    <t>56D721037238D443BD0FD4A20040805642A103463094DC23D165F7F9B032D39D1B0D</t>
  </si>
  <si>
    <t>아우트렛박스  8각  54mm  개  전기 5-3   ( 호표 73 )</t>
  </si>
  <si>
    <t>8각, 54mm</t>
  </si>
  <si>
    <t>51B741038236349F391599F9B5AABA24F94CA6</t>
  </si>
  <si>
    <t>56D721037238540E9FFE4C0D47DAB651B741038236349F391599F9B5AABA24F94CA6</t>
  </si>
  <si>
    <t>커버, 8각, 둥근구멍, 평</t>
  </si>
  <si>
    <t>51B741038236349F391599FA5B0CF54E49FFE4</t>
  </si>
  <si>
    <t>56D721037238540E9FFE4C0D47DAB651B741038236349F391599FA5B0CF54E49FFE4</t>
  </si>
  <si>
    <t>56D721037238540E9FFE4C0D47DAB65642A103463094DC23D165F7F9B032D39D1B0D</t>
  </si>
  <si>
    <t>56D721037238540E9FFE4C0D47DAB657871103F43654AE9B877C1D35E7001</t>
  </si>
  <si>
    <t>아우트렛박스  중형4각 54㎜  개  전기 5-3   ( 호표 74 )</t>
  </si>
  <si>
    <t>51B741038236349F391599F9B5AABA24F94CA5</t>
  </si>
  <si>
    <t>56D721037238540E9FFE4C0D47DB5D51B741038236349F391599F9B5AABA24F94CA5</t>
  </si>
  <si>
    <t>56D721037238540E9FFE4C0D47DB5D51B741038236349F391599FA5B0CF54E49FFE5</t>
  </si>
  <si>
    <t>56D721037238540E9FFE4C0D47DB5D5642A103463094DC23D165F7F9B032D39D1B0D</t>
  </si>
  <si>
    <t>인력품의 3%</t>
    <phoneticPr fontId="17" type="noConversion"/>
  </si>
  <si>
    <t>56D721037238540E9FFE4C0D47DB5D57871103F43654AE9B877C1D35E7001</t>
  </si>
  <si>
    <t>스위치박스-매입  1 개용 54 mm  개  전기 5-3   ( 호표 75 )</t>
  </si>
  <si>
    <t>스위치박스, 1개용, 54mm</t>
  </si>
  <si>
    <t>51B741038236349F391597CA9306A309ACAAA3</t>
  </si>
  <si>
    <t>56D721037238540E9FFE4C0D46353C51B741038236349F391597CA9306A309ACAAA3</t>
  </si>
  <si>
    <t>커버, 4각, 1개용S/W, 오목</t>
  </si>
  <si>
    <t>51B741038236349F391599FA5B0CF54E49FFE0</t>
  </si>
  <si>
    <t>56D721037238540E9FFE4C0D46353C51B741038236349F391599FA5B0CF54E49FFE0</t>
  </si>
  <si>
    <t>56D721037238540E9FFE4C0D46353C5642A103463094DC23D165F7F9B032D39D1B0D</t>
  </si>
  <si>
    <t>56D721037238540E9FFE4C0D46353C57871103F43654AE9B877C1D35E7001</t>
  </si>
  <si>
    <t>450/75OV 저독성난연가교폴리올레핀절연전선(HFIX)  2.5㎟  m     ( 호표 76 )</t>
  </si>
  <si>
    <t>HFIX, 2.5 ㎟</t>
  </si>
  <si>
    <t>51A5110355317492321F52CC339F5FA1C9025E</t>
  </si>
  <si>
    <t>56D721037238E46A400B8D6C8BEA8A51A5110355317492321F52CC339F5FA1C9025E</t>
  </si>
  <si>
    <t>56D721037238E46A400B8D6C8BEA8A5642A103463094DC23D165F7F9B032D39D1B0D</t>
  </si>
  <si>
    <t>56D721037238E46A400B8D6C8BEA8A57871103F43654AE9B877C1D35E7001</t>
  </si>
  <si>
    <t>와이드 스위치  1로 1구  개  전기 5-23.2   ( 호표 77 )</t>
  </si>
  <si>
    <t>와이드스위치</t>
  </si>
  <si>
    <t>단로, 15A 250V,  1구</t>
  </si>
  <si>
    <t>51B7410382363497ED77A0537D3798A3285914</t>
  </si>
  <si>
    <t>56D721037238540E9D307970DCD22551B7410382363497ED77A0537D3798A3285914</t>
  </si>
  <si>
    <t>56D721037238540E9D307970DCD2255642A103463094DC23D165F7F9B032D39D1B0D</t>
  </si>
  <si>
    <t>56D721037238540E9D307970DCD22557871103F43654AE9B877C1D35E7001</t>
  </si>
  <si>
    <t>와이드 스위치  1로 2구  개     ( 호표 78 )</t>
  </si>
  <si>
    <t>단로, 15A 250V,  2구</t>
  </si>
  <si>
    <t>51B7410382363497ED77A0537D3798A328591B</t>
  </si>
  <si>
    <t>56D721037238540E9D307970DCD22451B7410382363497ED77A0537D3798A328591B</t>
  </si>
  <si>
    <t>56D721037238540E9D307970DCD2245642A103463094DC23D165F7F9B032D39D1B0D</t>
  </si>
  <si>
    <t>56D721037238540E9D307970DCD22457871103F43654AE9B877C1D35E7001</t>
  </si>
  <si>
    <t>와이드 스위치  1로 3구  개  전기 5-23.2   ( 호표 79 )</t>
  </si>
  <si>
    <t>단로, 15A 250V,  3구</t>
  </si>
  <si>
    <t>51B7410382363497ED77A0537D3798A328591A</t>
  </si>
  <si>
    <t>56D721037238540E9D307970DCD22751B7410382363497ED77A0537D3798A328591A</t>
  </si>
  <si>
    <t>56D721037238540E9D307970DCD2275642A103463094DC23D165F7F9B032D39D1B0D</t>
  </si>
  <si>
    <t>56D721037238540E9D307970DCD22757871103F43654AE9B877C1D35E7001</t>
  </si>
  <si>
    <t>와이드 스위치  1로 4구  개  전기 5-23.2   ( 호표 80 )</t>
  </si>
  <si>
    <t>단로, 15A 250V,  4구</t>
  </si>
  <si>
    <t>51B7410382363497ED77A0537C18CBC8DFA36A</t>
  </si>
  <si>
    <t>56D721037238540E9D307970DCD22651B7410382363497ED77A0537C18CBC8DFA36A</t>
  </si>
  <si>
    <t>56D721037238540E9D307970DCD2265642A103463094DC23D165F7F9B032D39D1B0D</t>
  </si>
  <si>
    <t>56D721037238540E9D307970DCD22657871103F43654AE9B877C1D35E7001</t>
  </si>
  <si>
    <t>레일 설치  레일 1M  개  전기 5-25-3   ( 호표 81 )</t>
  </si>
  <si>
    <t>1M</t>
  </si>
  <si>
    <t>51B74103823604CB5ED508F8E1773B291009EC</t>
  </si>
  <si>
    <t>56D721037238540E9D307EF2DBEACE51B74103823604CB5ED508F8E1773B291009EC</t>
  </si>
  <si>
    <t>56D721037238540E9D307EF2DBEACE5642A103463094DC23D165F7F9B032D39D1B0D</t>
  </si>
  <si>
    <t>56D721037238540E9D307EF2DBEACE57871103F43654AE9B877C1D35E7001</t>
  </si>
  <si>
    <t>조명기구(TYPE"A")  LED 라인조명 22W  개  전기 5-25-3   ( 호표 82 )</t>
  </si>
  <si>
    <t>51B7410382363497ED77A0525736D703AF7451</t>
  </si>
  <si>
    <t>56D721037238540E9D307EF2DEBCF651B7410382363497ED77A0525736D703AF7451</t>
  </si>
  <si>
    <t>56D721037238540E9D307EF2DEBCF657871103F43654AE9B877C1D35E7001</t>
  </si>
  <si>
    <t>56D721037238540E9D307EF2DEBCF65642A103463094DC23D165F7F9B032D39D1B0D</t>
  </si>
  <si>
    <t>조명기구(TYPE"B")  LED 샹들리애 40W  개  전기 5-25-3   ( 호표 83 )</t>
  </si>
  <si>
    <t>51B7410382363497ED77A0525736D703AF7450</t>
  </si>
  <si>
    <t>56D721037238540E9D307EF2DEBCFE51B7410382363497ED77A0525736D703AF7450</t>
  </si>
  <si>
    <t>56D721037238540E9D307EF2DEBCFE5642A103463094DC23D165F7F9B032D39D1B0D</t>
  </si>
  <si>
    <t>56D721037238540E9D307EF2DEBCFE57871103F43654AE9B877C1D35E7001</t>
  </si>
  <si>
    <t>조명기구(TYPE"C")  LED 팬던트등 10W  개  전기 5-25-3   ( 호표 84 )</t>
  </si>
  <si>
    <t>51B7410382363497ED77A0525736D703AF7453</t>
  </si>
  <si>
    <t>56D721037238540E9D307EF2DEBD9E51B7410382363497ED77A0525736D703AF7453</t>
  </si>
  <si>
    <t>56D721037238540E9D307EF2DEBD9E5642A103463094DC23D165F7F9B032D39D1B0D</t>
  </si>
  <si>
    <t>56D721037238540E9D307EF2DEBD9E57871103F43654AE9B877C1D35E7001</t>
  </si>
  <si>
    <t>조명기구(TYPE"D")  LED 직부등 40W  개  전기 5-25-3   ( 호표 85 )</t>
  </si>
  <si>
    <t>51B7410382363497ED77A0525736D703AF7452</t>
  </si>
  <si>
    <t>56D721037238540E9D307EF2DEBD9F51B7410382363497ED77A0525736D703AF7452</t>
  </si>
  <si>
    <t>56D721037238540E9D307EF2DEBD9F5642A103463094DC23D165F7F9B032D39D1B0D</t>
  </si>
  <si>
    <t>56D721037238540E9D307EF2DEBD9F57871103F43654AE9B877C1D35E7001</t>
  </si>
  <si>
    <t>조명기구(TYPE"E")  LED 직부등 25W  개  전기 5-25-3   ( 호표 86 )</t>
  </si>
  <si>
    <t>51B7410382363497ED77A0525736D703AF7455</t>
  </si>
  <si>
    <t>56D721037238540E9D307EF2DEBD9C51B7410382363497ED77A0525736D703AF7455</t>
  </si>
  <si>
    <t>56D721037238540E9D307EF2DEBD9C5642A103463094DC23D165F7F9B032D39D1B0D</t>
  </si>
  <si>
    <t>56D721037238540E9D307EF2DEBD9C57871103F43654AE9B877C1D35E7001</t>
  </si>
  <si>
    <t>조명기구(TYPE"F")  LED 스포트라이트 10W  개  전기 5-25-3   ( 호표 87 )</t>
  </si>
  <si>
    <t>51B7410382363497ED77A0525736D703AF7454</t>
  </si>
  <si>
    <t>56D721037238540E9D307EF2DEBD9D51B7410382363497ED77A0525736D703AF7454</t>
  </si>
  <si>
    <t>56D721037238540E9D307EF2DEBD9D5642A103463094DC23D165F7F9B032D39D1B0D</t>
  </si>
  <si>
    <t>56D721037238540E9D307EF2DEBD9D57871103F43654AE9B877C1D35E7001</t>
  </si>
  <si>
    <t>조명기구(TYPE"G")  LED 다운라이트 10W  개  전기 5-25-3   ( 호표 88 )</t>
  </si>
  <si>
    <t>51B7410382363497ED77A0525736D703AF7457</t>
  </si>
  <si>
    <t>56D721037238540E9D307EF2DEBD9A51B7410382363497ED77A0525736D703AF7457</t>
  </si>
  <si>
    <t>56D721037238540E9D307EF2DEBD9A5642A103463094DC23D165F7F9B032D39D1B0D</t>
  </si>
  <si>
    <t>56D721037238540E9D307EF2DEBD9A57871103F43654AE9B877C1D35E7001</t>
  </si>
  <si>
    <t>조명기구(TYPE"H")  LED 벽부등 10W  개  전기 5-25-3   ( 호표 89 )</t>
  </si>
  <si>
    <t>51B7410382363497ED77A0525736D703AF7456</t>
  </si>
  <si>
    <t>56D721037238540E9D307EF2DEBD9B51B7410382363497ED77A0525736D703AF7456</t>
  </si>
  <si>
    <t>56D721037238540E9D307EF2DEBD9B5642A103463094DC23D165F7F9B032D39D1B0D</t>
  </si>
  <si>
    <t>56D721037238540E9D307EF2DEBD9B57871103F43654AE9B877C1D35E7001</t>
  </si>
  <si>
    <t>조명기구(TYPE"I")  LED 벽부등 15W  개  전기 5-25-3   ( 호표 90 )</t>
  </si>
  <si>
    <t>51B7410382363497ED77A0525736D703AF7459</t>
  </si>
  <si>
    <t>56D721037238540E9D307EF2DEBD9851B7410382363497ED77A0525736D703AF7459</t>
  </si>
  <si>
    <t>56D721037238540E9D307EF2DEBD985642A103463094DC23D165F7F9B032D39D1B0D</t>
  </si>
  <si>
    <t>56D721037238540E9D307EF2DEBD9857871103F43654AE9B877C1D35E7001</t>
  </si>
  <si>
    <t>1종금속제가요전선관   54 mm 방수  M  전기 5-1   ( 호표 91 )</t>
  </si>
  <si>
    <t>54mm, 방수</t>
  </si>
  <si>
    <t>51B74103823624F9511499FEE08044DD4014B5</t>
  </si>
  <si>
    <t>56D721037238D443BD0FD4A2004BAB51B74103823624F9511499FEE08044DD4014B5</t>
  </si>
  <si>
    <t>56D721037238D443BD0FD4A2004BAB57871103F43654AE9B877C1D35E7001</t>
  </si>
  <si>
    <t>56D721037238D443BD0FD4A2004BAB57871103F43654AE9B877C1D35E4002</t>
  </si>
  <si>
    <t>56D721037238D443BD0FD4A2004BAB5642A103463094DC23D165F7F9B032D39D1B0D</t>
  </si>
  <si>
    <t>1종금속제가요전선관   36 mm 방수  M  전기 5-1   ( 호표 92 )</t>
  </si>
  <si>
    <t>36mm, 방수</t>
  </si>
  <si>
    <t>51B74103823624F9511499FEE08044DD4014B3</t>
  </si>
  <si>
    <t>56D721037238D443BD0FD4A200450051B74103823624F9511499FEE08044DD4014B3</t>
  </si>
  <si>
    <t>56D721037238D443BD0FD4A200450057871103F43654AE9B877C1D35E7001</t>
  </si>
  <si>
    <t>56D721037238D443BD0FD4A200450057871103F43654AE9B877C1D35E4002</t>
  </si>
  <si>
    <t>56D721037238D443BD0FD4A20045005642A103463094DC23D165F7F9B032D39D1B0D</t>
  </si>
  <si>
    <t>450/75OV 저독성난연가교폴리올레핀절연전선(HFIX)  4㎟  m  전기 5-10   ( 호표 93 )</t>
  </si>
  <si>
    <t>56D721037238E46A400B8D6C8BEB9051A5110355317492321F52CC339F5FA1C9037D</t>
  </si>
  <si>
    <t>56D721037238E46A400B8D6C8BEB905642A103463094DC23D165F7F9B032D39D1B0D</t>
  </si>
  <si>
    <t>56D721037238E46A400B8D6C8BEB9057871103F43654AE9B877C1D35E7001</t>
  </si>
  <si>
    <t>난연 비닐 절연 접지용전선(F-GV)  0.6/1kV  16㎟  m  전기 3-38   ( 호표 94 )</t>
  </si>
  <si>
    <t>56D721037238E46A4237DB110ECFFC51A511035531749231747254FBE1520712BC27</t>
  </si>
  <si>
    <t>56D721037238E46A4237DB110ECFFC57871103F43654AE9B877C1D35E7001</t>
  </si>
  <si>
    <t>56D721037238E46A4237DB110ECFFC5642A103463094DC23D165F7F9B032D39D1B00</t>
  </si>
  <si>
    <t>56D721037238E46A4237DB110ECFFC57871103F43654AE9B877C1D35E4002</t>
  </si>
  <si>
    <t>터파기(기계)  보통토사, 백호0.7m3  M3  토목 9-3   ( 호표 95 )</t>
  </si>
  <si>
    <t>터파기/토사</t>
  </si>
  <si>
    <t>보통, 유압식백호 0.7m3</t>
  </si>
  <si>
    <t>산근 1</t>
  </si>
  <si>
    <t>56B2D103393D741927A52BAC8B5CE0</t>
  </si>
  <si>
    <t>569DE103C338D485C0BEAD2F68345456B2D103393D741927A52BAC8B5CE0</t>
  </si>
  <si>
    <t>되메우고 다지기(백호+래머)  토사, T=30cm  M3  토목 9-3, 9-11.3   ( 호표 96 )</t>
  </si>
  <si>
    <t>되메우기/토사, 두께 30cm</t>
  </si>
  <si>
    <t>보통, 유압식백호 0.7m3+래머 80kg</t>
  </si>
  <si>
    <t>산근 2</t>
  </si>
  <si>
    <t>56B2D103343554190C706F57E351F2</t>
  </si>
  <si>
    <t>569DE103C53B84CC97FB42C5A3863F56B2D103343554190C706F57E351F2</t>
  </si>
  <si>
    <t>트럭탑재형 크레인  10ton  HR  토목 11-5.9   ( 호표 97 )</t>
  </si>
  <si>
    <t>대</t>
  </si>
  <si>
    <t>천원</t>
  </si>
  <si>
    <t>518A9103013724F1685F75AD9C0F34D01EE432</t>
  </si>
  <si>
    <t>518A9103013724F1685F75AD9C0F34D01EE432AF518A9103013724F1685F75AD9C0F34D01EE432</t>
  </si>
  <si>
    <t>경유</t>
  </si>
  <si>
    <t>경유, 저유황</t>
  </si>
  <si>
    <t>L</t>
  </si>
  <si>
    <t>519B5103F53634A902DDAC72BFB3C4155BA458</t>
  </si>
  <si>
    <t>518A9103013724F1685F75AD9C0F34D01EE432AF519B5103F53634A902DDAC72BFB3C4155BA458</t>
  </si>
  <si>
    <t>잡재료</t>
  </si>
  <si>
    <t>주연료비의 20%</t>
  </si>
  <si>
    <t>518A9103013724F1685F75AD9C0F34D01EE432AF57871103F43654AE9B877C1D35E7001</t>
  </si>
  <si>
    <t>화물차운전사</t>
  </si>
  <si>
    <t>5642A103463094DC23D165F7F9B032D39D18BD</t>
  </si>
  <si>
    <t>518A9103013724F1685F75AD9C0F34D01EE432AF5642A103463094DC23D165F7F9B032D39D18BD</t>
  </si>
  <si>
    <t>굴삭기(무한궤도)  0.7 ㎥  HR  기계화 11-3 경비   ( 호표 98 )</t>
  </si>
  <si>
    <t>0.7㎥</t>
  </si>
  <si>
    <t>518A9103013724F3140E45C48689E0BF80D65E</t>
  </si>
  <si>
    <t>518A9103013724F3140E45C48689E0BF80D65EFF518A9103013724F3140E45C48689E0BF80D65E</t>
  </si>
  <si>
    <t>518A9103013724F3140E45C48689E0BF80D65EFF519B5103F53634A902DDAC72BFB3C4155BA458</t>
  </si>
  <si>
    <t>주연료비의 22%</t>
  </si>
  <si>
    <t>518A9103013724F3140E45C48689E0BF80D65EFF57871103F43654AE9B877C1D35E7001</t>
  </si>
  <si>
    <t>건설기계운전사</t>
  </si>
  <si>
    <t>5642A103463094DC23D165F7F9B032D39D18BC</t>
  </si>
  <si>
    <t>518A9103013724F3140E45C48689E0BF80D65EFF5642A103463094DC23D165F7F9B032D39D18BC</t>
  </si>
  <si>
    <t>래머  80 kg  HR  기계화 11-11 경비   ( 호표 99 )</t>
  </si>
  <si>
    <t>518A9103013724F276E3D28BB81D08B7F361D0</t>
  </si>
  <si>
    <t>518A9103013724F276E3D28BB81D08B7F361D091518A9103013724F276E3D28BB81D08B7F361D0</t>
  </si>
  <si>
    <t>공업용휘발유</t>
  </si>
  <si>
    <t>공업용휘발유, 무연</t>
  </si>
  <si>
    <t>519B5103F53634A902DDAFC6BDA1C90F1293E2</t>
  </si>
  <si>
    <t>518A9103013724F276E3D28BB81D08B7F361D091519B5103F53634A902DDAFC6BDA1C90F1293E2</t>
  </si>
  <si>
    <t>주연료비의 10%</t>
  </si>
  <si>
    <t>518A9103013724F276E3D28BB81D08B7F361D09157871103F43654AE9B877C1D35E7001</t>
  </si>
  <si>
    <t>일반기계운전사</t>
  </si>
  <si>
    <t>5642A103463094DC23D165F7F9B032D39D195B</t>
  </si>
  <si>
    <t>518A9103013724F276E3D28BB81D08B7F361D0915642A103463094DC23D165F7F9B032D39D195B</t>
  </si>
  <si>
    <t>현장내 잔토처리  소운반. 깔고 고르기  M3  토목 3-1-3.1   ( 호표 100 )</t>
  </si>
  <si>
    <t>569DE103C53B84CC904AAE85906EF15642A103463094DC23D165F7F9B032D39D1C2D</t>
  </si>
  <si>
    <t>[ 평창 에코랜드 조성사업(전기) ] - 일위노임 산출근거(2022년 상반기 노임)</t>
    <phoneticPr fontId="18" type="noConversion"/>
  </si>
  <si>
    <t>내선전공</t>
    <phoneticPr fontId="18" type="noConversion"/>
  </si>
  <si>
    <t>저압케이블전공</t>
    <phoneticPr fontId="18" type="noConversion"/>
  </si>
  <si>
    <t>특고압케이블전공</t>
    <phoneticPr fontId="18" type="noConversion"/>
  </si>
  <si>
    <t>배전전공</t>
    <phoneticPr fontId="18" type="noConversion"/>
  </si>
  <si>
    <t>통신케이블공</t>
    <phoneticPr fontId="18" type="noConversion"/>
  </si>
  <si>
    <t>보통인부</t>
    <phoneticPr fontId="18" type="noConversion"/>
  </si>
  <si>
    <t>특별인부</t>
    <phoneticPr fontId="18" type="noConversion"/>
  </si>
  <si>
    <t>공량산출</t>
    <phoneticPr fontId="18" type="noConversion"/>
  </si>
  <si>
    <t>단 위 단 가 산 출</t>
    <phoneticPr fontId="18" type="noConversion"/>
  </si>
  <si>
    <t>품셈근거</t>
    <phoneticPr fontId="18" type="noConversion"/>
  </si>
  <si>
    <t>결정수량</t>
    <phoneticPr fontId="18" type="noConversion"/>
  </si>
  <si>
    <t>할증</t>
    <phoneticPr fontId="18" type="noConversion"/>
  </si>
  <si>
    <t>산출수량</t>
    <phoneticPr fontId="18" type="noConversion"/>
  </si>
  <si>
    <t>재할%</t>
    <phoneticPr fontId="18" type="noConversion"/>
  </si>
  <si>
    <t>명칭</t>
    <phoneticPr fontId="18" type="noConversion"/>
  </si>
  <si>
    <t>품셈</t>
    <phoneticPr fontId="18" type="noConversion"/>
  </si>
  <si>
    <t>할증%</t>
    <phoneticPr fontId="18" type="noConversion"/>
  </si>
  <si>
    <t>공량</t>
    <phoneticPr fontId="18" type="noConversion"/>
  </si>
  <si>
    <t>단위단가</t>
    <phoneticPr fontId="18" type="noConversion"/>
  </si>
  <si>
    <t>단위계</t>
    <phoneticPr fontId="18" type="noConversion"/>
  </si>
  <si>
    <t>[ 제 1호 ] 파이프행가  22 C [개소]</t>
  </si>
  <si>
    <t>800</t>
  </si>
  <si>
    <t>전기5-29</t>
  </si>
  <si>
    <t>노임계</t>
  </si>
  <si>
    <t>[ 제 2호 ] 파이프행가  36 C [개소]</t>
  </si>
  <si>
    <t>[ 제 3호 ] 파이프행가  104 C [개소]</t>
  </si>
  <si>
    <t>[ 제 4호 ] 맨홀  1000x1000x1000 [개소]</t>
  </si>
  <si>
    <t>전기2-18</t>
  </si>
  <si>
    <t>전기4-43-3</t>
  </si>
  <si>
    <t>전기3-38</t>
  </si>
  <si>
    <t>[ 제 5호 ] 접지공사  3종 [개소]</t>
  </si>
  <si>
    <t>[ 제 6호 ] 가로등중공기초  접지(유),500*800*700 [개소]</t>
  </si>
  <si>
    <t>전기5-27-1</t>
  </si>
  <si>
    <t>[ 제 7호 ] 가로등 건주 기계화 시공  일반 5m-7m [개소]</t>
  </si>
  <si>
    <t>MM698797418</t>
  </si>
  <si>
    <t>품셈 산출근거</t>
  </si>
  <si>
    <t>건주 기계화 일반 5m-7m</t>
  </si>
  <si>
    <t>전기5-27-나</t>
  </si>
  <si>
    <t>[ 제 8호 ] 정원등중공기초  400x500x565x400 [개소]</t>
  </si>
  <si>
    <t>[ 제 9호 ] 강제전선관  아연도 22 mm [M.]</t>
  </si>
  <si>
    <t>전기5-1</t>
  </si>
  <si>
    <t>[ 제 10호 ] 강제전선관  아연도 36 mm [M.]</t>
  </si>
  <si>
    <t>[ 제 11호 ] 강제전선관  아연도 104 mm [M.]</t>
  </si>
  <si>
    <t>[ 제 12호 ] 강제전선관(노출)  아연도 22 mm [M.]</t>
  </si>
  <si>
    <t>[ 제 13호 ] 경질비닐전선관  HI 16 mm [M.]</t>
  </si>
  <si>
    <t>[ 제 14호 ] 경질비닐전선관  HI 28 mm [M.]</t>
  </si>
  <si>
    <t>[ 제 15호 ] 경질비닐전선관  HI 36 mm [M.]</t>
  </si>
  <si>
    <t>[ 제 16호 ] 경질비닐전선관  HI 42 mm [M.]</t>
  </si>
  <si>
    <t>[ 제 17호 ] 경질비닐전선관  HI 70 mm [M.]</t>
  </si>
  <si>
    <t>[ 제 18호 ] 경질비닐전선관  HI 104 mm [M.]</t>
  </si>
  <si>
    <t>[ 제 19호 ] 합성수지제 가요전선관  CD 난연성, 22㎜ [M..]</t>
  </si>
  <si>
    <t>[ 제 20호 ] 합성수지제 가요전선관  CD 난연성, 28㎜ [M..]</t>
  </si>
  <si>
    <t>[ 제 21호 ] 파상형 폴리에틸렌 전선관  30㎜ [M.]</t>
  </si>
  <si>
    <t>전기4-31</t>
  </si>
  <si>
    <t>[ 제 22호 ] 파상형 폴리에틸렌 전선관  125㎜ [M.]</t>
  </si>
  <si>
    <t>[ 제 23호 ] 1종금속제가요전선관  16 mm 비방수 [M.]</t>
  </si>
  <si>
    <t>[ 제 24호 ] 1종금속제가요전선관  비닐피복, 22 mm 방수 [M.]</t>
  </si>
  <si>
    <t>[ 제 25호 ] 1종금속제가요전선관  비닐피복, 36 mm 방수 [M.]</t>
  </si>
  <si>
    <t>[ 제 28호 ] 관로구방수장치  D30 [조]</t>
  </si>
  <si>
    <t>[ 제 29호 ] 관로구방수장치  D65 [조]</t>
  </si>
  <si>
    <t>[ 제 30호 ] 관로구방수장치  D100 [조]</t>
  </si>
  <si>
    <t>[ 제 31호 ] 관로구방수장치  D125 [조]</t>
  </si>
  <si>
    <t>[ 제 37호 ] 아우트렛박스  8각 54㎜ [개]</t>
  </si>
  <si>
    <t>전기5-3</t>
  </si>
  <si>
    <t>[ 제 38호 ] 아우트렛박스  중형4각 54㎜ [개]</t>
  </si>
  <si>
    <t>[ 제 39호 ] 스위치박스  1 개용 54 mm [개]</t>
  </si>
  <si>
    <t>[ 제 40호 ] 스위치박스  2 개용 54 mm [개]</t>
  </si>
  <si>
    <t>[ 제 44호 ] 정션 박스  100*100*50 [EA]</t>
  </si>
  <si>
    <t>[ 제 45호 ] 풀박스  150×150×100 [개]</t>
  </si>
  <si>
    <t>전기5-4</t>
  </si>
  <si>
    <t>[ 제 46호 ] 풀박스  250×250×150 [개]</t>
  </si>
  <si>
    <t>[ 제 47호 ] 풀박스  300×300×200 [개]</t>
  </si>
  <si>
    <t>[ 제 48호 ] 풀박스  400×400×300 [개]</t>
  </si>
  <si>
    <t>[ 제 49호 ] 450/750V 내열비닐절연전선  HFIX 1.78mm(2.5㎟) [M]</t>
  </si>
  <si>
    <t>전기5-10</t>
  </si>
  <si>
    <t>[ 제 50호 ] 450/750V 내열비닐절연전선  HFIX 2.25mm(4㎟) [M]</t>
  </si>
  <si>
    <t>[ 제 51호 ] 접지용난연절연전선(FGV)  6㎟ [M]</t>
  </si>
  <si>
    <t>[ 제 52호 ] 접지용난연절연전선(FGV)  95㎟ [M]</t>
  </si>
  <si>
    <t>[ 제 53호 ] 접지용난연절연전선(FGV)  120㎟ [M]</t>
  </si>
  <si>
    <t>[ 제 54호 ] 0.6/1kv 폴리에틸렌 난연케이블  F-CV 1C×150㎟ 4열포설 1열당 [M]</t>
  </si>
  <si>
    <t>전기5-11</t>
  </si>
  <si>
    <t>[ 제 55호 ] 0.6/1kv 폴리에틸렌 난연케이블  F-CV 1C×240㎟ 4열포설 1열당 [M]</t>
  </si>
  <si>
    <t>[ 제 56호 ] 0.6/1kv 폴리에틸렌 난연케이블  F-CV 4C×6㎟ [M]</t>
  </si>
  <si>
    <t>전기5-13</t>
  </si>
  <si>
    <t>[ 제 57호 ] 와이드 스위치  SUPPER WIDE,15A,250V 1로1구 [개]</t>
  </si>
  <si>
    <t>전기5-23-나</t>
  </si>
  <si>
    <t>[ 제 58호 ] 와이드 스위치  SUPPER WIDE,15A,250V 1로2구 [개]</t>
  </si>
  <si>
    <t>[ 제 59호 ] 와이드 스위치  SUPPER WIDE,15A,250V 1로3구 [개]</t>
  </si>
  <si>
    <t>[ 제 60호 ] 콘센트  매입-접지형, 15A 250V 2구 [개]</t>
  </si>
  <si>
    <t>전기5-23-가</t>
  </si>
  <si>
    <t>[ 제 61호 ] 방우콘센트  매입-접지형, 15A 250V 2구 [개]</t>
  </si>
  <si>
    <t>[ 제 62호 ] 러그단자(IEC 90)  동관단자 2 HOLE 95 ㎟ [개]</t>
  </si>
  <si>
    <t>전기4-37</t>
  </si>
  <si>
    <t>[ 제 63호 ] 러그단자(IEC 90)  동관단자 2 HOLE 120 ㎟ [개]</t>
  </si>
  <si>
    <t>[ 제 64호 ] 러그단자(IEC 90)  동관단자 2 HOLE 150 ㎟ [개]</t>
  </si>
  <si>
    <t>[ 제 65호 ] 러그단자(IEC 90)  동관단자 2 HOLE 240 ㎟ [개]</t>
  </si>
  <si>
    <t>[ 제 66호 ] 압착단자(IEC 90)  R형동선 나압착 35 ㎟ [개]</t>
  </si>
  <si>
    <t>[ 제 67호 ] 지중선용 가선철물  케이블표지시트, 0.15x150 [m]</t>
  </si>
  <si>
    <t>전기4-45</t>
  </si>
  <si>
    <t>[ 제 68호 ] 다기능 접속함  방수형 [EA]</t>
  </si>
  <si>
    <t>전기5-19</t>
  </si>
  <si>
    <t>[ 제 69호 ] 천정구멍따기  다운라이트용 [개소]</t>
  </si>
  <si>
    <t>[ 제 70호 ] 0.6/1kv 폴리에틸렌 난연케이블  F-CV 2C×6㎟(옥외) [M]</t>
  </si>
  <si>
    <t>전기4-34</t>
  </si>
  <si>
    <t>[ 제 71호 ] 0.6/1kv 폴리에틸렌 난연케이블  F-CV 2C×6㎟(옥외),2열포설1열 [M]</t>
  </si>
  <si>
    <t>[ 제 72호 ] 0.6/1kv 폴리에틸렌 난연케이블  F-CV 2C×2.5㎟(옥외) [M]</t>
  </si>
  <si>
    <t>[ 제 73호 ] 접지용난연절연전선(FGV)  6㎟(옥외) [M]</t>
  </si>
  <si>
    <t>[ 제 74호 ] 0.6/1kv 폴리에틸렌 난연케이블  F-CV1C×240㎟옥외4열포설1열당 [M]</t>
  </si>
  <si>
    <t>[ 제 75호 ] 접지용난연절연전선(FGV)  16㎟(옥외) [M]</t>
  </si>
  <si>
    <t>[ 제 76호 ] 파상형 폴리에틸렌 전선관  30㎜(가로등,신호,구내) [M.]</t>
  </si>
  <si>
    <t>[ 제 77호 ] 파상형 폴리에틸렌 전선관  40㎜(가로등,신호,구내) [M.]</t>
  </si>
  <si>
    <t>[ 제 78호 ] 조명기구(TYPE-A)  매입 LED 40W [SET]</t>
  </si>
  <si>
    <t>전기5-25-3</t>
  </si>
  <si>
    <t>@관급자재</t>
  </si>
  <si>
    <t>[ 제 79호 ] 조명기구(TYPE-B)  직부 LED 40W [SET]</t>
  </si>
  <si>
    <t>[ 제 80호 ] 조명기구(TYPE-C)  투광등 LED 150W [SET]</t>
  </si>
  <si>
    <t>전기5-25-4</t>
  </si>
  <si>
    <t>[ 제 81호 ] 조명기구(TYPE-D)  벽부상하등 LED 10W*2 [SET]</t>
  </si>
  <si>
    <t>전기5-24</t>
  </si>
  <si>
    <t>[ 제 82호 ] 조명기구(TYPE-E)  D/L LED 15W [SET]</t>
  </si>
  <si>
    <t>[ 제 83호 ] 조명기구(TYPE-F)  원형직부 LED 15W [SET]</t>
  </si>
  <si>
    <t>[ 제 84호 ] 조명기구(TYPE-OA)  보안등(열주등)LED 45W,H:4M [SET]</t>
  </si>
  <si>
    <t>전기5-26-3</t>
  </si>
  <si>
    <t>[ 제 85호 ] 조명기구(TYEP-OB)  볼라드 LED 12W [SET]</t>
  </si>
  <si>
    <t>[ 제 86호 ] 분전반  WHM [면]</t>
  </si>
  <si>
    <t>[ 제 87호 ] 분전반  LP-M [면]</t>
  </si>
  <si>
    <t>[ 제 88호 ] 분전반  P-EHP [면]</t>
  </si>
  <si>
    <t>[ 제 90호 ] 0.6/1kv 폴리에틸렌 난연케이블  F-CV 4C×6㎟(옥외) [M]</t>
  </si>
  <si>
    <t>[ 제 91호 ] 파상형 폴리에틸렌 전선관  65㎜(가로등,신호,구내) [M.]</t>
  </si>
  <si>
    <t>[ 제 92호 ] 0.6/1kv 폴리에틸렌 난연케이블  F-CV 2C×6㎟(옥외),5열포설1열 [M]</t>
  </si>
  <si>
    <t>[ 제 93호 ] 0.6/1kv 폴리에틸렌 난연케이블  F-CV 2C×6㎟(옥외),6열포설1열 [M]</t>
  </si>
  <si>
    <t>[ 제 94호 ] 0.6/1kv 폴리에틸렌 난연케이블  F-CV 2C×4㎟(옥외) [M]</t>
  </si>
  <si>
    <t>[ 제 95호 ] 0.6/1kv 폴리에틸렌 난연케이블  F-CV 4C×35㎟(옥외) [M]</t>
  </si>
  <si>
    <t>[ 제 96호 ] 파상형 폴리에틸렌 전선관  30㎜ 4열포설 1열당 [M.]</t>
  </si>
  <si>
    <t>[ 제 97호 ] 파상형 폴리에틸렌 전선관  65㎜ 4열포설 1열당 [M.]</t>
  </si>
  <si>
    <t>[ 제 98호 ] UTP 케이블(옥외)  Cat.5e 0.5mm 4P [M]</t>
  </si>
  <si>
    <t>통신4-3-1</t>
  </si>
  <si>
    <t>133</t>
  </si>
  <si>
    <t>[ 평창 에코랜드 조성사업(전기) ] - 합산자재목록</t>
  </si>
  <si>
    <t>지급비</t>
    <phoneticPr fontId="18" type="noConversion"/>
  </si>
  <si>
    <t>3913170610034833</t>
  </si>
  <si>
    <t>3913170610034835</t>
  </si>
  <si>
    <t>3913170610034841</t>
  </si>
  <si>
    <t>3913170610034965</t>
  </si>
  <si>
    <t>3913170610034967</t>
  </si>
  <si>
    <t>3913170610034968</t>
  </si>
  <si>
    <t>3913170610034969</t>
  </si>
  <si>
    <t>3913170610034971</t>
  </si>
  <si>
    <t>3913170610034973</t>
  </si>
  <si>
    <t>3913170610035665</t>
  </si>
  <si>
    <t>3913170610035666</t>
  </si>
  <si>
    <t>3913170610035631</t>
  </si>
  <si>
    <t>3913170610035637</t>
  </si>
  <si>
    <t>3913170620174410</t>
  </si>
  <si>
    <t>3913170620174423</t>
  </si>
  <si>
    <t>3913170620174425</t>
  </si>
  <si>
    <t>3913170620174447</t>
  </si>
  <si>
    <t>3913170620174449</t>
  </si>
  <si>
    <t>3912171220935649</t>
  </si>
  <si>
    <t>3912171220935651</t>
  </si>
  <si>
    <t>3912171220935653</t>
  </si>
  <si>
    <t>3913170820935665</t>
  </si>
  <si>
    <t>3913170820176476</t>
  </si>
  <si>
    <t>3913170820935617</t>
  </si>
  <si>
    <t>3913170820935618</t>
  </si>
  <si>
    <t>3913170820935621</t>
  </si>
  <si>
    <t>3913170820935623</t>
  </si>
  <si>
    <t>3912130810035750</t>
  </si>
  <si>
    <t>3912130810035753</t>
  </si>
  <si>
    <t>3912130610035778</t>
  </si>
  <si>
    <t>3912130610035781</t>
  </si>
  <si>
    <t>3912130820174712</t>
  </si>
  <si>
    <t>3912130820174715</t>
  </si>
  <si>
    <t>3912130820174718</t>
  </si>
  <si>
    <t>3912130320175917</t>
  </si>
  <si>
    <t>3912130310035797</t>
  </si>
  <si>
    <t>3912130310035803</t>
  </si>
  <si>
    <t>3912130320174767</t>
  </si>
  <si>
    <t>3912130320174772</t>
  </si>
  <si>
    <t>3913170810036358</t>
  </si>
  <si>
    <t>3913170810036360</t>
  </si>
  <si>
    <t>3913170810036365</t>
  </si>
  <si>
    <t>3116210220135769</t>
  </si>
  <si>
    <t>3116169820135160</t>
  </si>
  <si>
    <t>2612162922076727</t>
  </si>
  <si>
    <t>2612162922076728</t>
  </si>
  <si>
    <t>2612152420683697</t>
  </si>
  <si>
    <t>2612152420683702</t>
  </si>
  <si>
    <t>2612152420683704</t>
  </si>
  <si>
    <t>2612152420683705</t>
  </si>
  <si>
    <t>2612162920683893</t>
  </si>
  <si>
    <t>2612162920683895</t>
  </si>
  <si>
    <t>2612162920683945</t>
  </si>
  <si>
    <t>3912998720172256</t>
  </si>
  <si>
    <t>3912998720172257</t>
  </si>
  <si>
    <t>3912998720172258</t>
  </si>
  <si>
    <t>3912140620170850</t>
  </si>
  <si>
    <t>3912140621030228</t>
  </si>
  <si>
    <t>3912130310038051</t>
  </si>
  <si>
    <t>3912161310034844</t>
  </si>
  <si>
    <t>3912161310034846</t>
  </si>
  <si>
    <t>3912141320170949</t>
  </si>
  <si>
    <t>3912169720173984</t>
  </si>
  <si>
    <t>3912143210033800</t>
  </si>
  <si>
    <t>3912143220172048</t>
  </si>
  <si>
    <t>3912143210033801</t>
  </si>
  <si>
    <t>3912143210033803</t>
  </si>
  <si>
    <t>3912143221650913</t>
  </si>
  <si>
    <t>3912219520175619</t>
  </si>
  <si>
    <t>3012169821869019</t>
  </si>
  <si>
    <t>3116172710024976</t>
  </si>
  <si>
    <t>3116181120136195</t>
  </si>
  <si>
    <t>9999999988000121</t>
  </si>
  <si>
    <t>9999999987000308</t>
  </si>
  <si>
    <t>9999999988000354</t>
  </si>
  <si>
    <t>9999999988000355</t>
  </si>
  <si>
    <t>9999999988000356</t>
  </si>
  <si>
    <t>9999999988000357</t>
  </si>
  <si>
    <t>9999999988000360</t>
  </si>
  <si>
    <t>9999999988000361</t>
  </si>
  <si>
    <t>9999999988000362</t>
  </si>
  <si>
    <t>9999999988000363</t>
  </si>
  <si>
    <t>9999999988000377</t>
  </si>
  <si>
    <t>9999999988000378</t>
  </si>
  <si>
    <t>9999999988000379</t>
  </si>
  <si>
    <t>9999999988000380</t>
  </si>
  <si>
    <t>9999999988000381</t>
  </si>
  <si>
    <t>9999999988000382</t>
  </si>
  <si>
    <t>9999999988000384</t>
  </si>
  <si>
    <t>9999999988000385</t>
  </si>
  <si>
    <t>9999999988000386</t>
  </si>
  <si>
    <t>9999999988000387</t>
  </si>
  <si>
    <t>9999999988000388</t>
  </si>
  <si>
    <t>9999999988000389</t>
  </si>
  <si>
    <t>9999999988000391</t>
  </si>
  <si>
    <t>9999999988000393</t>
  </si>
  <si>
    <t>9999999988000394</t>
  </si>
  <si>
    <t>9999999988000395</t>
  </si>
  <si>
    <t>9999999988000396</t>
  </si>
  <si>
    <t>9999999988000398</t>
  </si>
  <si>
    <t>9999999988000399</t>
  </si>
  <si>
    <t>9999999988000400</t>
  </si>
  <si>
    <t>9999999988000401</t>
  </si>
  <si>
    <t>9999999988000402</t>
  </si>
  <si>
    <t>9999999988000403</t>
  </si>
  <si>
    <t>391115ZZ701Z0001</t>
  </si>
  <si>
    <t>391115ZZ701Z0002</t>
  </si>
  <si>
    <t>391115ZZ701Z0003</t>
  </si>
  <si>
    <t>391115ZZ701Z0004</t>
  </si>
  <si>
    <t>ECA565826042</t>
  </si>
  <si>
    <t>ECA565826051</t>
  </si>
  <si>
    <t>ECA565826044</t>
  </si>
  <si>
    <t>ECA565826045</t>
  </si>
  <si>
    <t>ECA565826048</t>
  </si>
  <si>
    <t>ECA565855049</t>
  </si>
  <si>
    <t>L001010101000075</t>
  </si>
  <si>
    <t>L001010101000078</t>
  </si>
  <si>
    <t>L001010101000076</t>
  </si>
  <si>
    <t>L001010101000081</t>
  </si>
  <si>
    <t>L001010101000089</t>
  </si>
  <si>
    <t>L001010101000002</t>
  </si>
  <si>
    <t>L001010101000003</t>
  </si>
  <si>
    <t>단 가 대 비 표</t>
  </si>
  <si>
    <t>규격</t>
  </si>
  <si>
    <t>품목구분</t>
  </si>
  <si>
    <t>노임구분</t>
  </si>
  <si>
    <t>소수점처리</t>
  </si>
  <si>
    <t>가격정보</t>
  </si>
  <si>
    <t>PAGE</t>
  </si>
  <si>
    <t>거래가격</t>
  </si>
  <si>
    <t>물가정보</t>
  </si>
  <si>
    <t>물가자료</t>
  </si>
  <si>
    <t>조사가격</t>
  </si>
  <si>
    <t>적용단가</t>
  </si>
  <si>
    <t>(하)164</t>
  </si>
  <si>
    <t>자재 1</t>
  </si>
  <si>
    <t>(하)165</t>
  </si>
  <si>
    <t>자재 2</t>
  </si>
  <si>
    <t>(하)166</t>
  </si>
  <si>
    <t>자재 3</t>
  </si>
  <si>
    <t>1451</t>
  </si>
  <si>
    <t>1478</t>
  </si>
  <si>
    <t>32(하)</t>
  </si>
  <si>
    <t>자재 4</t>
  </si>
  <si>
    <t>자재 5</t>
  </si>
  <si>
    <t>994</t>
  </si>
  <si>
    <t>1193</t>
  </si>
  <si>
    <t>1115</t>
  </si>
  <si>
    <t>자재 6</t>
  </si>
  <si>
    <t>1233</t>
    <phoneticPr fontId="17" type="noConversion"/>
  </si>
  <si>
    <t>1099</t>
    <phoneticPr fontId="17" type="noConversion"/>
  </si>
  <si>
    <t>자재 7</t>
  </si>
  <si>
    <t>자재 8</t>
  </si>
  <si>
    <t>자재 9</t>
  </si>
  <si>
    <t>자재 10</t>
  </si>
  <si>
    <t>자재 11</t>
  </si>
  <si>
    <t>993</t>
  </si>
  <si>
    <t>1197</t>
  </si>
  <si>
    <t>자재 12</t>
  </si>
  <si>
    <t>1237</t>
    <phoneticPr fontId="17" type="noConversion"/>
  </si>
  <si>
    <t>자재 13</t>
  </si>
  <si>
    <t>자재 14</t>
  </si>
  <si>
    <t>자재 15</t>
  </si>
  <si>
    <t>자재 16</t>
  </si>
  <si>
    <t>자재 17</t>
  </si>
  <si>
    <t>자재 18</t>
  </si>
  <si>
    <t>자재 19</t>
  </si>
  <si>
    <t>자재 20</t>
  </si>
  <si>
    <t>1098</t>
    <phoneticPr fontId="17" type="noConversion"/>
  </si>
  <si>
    <t>자재 21</t>
  </si>
  <si>
    <t>12233</t>
    <phoneticPr fontId="17" type="noConversion"/>
  </si>
  <si>
    <t>자재 22</t>
  </si>
  <si>
    <t>110</t>
  </si>
  <si>
    <t>112</t>
  </si>
  <si>
    <t>자재 23</t>
  </si>
  <si>
    <t>223</t>
  </si>
  <si>
    <t>206</t>
  </si>
  <si>
    <t>자재 24</t>
  </si>
  <si>
    <t>1125</t>
  </si>
  <si>
    <t>1253</t>
  </si>
  <si>
    <t>자재 25</t>
  </si>
  <si>
    <t>210</t>
  </si>
  <si>
    <t>214</t>
  </si>
  <si>
    <t>자재 26</t>
  </si>
  <si>
    <t>자재 27</t>
  </si>
  <si>
    <t>자재 28</t>
  </si>
  <si>
    <t>견적3</t>
  </si>
  <si>
    <t>견적2</t>
  </si>
  <si>
    <t>견적1</t>
  </si>
  <si>
    <t>자재 29</t>
  </si>
  <si>
    <t>자재 30</t>
  </si>
  <si>
    <t>자재 31</t>
  </si>
  <si>
    <t>자재 32</t>
  </si>
  <si>
    <t>자재 33</t>
  </si>
  <si>
    <t>자재 34</t>
  </si>
  <si>
    <t>1231</t>
  </si>
  <si>
    <t>1139</t>
  </si>
  <si>
    <t>자재 35</t>
  </si>
  <si>
    <t>자재 36</t>
  </si>
  <si>
    <t>자재 37</t>
  </si>
  <si>
    <t>투광등 LED 20W</t>
    <phoneticPr fontId="17" type="noConversion"/>
  </si>
  <si>
    <t>자재 38</t>
  </si>
  <si>
    <t>자재 39</t>
  </si>
  <si>
    <t>자재 40</t>
  </si>
  <si>
    <t>자재 41</t>
  </si>
  <si>
    <t>자재 42</t>
  </si>
  <si>
    <t>자재 43</t>
  </si>
  <si>
    <t>자재 44</t>
  </si>
  <si>
    <t>자재 45</t>
  </si>
  <si>
    <t>자재 46</t>
  </si>
  <si>
    <t>자재 47</t>
  </si>
  <si>
    <t>자재 48</t>
  </si>
  <si>
    <t>자재 49</t>
  </si>
  <si>
    <t>자재 50</t>
  </si>
  <si>
    <t>자재 51</t>
  </si>
  <si>
    <t>자재 52</t>
  </si>
  <si>
    <t>자재 53</t>
  </si>
  <si>
    <t>자재 54</t>
  </si>
  <si>
    <t>자재 55</t>
  </si>
  <si>
    <t>1332</t>
  </si>
  <si>
    <t>1269</t>
  </si>
  <si>
    <t>자재 56</t>
  </si>
  <si>
    <t>자재 57</t>
  </si>
  <si>
    <t>분전반 LP-1</t>
    <phoneticPr fontId="17" type="noConversion"/>
  </si>
  <si>
    <t>자재 58</t>
  </si>
  <si>
    <t>자재 59</t>
  </si>
  <si>
    <t>자재 60</t>
  </si>
  <si>
    <t>자재 61</t>
  </si>
  <si>
    <t>자재 62</t>
  </si>
  <si>
    <t>자재 63</t>
  </si>
  <si>
    <t>자재 64</t>
  </si>
  <si>
    <t>자재 65</t>
  </si>
  <si>
    <t>자재 66</t>
  </si>
  <si>
    <t>자재 67</t>
  </si>
  <si>
    <t>자재 68</t>
  </si>
  <si>
    <t>1228</t>
  </si>
  <si>
    <t>자재 69</t>
  </si>
  <si>
    <t>자재 70</t>
  </si>
  <si>
    <t>자재 71</t>
  </si>
  <si>
    <t>자재 72</t>
  </si>
  <si>
    <t>자재 73</t>
  </si>
  <si>
    <t>자재 74</t>
  </si>
  <si>
    <t>자재 75</t>
  </si>
  <si>
    <t>자재 76</t>
  </si>
  <si>
    <t>자재 77</t>
  </si>
  <si>
    <t>자재 78</t>
  </si>
  <si>
    <t>1028</t>
  </si>
  <si>
    <t>1235</t>
  </si>
  <si>
    <t>자재 79</t>
  </si>
  <si>
    <t>1277</t>
    <phoneticPr fontId="17" type="noConversion"/>
  </si>
  <si>
    <t>1127</t>
    <phoneticPr fontId="17" type="noConversion"/>
  </si>
  <si>
    <t>자재 80</t>
  </si>
  <si>
    <t>자재 81</t>
  </si>
  <si>
    <t>자재 82</t>
  </si>
  <si>
    <t>자재 83</t>
  </si>
  <si>
    <t>자재 84</t>
  </si>
  <si>
    <t>자재 85</t>
  </si>
  <si>
    <t>1143</t>
  </si>
  <si>
    <t>자재 86</t>
  </si>
  <si>
    <t>1348</t>
    <phoneticPr fontId="17" type="noConversion"/>
  </si>
  <si>
    <t>1228</t>
    <phoneticPr fontId="17" type="noConversion"/>
  </si>
  <si>
    <t>자재 87</t>
  </si>
  <si>
    <t>자재 88</t>
  </si>
  <si>
    <t>1099</t>
  </si>
  <si>
    <t>자재 89</t>
  </si>
  <si>
    <t>1019</t>
  </si>
  <si>
    <t>1227</t>
  </si>
  <si>
    <t>1134</t>
  </si>
  <si>
    <t>자재 90</t>
  </si>
  <si>
    <t>자재 91</t>
  </si>
  <si>
    <t>자재 92</t>
  </si>
  <si>
    <t>자재 93</t>
  </si>
  <si>
    <t>1268</t>
    <phoneticPr fontId="17" type="noConversion"/>
  </si>
  <si>
    <t>1118</t>
    <phoneticPr fontId="17" type="noConversion"/>
  </si>
  <si>
    <t>자재 94</t>
  </si>
  <si>
    <t>자재 95</t>
  </si>
  <si>
    <t>1298</t>
  </si>
  <si>
    <t>1239</t>
  </si>
  <si>
    <t>자재 96</t>
  </si>
  <si>
    <t>자재 97</t>
  </si>
  <si>
    <t>1124</t>
  </si>
  <si>
    <t>1278</t>
  </si>
  <si>
    <t>자재 98</t>
  </si>
  <si>
    <t>1133</t>
  </si>
  <si>
    <t>자재 99</t>
  </si>
  <si>
    <t>1297</t>
  </si>
  <si>
    <t>자재 100</t>
  </si>
  <si>
    <t>자재 101</t>
  </si>
  <si>
    <t>자재 102</t>
  </si>
  <si>
    <t>자재 103</t>
  </si>
  <si>
    <t>자재 104</t>
  </si>
  <si>
    <t>1227</t>
    <phoneticPr fontId="17" type="noConversion"/>
  </si>
  <si>
    <t>자재 105</t>
  </si>
  <si>
    <t>자재 106</t>
  </si>
  <si>
    <t>자재 107</t>
  </si>
  <si>
    <t>1308</t>
  </si>
  <si>
    <t>1243</t>
  </si>
  <si>
    <t>자재 108</t>
  </si>
  <si>
    <t>자재 109</t>
  </si>
  <si>
    <t>자재 110</t>
  </si>
  <si>
    <t>자재 111</t>
  </si>
  <si>
    <t>자재 112</t>
  </si>
  <si>
    <t>자재 113</t>
  </si>
  <si>
    <t>자재 114</t>
  </si>
  <si>
    <t>자재 115</t>
  </si>
  <si>
    <t>자재 116</t>
  </si>
  <si>
    <t>자재 117</t>
  </si>
  <si>
    <t>자재 118</t>
  </si>
  <si>
    <t>자재 119</t>
  </si>
  <si>
    <t>1039</t>
  </si>
  <si>
    <t>1240</t>
  </si>
  <si>
    <t>1150</t>
  </si>
  <si>
    <t>자재 120</t>
  </si>
  <si>
    <t>자재 121</t>
  </si>
  <si>
    <t>1031</t>
  </si>
  <si>
    <t>1234</t>
  </si>
  <si>
    <t>1138</t>
  </si>
  <si>
    <t>자재 122</t>
  </si>
  <si>
    <t>1273</t>
    <phoneticPr fontId="17" type="noConversion"/>
  </si>
  <si>
    <t>1129</t>
    <phoneticPr fontId="17" type="noConversion"/>
  </si>
  <si>
    <t>자재 123</t>
  </si>
  <si>
    <t>1024</t>
  </si>
  <si>
    <t>1232</t>
  </si>
  <si>
    <t>1145</t>
  </si>
  <si>
    <t>자재 124</t>
  </si>
  <si>
    <t>자재 125</t>
  </si>
  <si>
    <t>1128</t>
    <phoneticPr fontId="17" type="noConversion"/>
  </si>
  <si>
    <t>자재 126</t>
  </si>
  <si>
    <t>자재 127</t>
  </si>
  <si>
    <t>1025</t>
  </si>
  <si>
    <t>1144</t>
  </si>
  <si>
    <t>자재 128</t>
  </si>
  <si>
    <t>자재 129</t>
  </si>
  <si>
    <t>1230</t>
  </si>
  <si>
    <t>자재 130</t>
  </si>
  <si>
    <t>1126</t>
  </si>
  <si>
    <t>자재 131</t>
  </si>
  <si>
    <t>1275</t>
    <phoneticPr fontId="17" type="noConversion"/>
  </si>
  <si>
    <t>1123</t>
    <phoneticPr fontId="17" type="noConversion"/>
  </si>
  <si>
    <t>자재 132</t>
  </si>
  <si>
    <t>자재 133</t>
  </si>
  <si>
    <t>1027</t>
  </si>
  <si>
    <t>1233</t>
  </si>
  <si>
    <t>1141</t>
  </si>
  <si>
    <t>자재 134</t>
  </si>
  <si>
    <t>자재 135</t>
  </si>
  <si>
    <t>자재 136</t>
  </si>
  <si>
    <t>자재 137</t>
  </si>
  <si>
    <t>자재 138</t>
  </si>
  <si>
    <t>자재 139</t>
  </si>
  <si>
    <t>자재 140</t>
  </si>
  <si>
    <t>노무비율 32%</t>
  </si>
  <si>
    <t>노임 1</t>
  </si>
  <si>
    <t>B</t>
  </si>
  <si>
    <t>노임 2</t>
  </si>
  <si>
    <t>노임 3</t>
  </si>
  <si>
    <t>노임 4</t>
  </si>
  <si>
    <t>노임 5</t>
  </si>
  <si>
    <t>노임 6</t>
  </si>
  <si>
    <t>노임 7</t>
  </si>
  <si>
    <t>노임 8</t>
  </si>
  <si>
    <t>노임 9</t>
  </si>
  <si>
    <t>노임 10</t>
  </si>
  <si>
    <t>공 량 산 출 근 거 서</t>
  </si>
  <si>
    <t>품 셈 목 록</t>
  </si>
  <si>
    <t>노임할증-1</t>
  </si>
  <si>
    <t>노임할증-2</t>
  </si>
  <si>
    <t>노임할증-3</t>
  </si>
  <si>
    <t>내역수량</t>
  </si>
  <si>
    <t>직  종  명</t>
  </si>
  <si>
    <t>공  량</t>
  </si>
  <si>
    <t>비    고</t>
  </si>
  <si>
    <t>일위대가목록+자재</t>
  </si>
  <si>
    <t>전주입상관 설치  HI 104C  M  (호표 1)</t>
  </si>
  <si>
    <t>0.46*1 * 120%</t>
  </si>
  <si>
    <t>ST 케이블 트레이-STRAIGHT  W400x100Hx2.3t  m  (호표 2)</t>
  </si>
  <si>
    <t>0.2*1 * 120%</t>
  </si>
  <si>
    <t>난연 비닐 절연 접지용전선(F-GV)  0.6/1kV  4㎟  m  (호표 3)</t>
  </si>
  <si>
    <t>0.006*1 * 150%</t>
  </si>
  <si>
    <t>난연 비닐 절연 접지용전선(F-GV)  0.6/1kV  6㎟  m  (호표 4)</t>
  </si>
  <si>
    <t>0.006*1</t>
  </si>
  <si>
    <t>난연 비닐 절연 접지용전선(F-GV)  0.6/1kV  16㎟  m  (호표 5)</t>
  </si>
  <si>
    <t>0.007*1 * 150%</t>
  </si>
  <si>
    <t>난연 비닐 절연 접지용전선(F-GV)  0.6/1kV  25㎟  m  (호표 6)</t>
  </si>
  <si>
    <t>난연 비닐 절연 접지용전선(F-GV)  0.6/1kV  185㎟  m  (호표 7)</t>
  </si>
  <si>
    <t>0.014*1 * 150%</t>
  </si>
  <si>
    <t>0.6/1kV 난연 전력 케이블(F-CV)-4열동시  1C 50㎟  m  (호표 8)</t>
  </si>
  <si>
    <t>0.0062*1</t>
  </si>
  <si>
    <t>0.6/1kV 난연 전력 케이블(F-CV)-4열동시  1C 185㎟  m  (호표 9)</t>
  </si>
  <si>
    <t>0.013*1</t>
  </si>
  <si>
    <t>0.6/1kV 난연 전력 케이블(F-CV)  2C 4㎟  m  (호표 10)</t>
  </si>
  <si>
    <t>0.016*1</t>
  </si>
  <si>
    <t>0.6/1kV 난연 전력 케이블(F-CV)  4C 6㎟  m  (호표 11)</t>
  </si>
  <si>
    <t>0.034*1</t>
  </si>
  <si>
    <t>0.6/1kV 난연 전력 케이블(F-CV)  4C 16㎟  m  (호표 12)</t>
  </si>
  <si>
    <t>0.023*1 * 260%</t>
  </si>
  <si>
    <t>경고테이프 포설  저압용  M  (호표 13)</t>
  </si>
  <si>
    <t>0.001*1</t>
  </si>
  <si>
    <t>0.0005*1</t>
  </si>
  <si>
    <t>러그단자  동관단자 1H 16㎟  개  (호표 14)</t>
  </si>
  <si>
    <t>0.27*1 * 30%</t>
  </si>
  <si>
    <t>러그단자  동관단자 1H 25㎟  개  (호표 15)</t>
  </si>
  <si>
    <t>0.33*0.61 * 30%</t>
  </si>
  <si>
    <t>러그단자  동관단자 1H 50㎟  개  (호표 16)</t>
  </si>
  <si>
    <t>0.4*1 * 30%</t>
  </si>
  <si>
    <t>러그단자  동관단자 2H 185㎟  개  (호표 17)</t>
  </si>
  <si>
    <t>0.68*1 * 30%</t>
  </si>
  <si>
    <t>핸드홀(수공1호)  950*450*700  조  (호표 18)</t>
  </si>
  <si>
    <t>0.28*1</t>
  </si>
  <si>
    <t>1.33*1</t>
  </si>
  <si>
    <t>0.03*1</t>
  </si>
  <si>
    <t>접지공사(접지봉매설)    개소  (호표 19)</t>
  </si>
  <si>
    <t>0.0666*1</t>
  </si>
  <si>
    <t>0.08*1</t>
  </si>
  <si>
    <t>0.014*1</t>
  </si>
  <si>
    <t>합성수지 파형관(ELP)설치  30mm  M  (호표 20)</t>
  </si>
  <si>
    <t>합성수지 파형관(ELP)설치  40mm  M  (호표 21)</t>
  </si>
  <si>
    <t>0.018*1</t>
  </si>
  <si>
    <t>0.007*1</t>
  </si>
  <si>
    <t>합성수지 파형관(ELP)설치  50mm  M  (호표 22)</t>
  </si>
  <si>
    <t>합성수지 파형관(ELP)설치  65mm  M  (호표 23)</t>
  </si>
  <si>
    <t>0.022*1</t>
  </si>
  <si>
    <t>0.009*1</t>
  </si>
  <si>
    <t>합성수지 파형관(ELP)설치  100mm  M  (호표 24)</t>
  </si>
  <si>
    <t>0.036*1</t>
  </si>
  <si>
    <t>0.012*1</t>
  </si>
  <si>
    <t>계량기함 설치    면  (호표 26)</t>
  </si>
  <si>
    <t>0.95*1</t>
  </si>
  <si>
    <t>분전반 신설(LP-M)  옥외벽부자립형  면  (호표 27)</t>
  </si>
  <si>
    <t>1.23*1</t>
  </si>
  <si>
    <t>역전력 보호계전기 분전반 신설  550*780*250  면  (호표 28)</t>
  </si>
  <si>
    <t>분전반 신설(LP-O1)  옥외 자립형  면  (호표 29)</t>
  </si>
  <si>
    <t>1.02*1</t>
  </si>
  <si>
    <t>엔트런스 캡  2 1/4" (54mm)초과-104C  개  (호표 30)</t>
  </si>
  <si>
    <t>0.12*1</t>
  </si>
  <si>
    <t>맨홀(저압)  1,500*1,500*1,500  개소  (호표 33)</t>
  </si>
  <si>
    <t>전기 4-38</t>
  </si>
  <si>
    <t>0.36*1</t>
  </si>
  <si>
    <t>0.01*1</t>
  </si>
  <si>
    <t>0.024*1</t>
  </si>
  <si>
    <t>풀박스  100X100X50  개  (호표 34)</t>
  </si>
  <si>
    <t>0.04*1</t>
  </si>
  <si>
    <t>난연 비닐 절연 접지용전선(F-GV)  0.6/1kV  4㎟  m  (호표 35)</t>
  </si>
  <si>
    <t>0.6/1kV 난연 전력 케이블(F-CV)  2C 6㎟  m  (호표 36)</t>
  </si>
  <si>
    <t>누전차단기  ELB 2P 30AF  개  (호표 37)</t>
  </si>
  <si>
    <t>0.19*1 * 70%</t>
  </si>
  <si>
    <t>AL DUCT 신설  W:50  m  (호표 38)</t>
  </si>
  <si>
    <t>0.13*1</t>
  </si>
  <si>
    <t>옥외 조명기구(라인조명)  LED 18W  개  (호표 39)</t>
  </si>
  <si>
    <t>0.138*1</t>
  </si>
  <si>
    <t>옥외 조명기구(투광등)  LED 54W  개  (호표 40)</t>
  </si>
  <si>
    <t>0.208*1</t>
  </si>
  <si>
    <t>투광등 기초 기성품설치    개소  (호표 41)</t>
  </si>
  <si>
    <t>0.19*1</t>
  </si>
  <si>
    <t>SMPS함-1 신설  옥외 자립형  면  (호표 42)</t>
  </si>
  <si>
    <t>0.105*1</t>
  </si>
  <si>
    <t>SMPS함-2 신설  옥외 자립형  면  (호표 43)</t>
  </si>
  <si>
    <t>보안등기구  LED  보안등기구 50W  등  (호표 46)</t>
  </si>
  <si>
    <t>0.183*1</t>
  </si>
  <si>
    <t>POLE LIGHT 기계설치(등기구설치 제외)  5m~7m  본  (호표 47)</t>
  </si>
  <si>
    <t>0.31*1</t>
  </si>
  <si>
    <t>볼라드등 설치  볼라드등 설치  EA  (호표 48)</t>
  </si>
  <si>
    <t>지중등 설치  지중등 설치  EA  (호표 49)</t>
  </si>
  <si>
    <t>전기품셈 5-25-2</t>
  </si>
  <si>
    <t>0.242*1</t>
  </si>
  <si>
    <t>볼라드등 기초 설치  볼라드등 기초  개소  (호표 50)</t>
  </si>
  <si>
    <t>접지봉  18Φ*2400 mm  개  (호표 51)</t>
  </si>
  <si>
    <t>0.11*1</t>
  </si>
  <si>
    <t>경질비닐PVC전선관-매입  HI 36 mm  M  (호표 52)</t>
  </si>
  <si>
    <t>0.1*1</t>
  </si>
  <si>
    <t>경질비닐PVC전선관-매입  HI 54 mm  M  (호표 53)</t>
  </si>
  <si>
    <t>전기품셈 5-1</t>
  </si>
  <si>
    <t>경질비닐PVC전선관-옥외  HI 104 mm  M  (호표 54)</t>
  </si>
  <si>
    <t>0.46*1</t>
  </si>
  <si>
    <t>난연 비닐 절연 접지용전선(F-GV)-옥외  0.6/1kV  95㎟  m  (호표 55)</t>
  </si>
  <si>
    <t>0.008*1 * 150%</t>
  </si>
  <si>
    <t>0.6/1kV 난연 전력 케이블(F-CV)  1C 150㎟-4열동시  m  (호표 56)</t>
  </si>
  <si>
    <t>0.08245*1</t>
  </si>
  <si>
    <t>0.6/1kV 난연 전력 케이블(F-CV)  4C 25㎟  m  (호표 57)</t>
  </si>
  <si>
    <t>0.03*1 * 260%</t>
  </si>
  <si>
    <t>러그단자  동관단자 1H 95㎟  개  (호표 58)</t>
  </si>
  <si>
    <t>0.5*1 * 30%</t>
  </si>
  <si>
    <t>러그단자  동관단자 2H 150㎟  개  (호표 59)</t>
  </si>
  <si>
    <t>0.41*1 * 30%</t>
  </si>
  <si>
    <t>분전반 설치(신설)  LP-1  면  (호표 60)</t>
  </si>
  <si>
    <t>전기품셈 5-4</t>
  </si>
  <si>
    <t>분전반 설치(신설)  LP-2  면  (호표 61)</t>
  </si>
  <si>
    <t>분전반 설치(신설)  LP-3  면  (호표 62)</t>
  </si>
  <si>
    <t>분전반 설치(신설)  PP-ELEV  면  (호표 63)</t>
  </si>
  <si>
    <t>분전반 설치(신설)  PP-OAC  면  (호표 64)</t>
  </si>
  <si>
    <t>합성수지제 가요전선관-매입  (난연성), 16㎜  M  (호표 65)</t>
  </si>
  <si>
    <t>0.05*1 * 80%</t>
  </si>
  <si>
    <t>아우트렛박스  중형4각 54㎜  개  (호표 66)</t>
  </si>
  <si>
    <t>0.2*1</t>
  </si>
  <si>
    <t>450/75OV 저독성난연가교폴리올레핀절연전선(HFIX)  4㎟ (바닥)  m  (호표 67)</t>
  </si>
  <si>
    <t>0.01*1 * 80%</t>
  </si>
  <si>
    <t>0.6/1kV 난연 전력 케이블(F-CV)  4C 4㎟  m  (호표 68)</t>
  </si>
  <si>
    <t>0.029*1</t>
  </si>
  <si>
    <t>콘센트 설치(매입)  접지형, 15A 250V, 2구  개  (호표 69)</t>
  </si>
  <si>
    <t>콘센트 설치(매입)  방우형, 15A 250V, 2구  개  (호표 70)</t>
  </si>
  <si>
    <t>대기전력차단콘센트 설치(매입)  3구, 16A 250V  개  (호표 71)</t>
  </si>
  <si>
    <t>0.095*1</t>
  </si>
  <si>
    <t>1종금속제가요전선관   16 mm 비방수  M  (호표 72)</t>
  </si>
  <si>
    <t>0.044*1</t>
  </si>
  <si>
    <t>아우트렛박스  8각  54mm  개  (호표 73)</t>
  </si>
  <si>
    <t>0.12*1</t>
    <phoneticPr fontId="17" type="noConversion"/>
  </si>
  <si>
    <t>아우트렛박스  중형4각 54㎜  개  (호표 74)</t>
  </si>
  <si>
    <t>스위치박스-매입  1 개용 54 mm  개  (호표 75)</t>
  </si>
  <si>
    <t>450/75OV 저독성난연가교폴리올레핀절연전선(HFIX)  2.5㎟  m  (호표 76)</t>
  </si>
  <si>
    <t>와이드 스위치  1로 1구  개  (호표 77)</t>
  </si>
  <si>
    <t>0.085*1</t>
  </si>
  <si>
    <t>와이드 스위치  1로 2구  개  (호표 78)</t>
  </si>
  <si>
    <t>와이드 스위치  1로 3구  개  (호표 79)</t>
  </si>
  <si>
    <t>와이드 스위치  1로 4구  개  (호표 80)</t>
  </si>
  <si>
    <t>레일 설치  레일 1M  개  (호표 81)</t>
  </si>
  <si>
    <t>전기 5-25-1</t>
  </si>
  <si>
    <t>0.111*1</t>
  </si>
  <si>
    <t>조명기구(TYPE"A")  LED 라인조명 22W  개  (호표 82)</t>
  </si>
  <si>
    <t>조명기구(TYPE"B")  LED 샹들리애 40W  개  (호표 83)</t>
  </si>
  <si>
    <t>0.249*1</t>
  </si>
  <si>
    <t>조명기구(TYPE"C")  LED 팬던트등 10W  개  (호표 84)</t>
  </si>
  <si>
    <t>0.158*1</t>
  </si>
  <si>
    <t>조명기구(TYPE"D")  LED 직부등 40W  개  (호표 85)</t>
  </si>
  <si>
    <t>0.221*1</t>
  </si>
  <si>
    <t>조명기구(TYPE"E")  LED 직부등 25W  개  (호표 86)</t>
  </si>
  <si>
    <t>조명기구(TYPE"F")  LED 스포트라이트 10W  개  (호표 87)</t>
  </si>
  <si>
    <t>0.117*1</t>
  </si>
  <si>
    <t>조명기구(TYPE"G")  LED 다운라이트 10W  개  (호표 88)</t>
  </si>
  <si>
    <t>0.155*1</t>
  </si>
  <si>
    <t>조명기구(TYPE"H")  LED 벽부등 10W  개  (호표 89)</t>
  </si>
  <si>
    <t>조명기구(TYPE"I")  LED 벽부등 15W  개  (호표 90)</t>
  </si>
  <si>
    <t>1종금속제가요전선관   54 mm 방수  M  (호표 91)</t>
  </si>
  <si>
    <t>0.136*1 * 120%</t>
  </si>
  <si>
    <t>1종금속제가요전선관   36 mm 방수  M  (호표 92)</t>
  </si>
  <si>
    <t>0.087*1 * 120%</t>
  </si>
  <si>
    <t>450/75OV 저독성난연가교폴리올레핀절연전선(HFIX)  4㎟  m  (호표 93)</t>
  </si>
  <si>
    <t>난연 비닐 절연 접지용전선(F-GV)  0.6/1kV  16㎟  m  (호표 94)</t>
  </si>
  <si>
    <t>한전 불입금</t>
    <phoneticPr fontId="18" type="noConversion"/>
  </si>
  <si>
    <t>저압가공 : 5KW까지 246,000원,5KW초과시 1KW당 98,000원</t>
    <phoneticPr fontId="18" type="noConversion"/>
  </si>
  <si>
    <t>199KW</t>
    <phoneticPr fontId="18" type="noConversion"/>
  </si>
  <si>
    <t>x</t>
    <phoneticPr fontId="18" type="noConversion"/>
  </si>
  <si>
    <t>=</t>
    <phoneticPr fontId="18" type="noConversion"/>
  </si>
  <si>
    <t>+</t>
    <phoneticPr fontId="18" type="noConversion"/>
  </si>
  <si>
    <t>부가세10%</t>
    <phoneticPr fontId="18" type="noConversion"/>
  </si>
  <si>
    <t>사용전 검사비</t>
    <phoneticPr fontId="18" type="noConversion"/>
  </si>
  <si>
    <t>저압 기본료 94,000원</t>
    <phoneticPr fontId="18" type="noConversion"/>
  </si>
  <si>
    <t xml:space="preserve"> KW당 391원</t>
    <phoneticPr fontId="18" type="noConversion"/>
  </si>
  <si>
    <t xml:space="preserve">199KW </t>
    <phoneticPr fontId="18" type="noConversion"/>
  </si>
  <si>
    <t>태양광 사용전 검사비</t>
    <phoneticPr fontId="18" type="noConversion"/>
  </si>
  <si>
    <t>20KW초과   기본료 138,000원</t>
    <phoneticPr fontId="18" type="noConversion"/>
  </si>
  <si>
    <t>20KW초과 KW당 611원</t>
    <phoneticPr fontId="18" type="noConversion"/>
  </si>
  <si>
    <t>1KW~87.75KW까지</t>
    <phoneticPr fontId="18" type="noConversion"/>
  </si>
  <si>
    <t>부가세(10%)</t>
    <phoneticPr fontId="18" type="noConversion"/>
  </si>
  <si>
    <t>153</t>
  </si>
  <si>
    <t>[ 평창 에코랜드 조성사업(전기) ] - 단가조사서</t>
    <phoneticPr fontId="18" type="noConversion"/>
  </si>
  <si>
    <t>적용단가</t>
    <phoneticPr fontId="18" type="noConversion"/>
  </si>
  <si>
    <t>시설단가</t>
    <phoneticPr fontId="18" type="noConversion"/>
  </si>
  <si>
    <t>물가자료</t>
    <phoneticPr fontId="18" type="noConversion"/>
  </si>
  <si>
    <t>물가정보</t>
    <phoneticPr fontId="18" type="noConversion"/>
  </si>
  <si>
    <t>조사단가1</t>
    <phoneticPr fontId="18" type="noConversion"/>
  </si>
  <si>
    <t>조사단가2</t>
    <phoneticPr fontId="18" type="noConversion"/>
  </si>
  <si>
    <t>PAGE</t>
    <phoneticPr fontId="18" type="noConversion"/>
  </si>
  <si>
    <t>1123</t>
  </si>
  <si>
    <t>1271</t>
  </si>
  <si>
    <t>1129</t>
  </si>
  <si>
    <t>1273</t>
  </si>
  <si>
    <t>1274</t>
  </si>
  <si>
    <t>1128</t>
  </si>
  <si>
    <t>1275</t>
  </si>
  <si>
    <t>1375</t>
  </si>
  <si>
    <t>1272</t>
  </si>
  <si>
    <t>1127</t>
  </si>
  <si>
    <t>1277</t>
  </si>
  <si>
    <t>93</t>
  </si>
  <si>
    <t>92</t>
  </si>
  <si>
    <t>86</t>
  </si>
  <si>
    <t>87</t>
  </si>
  <si>
    <t>1098</t>
  </si>
  <si>
    <t>1237</t>
  </si>
  <si>
    <t>1348</t>
  </si>
  <si>
    <t>1254</t>
  </si>
  <si>
    <t>1222</t>
  </si>
  <si>
    <t>1339</t>
  </si>
  <si>
    <t>1118</t>
  </si>
  <si>
    <t>1268</t>
  </si>
  <si>
    <t>250</t>
  </si>
  <si>
    <t>95</t>
  </si>
  <si>
    <t>85</t>
  </si>
  <si>
    <t>90</t>
  </si>
  <si>
    <t>1262</t>
  </si>
  <si>
    <t>1370</t>
  </si>
  <si>
    <t>에스아이</t>
  </si>
  <si>
    <t>현우</t>
  </si>
  <si>
    <t>구구</t>
  </si>
  <si>
    <t>대신엘이디</t>
    <phoneticPr fontId="18" type="noConversion"/>
  </si>
  <si>
    <t>성문</t>
    <phoneticPr fontId="18" type="noConversion"/>
  </si>
  <si>
    <t>건원이에프티</t>
    <phoneticPr fontId="18" type="noConversion"/>
  </si>
  <si>
    <t>에너솔라</t>
  </si>
  <si>
    <t>동강</t>
  </si>
  <si>
    <t>강원</t>
  </si>
  <si>
    <t>나무전력</t>
  </si>
  <si>
    <t>백천</t>
  </si>
  <si>
    <t>1109</t>
  </si>
  <si>
    <t>1248</t>
  </si>
  <si>
    <t>경비</t>
  </si>
  <si>
    <t>재료</t>
  </si>
  <si>
    <t>노무</t>
  </si>
  <si>
    <t>총 급 액</t>
    <phoneticPr fontId="18" type="noConversion"/>
  </si>
  <si>
    <t>금액조정이 안되나요?</t>
    <phoneticPr fontId="18" type="noConversion"/>
  </si>
  <si>
    <t>이지테크에서 변환할 때 2번 옵션을 지정하여 다시 해보세요</t>
    <phoneticPr fontId="18" type="noConversion"/>
  </si>
  <si>
    <t>시트를 삭제할 때 에러가 뜨면 1번 옵션으로 하면 됩니다.</t>
    <phoneticPr fontId="18" type="noConversion"/>
  </si>
  <si>
    <t>적용율(%)</t>
    <phoneticPr fontId="18" type="noConversion"/>
  </si>
  <si>
    <t>끝자리</t>
    <phoneticPr fontId="18" type="noConversion"/>
  </si>
  <si>
    <t>적용율(%)/100</t>
    <phoneticPr fontId="18" type="noConversion"/>
  </si>
  <si>
    <t>일위대가소수</t>
    <phoneticPr fontId="18" type="noConversion"/>
  </si>
  <si>
    <t>전체자재 적용율(%)(공종/일위대가)</t>
    <phoneticPr fontId="18" type="noConversion"/>
  </si>
  <si>
    <t>전체노임 적용율(%)(공종)</t>
    <phoneticPr fontId="18" type="noConversion"/>
  </si>
  <si>
    <t>2번 옵션으로 변환했을 때에는 결과값이 다를 수 있습니다.</t>
    <phoneticPr fontId="18" type="noConversion"/>
  </si>
  <si>
    <t>전체노임 적용율(%)(일위대가)</t>
    <phoneticPr fontId="18" type="noConversion"/>
  </si>
  <si>
    <t>*(그룹별 자재 단가 추가 할증)*</t>
    <phoneticPr fontId="18" type="noConversion"/>
  </si>
  <si>
    <t>Cable(CAB) 할증(%)</t>
    <phoneticPr fontId="18" type="noConversion"/>
  </si>
  <si>
    <t>Wire (WIR) 할증(%)</t>
    <phoneticPr fontId="18" type="noConversion"/>
  </si>
  <si>
    <t>Pipe (PIP) 할증(%)</t>
    <phoneticPr fontId="18" type="noConversion"/>
  </si>
  <si>
    <t>제 4그룹   할증(%)</t>
    <phoneticPr fontId="18" type="noConversion"/>
  </si>
  <si>
    <t>제 5그룹   할증(%)</t>
    <phoneticPr fontId="18" type="noConversion"/>
  </si>
  <si>
    <t>*(그룹별 노임 추가 할증)*</t>
  </si>
  <si>
    <t>적용율(%)</t>
  </si>
  <si>
    <t>자동부속재(전기)</t>
  </si>
  <si>
    <t>자동부속재(통신)</t>
  </si>
  <si>
    <t>배관부속재(%)</t>
  </si>
  <si>
    <t>CD관부속재(%)</t>
  </si>
  <si>
    <t>소모잡자재(%)</t>
    <phoneticPr fontId="18" type="noConversion"/>
  </si>
  <si>
    <t>본 파일은 이지테크에서 2번 옵션으로 만들었습니다.</t>
  </si>
  <si>
    <t>방폭할증(%)</t>
    <phoneticPr fontId="18" type="noConversion"/>
  </si>
  <si>
    <t>고소할증(%)</t>
    <phoneticPr fontId="18" type="noConversion"/>
  </si>
  <si>
    <t>공구손료(%)</t>
    <phoneticPr fontId="18" type="noConversion"/>
  </si>
  <si>
    <t>*(공종별 노임 적용율(%))*</t>
    <phoneticPr fontId="18" type="noConversion"/>
  </si>
  <si>
    <t>소수자릿수</t>
    <phoneticPr fontId="18" type="noConversion"/>
  </si>
  <si>
    <t>설계년월일  2024년  03월    일</t>
    <phoneticPr fontId="18" type="noConversion"/>
  </si>
  <si>
    <t>2.옥내공사::2-2.동력설비공사</t>
    <phoneticPr fontId="1" type="noConversion"/>
  </si>
  <si>
    <r>
      <t>증</t>
    </r>
    <r>
      <rPr>
        <b/>
        <sz val="11"/>
        <rFont val="맑은 고딕"/>
        <family val="3"/>
        <charset val="129"/>
        <scheme val="major"/>
      </rPr>
      <t xml:space="preserve">  </t>
    </r>
    <r>
      <rPr>
        <b/>
        <sz val="11"/>
        <color rgb="FF000000"/>
        <rFont val="맑은 고딕"/>
        <family val="3"/>
        <charset val="129"/>
        <scheme val="major"/>
      </rPr>
      <t xml:space="preserve"> </t>
    </r>
    <r>
      <rPr>
        <b/>
        <sz val="11"/>
        <rFont val="맑은 고딕"/>
        <family val="3"/>
        <charset val="129"/>
        <scheme val="major"/>
      </rPr>
      <t xml:space="preserve">·  </t>
    </r>
    <r>
      <rPr>
        <b/>
        <sz val="11"/>
        <color rgb="FFFF0000"/>
        <rFont val="맑은 고딕"/>
        <family val="3"/>
        <charset val="129"/>
        <scheme val="major"/>
      </rPr>
      <t xml:space="preserve"> 감(△)</t>
    </r>
    <phoneticPr fontId="18" type="noConversion"/>
  </si>
  <si>
    <t>2.옥내공사::2-4.전열설비공사</t>
    <phoneticPr fontId="1" type="noConversion"/>
  </si>
  <si>
    <t>2.옥내공사::2-6.태양광발전설비공사</t>
    <phoneticPr fontId="1" type="noConversion"/>
  </si>
  <si>
    <t>4.도급자관급::4-1.분전반</t>
    <phoneticPr fontId="1" type="noConversion"/>
  </si>
  <si>
    <t>1.동력설비공사</t>
    <phoneticPr fontId="17" type="noConversion"/>
  </si>
  <si>
    <t>2.태양광발전설비공사</t>
    <phoneticPr fontId="17" type="noConversion"/>
  </si>
  <si>
    <r>
      <t xml:space="preserve">    ○</t>
    </r>
    <r>
      <rPr>
        <sz val="13.8"/>
        <color rgb="FFFF0000"/>
        <rFont val="맑은 고딕"/>
        <family val="3"/>
        <charset val="129"/>
      </rPr>
      <t xml:space="preserve"> </t>
    </r>
    <r>
      <rPr>
        <sz val="12"/>
        <color rgb="FFFF0000"/>
        <rFont val="맑은 고딕"/>
        <family val="3"/>
        <charset val="129"/>
      </rPr>
      <t xml:space="preserve"> 설계변경 제외내역</t>
    </r>
    <phoneticPr fontId="17" type="noConversion"/>
  </si>
  <si>
    <t>2024년  03월    일  변 경</t>
    <phoneticPr fontId="74" type="noConversion"/>
  </si>
  <si>
    <t>2 0 2 4 년 도</t>
    <phoneticPr fontId="7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</si>
</sst>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1" formatCode="_-* #,##0_-;\-* #,##0_-;_-* &quot;-&quot;_-;_-@_-"/>
    <numFmt numFmtId="43" formatCode="_-* #,##0.00_-;\-* #,##0.00_-;_-* &quot;-&quot;??_-;_-@_-"/>
    <numFmt numFmtId="176" formatCode="#,##0_ ;[Red]\-#,##0\ "/>
    <numFmt numFmtId="177" formatCode="[Blue]#,##0_ ;[Red]\▲\ #,##0\ "/>
    <numFmt numFmtId="178" formatCode="[Black]#,###_ ;[Red]\▲\ #,###\ "/>
    <numFmt numFmtId="179" formatCode="0.0%"/>
    <numFmt numFmtId="180" formatCode="_ * #,##0_ ;_ * \-#,##0_ ;_ * &quot;-&quot;_ ;_ @_ "/>
    <numFmt numFmtId="181" formatCode="&quot;( 금&quot;000,000\ &quot;원 )&quot;"/>
    <numFmt numFmtId="182" formatCode="&quot;: &quot;####"/>
    <numFmt numFmtId="183" formatCode="0&quot;.&quot;"/>
    <numFmt numFmtId="184" formatCode="&quot;r금액 :&quot;\ #,##0"/>
    <numFmt numFmtId="185" formatCode="0.000%"/>
    <numFmt numFmtId="186" formatCode="#,###&quot;:관급&quot;"/>
    <numFmt numFmtId="187" formatCode="#,##0_ "/>
    <numFmt numFmtId="188" formatCode="#,##0.0_ "/>
    <numFmt numFmtId="189" formatCode="#,###&quot;원절삭&quot;"/>
    <numFmt numFmtId="190" formatCode="#,###.000\ &quot;%&quot;"/>
    <numFmt numFmtId="191" formatCode="#,###;\-#,###"/>
    <numFmt numFmtId="192" formatCode="[Blue]#,##0\ ;[Red]\-#,##0"/>
    <numFmt numFmtId="193" formatCode="#,##0.00000"/>
    <numFmt numFmtId="194" formatCode="#,##0.0"/>
    <numFmt numFmtId="195" formatCode="[Blue]\▲#,###_ ;[Red]\▼\ #,###\ "/>
    <numFmt numFmtId="196" formatCode="#,###;\-#,###;#;"/>
    <numFmt numFmtId="197" formatCode="#,###"/>
    <numFmt numFmtId="198" formatCode="#,##0.00#"/>
    <numFmt numFmtId="199" formatCode="#,##0.00#;\-#,##0.00#;#"/>
  </numFmts>
  <fonts count="15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30"/>
      <name val="휴먼둥근헤드라인"/>
      <family val="1"/>
      <charset val="129"/>
    </font>
    <font>
      <b/>
      <sz val="30"/>
      <color indexed="12"/>
      <name val="휴먼둥근헤드라인"/>
      <family val="1"/>
      <charset val="129"/>
    </font>
    <font>
      <b/>
      <sz val="30"/>
      <color indexed="10"/>
      <name val="휴먼둥근헤드라인"/>
      <family val="1"/>
      <charset val="129"/>
    </font>
    <font>
      <sz val="8"/>
      <name val="바탕체"/>
      <family val="1"/>
      <charset val="129"/>
    </font>
    <font>
      <sz val="11"/>
      <name val="돋움"/>
      <family val="3"/>
      <charset val="129"/>
    </font>
    <font>
      <sz val="11"/>
      <name val="휴먼둥근헤드라인"/>
      <family val="1"/>
      <charset val="129"/>
    </font>
    <font>
      <sz val="14"/>
      <name val="휴먼둥근헤드라인"/>
      <family val="1"/>
      <charset val="129"/>
    </font>
    <font>
      <sz val="13"/>
      <name val="휴먼둥근헤드라인"/>
      <family val="1"/>
      <charset val="129"/>
    </font>
    <font>
      <sz val="15"/>
      <name val="휴먼둥근헤드라인"/>
      <family val="1"/>
      <charset val="129"/>
    </font>
    <font>
      <sz val="15"/>
      <color rgb="FFFF0000"/>
      <name val="휴먼둥근헤드라인"/>
      <family val="1"/>
      <charset val="129"/>
    </font>
    <font>
      <sz val="15"/>
      <color rgb="FF0C03BD"/>
      <name val="휴먼둥근헤드라인"/>
      <family val="1"/>
      <charset val="129"/>
    </font>
    <font>
      <sz val="12"/>
      <name val="휴먼둥근헤드라인"/>
      <family val="1"/>
      <charset val="129"/>
    </font>
    <font>
      <sz val="12"/>
      <color rgb="FFFF0000"/>
      <name val="휴먼둥근헤드라인"/>
      <family val="1"/>
      <charset val="129"/>
    </font>
    <font>
      <sz val="12"/>
      <color rgb="FF0C03BD"/>
      <name val="휴먼둥근헤드라인"/>
      <family val="1"/>
      <charset val="129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name val="HY견고딕"/>
      <family val="1"/>
      <charset val="129"/>
    </font>
    <font>
      <sz val="12"/>
      <name val="HY견고딕"/>
      <family val="1"/>
      <charset val="129"/>
    </font>
    <font>
      <b/>
      <sz val="22"/>
      <name val="HY헤드라인M"/>
      <family val="1"/>
      <charset val="129"/>
    </font>
    <font>
      <b/>
      <sz val="18"/>
      <name val="HY견고딕"/>
      <family val="1"/>
      <charset val="129"/>
    </font>
    <font>
      <b/>
      <sz val="24"/>
      <name val="HY헤드라인M"/>
      <family val="1"/>
      <charset val="129"/>
    </font>
    <font>
      <b/>
      <sz val="28"/>
      <name val="HY견고딕"/>
      <family val="1"/>
      <charset val="129"/>
    </font>
    <font>
      <sz val="20"/>
      <name val="HY견고딕"/>
      <family val="1"/>
      <charset val="129"/>
    </font>
    <font>
      <sz val="20"/>
      <color indexed="10"/>
      <name val="HY견고딕"/>
      <family val="1"/>
      <charset val="129"/>
    </font>
    <font>
      <sz val="18"/>
      <name val="HY견고딕"/>
      <family val="1"/>
      <charset val="129"/>
    </font>
    <font>
      <b/>
      <sz val="24"/>
      <name val="맑은 고딕"/>
      <family val="3"/>
      <charset val="129"/>
      <scheme val="minor"/>
    </font>
    <font>
      <b/>
      <sz val="22"/>
      <name val="HY견고딕"/>
      <family val="1"/>
      <charset val="129"/>
    </font>
    <font>
      <sz val="14"/>
      <name val="굴림체"/>
      <family val="3"/>
      <charset val="129"/>
    </font>
    <font>
      <b/>
      <sz val="14"/>
      <name val="굴림체"/>
      <family val="3"/>
      <charset val="129"/>
    </font>
    <font>
      <b/>
      <sz val="11"/>
      <name val="한컴바탕"/>
      <family val="1"/>
      <charset val="129"/>
    </font>
    <font>
      <b/>
      <sz val="10"/>
      <name val="맑은 고딕"/>
      <family val="3"/>
      <charset val="129"/>
    </font>
    <font>
      <b/>
      <sz val="14"/>
      <name val="한컴바탕"/>
      <family val="1"/>
      <charset val="129"/>
    </font>
    <font>
      <b/>
      <sz val="12"/>
      <name val="한컴바탕"/>
      <family val="1"/>
      <charset val="129"/>
    </font>
    <font>
      <b/>
      <sz val="12"/>
      <name val="HY견고딕"/>
      <family val="1"/>
      <charset val="129"/>
    </font>
    <font>
      <b/>
      <sz val="11"/>
      <name val="HY견고딕"/>
      <family val="1"/>
      <charset val="129"/>
    </font>
    <font>
      <sz val="12"/>
      <name val="바탕"/>
      <family val="1"/>
      <charset val="129"/>
    </font>
    <font>
      <sz val="14"/>
      <name val="HY헤드라인M"/>
      <family val="1"/>
      <charset val="129"/>
    </font>
    <font>
      <sz val="12"/>
      <name val="HY헤드라인M"/>
      <family val="1"/>
      <charset val="129"/>
    </font>
    <font>
      <b/>
      <sz val="24"/>
      <name val="HY견고딕"/>
      <family val="1"/>
      <charset val="129"/>
    </font>
    <font>
      <sz val="20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8"/>
      <name val="HY신명조"/>
      <family val="1"/>
      <charset val="129"/>
    </font>
    <font>
      <b/>
      <sz val="11"/>
      <name val="HY신명조"/>
      <family val="1"/>
      <charset val="129"/>
    </font>
    <font>
      <sz val="12"/>
      <name val="바탕체"/>
      <family val="1"/>
      <charset val="129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b/>
      <sz val="26"/>
      <name val="맑은 고딕"/>
      <family val="3"/>
      <charset val="129"/>
    </font>
    <font>
      <b/>
      <sz val="11"/>
      <name val="맑은 고딕"/>
      <family val="3"/>
      <charset val="129"/>
    </font>
    <font>
      <b/>
      <sz val="16"/>
      <name val="맑은 고딕"/>
      <family val="3"/>
      <charset val="129"/>
    </font>
    <font>
      <sz val="16"/>
      <name val="맑은 고딕"/>
      <family val="3"/>
      <charset val="129"/>
    </font>
    <font>
      <sz val="16"/>
      <color indexed="10"/>
      <name val="맑은 고딕"/>
      <family val="3"/>
      <charset val="129"/>
    </font>
    <font>
      <b/>
      <sz val="14"/>
      <name val="맑은 고딕"/>
      <family val="3"/>
      <charset val="129"/>
    </font>
    <font>
      <b/>
      <sz val="14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26"/>
      <name val="맑은 고딕"/>
      <family val="3"/>
      <charset val="129"/>
    </font>
    <font>
      <sz val="26"/>
      <color indexed="10"/>
      <name val="맑은 고딕"/>
      <family val="3"/>
      <charset val="129"/>
    </font>
    <font>
      <sz val="14"/>
      <name val="맑은 고딕"/>
      <family val="3"/>
      <charset val="129"/>
    </font>
    <font>
      <b/>
      <sz val="24"/>
      <name val="맑은 고딕"/>
      <family val="3"/>
      <charset val="129"/>
    </font>
    <font>
      <b/>
      <sz val="13"/>
      <color rgb="FF000000"/>
      <name val="맑은 고딕"/>
      <family val="3"/>
      <charset val="129"/>
    </font>
    <font>
      <sz val="11"/>
      <name val="맑은 고딕"/>
      <family val="3"/>
      <charset val="129"/>
    </font>
    <font>
      <sz val="13.8"/>
      <name val="맑은 고딕"/>
      <family val="3"/>
      <charset val="129"/>
    </font>
    <font>
      <sz val="14"/>
      <name val="한컴바탕"/>
      <family val="1"/>
      <charset val="129"/>
    </font>
    <font>
      <b/>
      <sz val="24"/>
      <name val="한컴바탕"/>
      <family val="1"/>
      <charset val="129"/>
    </font>
    <font>
      <sz val="11"/>
      <name val="한컴바탕"/>
      <family val="1"/>
      <charset val="129"/>
    </font>
    <font>
      <b/>
      <sz val="26"/>
      <name val="한컴바탕"/>
      <family val="1"/>
      <charset val="129"/>
    </font>
    <font>
      <b/>
      <sz val="26"/>
      <color indexed="10"/>
      <name val="한컴바탕"/>
      <family val="1"/>
      <charset val="129"/>
    </font>
    <font>
      <b/>
      <sz val="20"/>
      <name val="한컴바탕"/>
      <family val="1"/>
      <charset val="129"/>
    </font>
    <font>
      <sz val="8"/>
      <name val="바탕"/>
      <family val="1"/>
      <charset val="129"/>
    </font>
    <font>
      <sz val="12"/>
      <name val="한컴바탕"/>
      <family val="1"/>
      <charset val="129"/>
    </font>
    <font>
      <b/>
      <sz val="13"/>
      <name val="한컴바탕"/>
      <family val="1"/>
      <charset val="129"/>
    </font>
    <font>
      <sz val="24"/>
      <name val="한컴바탕"/>
      <family val="1"/>
      <charset val="129"/>
    </font>
    <font>
      <sz val="26"/>
      <name val="맑은 고딕"/>
      <family val="3"/>
      <charset val="129"/>
      <scheme val="major"/>
    </font>
    <font>
      <b/>
      <sz val="11"/>
      <color indexed="8"/>
      <name val="맑은 고딕"/>
      <family val="3"/>
      <charset val="129"/>
      <scheme val="major"/>
    </font>
    <font>
      <sz val="9"/>
      <color indexed="8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2"/>
      <color indexed="10"/>
      <name val="맑은 고딕"/>
      <family val="3"/>
      <charset val="129"/>
    </font>
    <font>
      <sz val="11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sz val="9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25"/>
      <name val="맑은 고딕"/>
      <family val="3"/>
      <charset val="129"/>
    </font>
    <font>
      <b/>
      <sz val="35"/>
      <name val="맑은 고딕"/>
      <family val="3"/>
      <charset val="129"/>
    </font>
    <font>
      <sz val="15"/>
      <name val="맑은 고딕"/>
      <family val="3"/>
      <charset val="129"/>
    </font>
    <font>
      <b/>
      <sz val="15"/>
      <name val="맑은 고딕"/>
      <family val="3"/>
      <charset val="129"/>
    </font>
    <font>
      <b/>
      <sz val="20"/>
      <name val="맑은 고딕"/>
      <family val="3"/>
      <charset val="129"/>
    </font>
    <font>
      <b/>
      <sz val="34"/>
      <name val="맑은 고딕"/>
      <family val="3"/>
      <charset val="129"/>
    </font>
    <font>
      <b/>
      <sz val="12"/>
      <name val="신그래픽체"/>
      <family val="1"/>
      <charset val="129"/>
    </font>
    <font>
      <sz val="16"/>
      <color indexed="8"/>
      <name val="맑은 고딕"/>
      <family val="3"/>
      <charset val="129"/>
    </font>
    <font>
      <sz val="8"/>
      <name val="굴림"/>
      <family val="3"/>
      <charset val="129"/>
    </font>
    <font>
      <b/>
      <sz val="20"/>
      <name val="굴림체"/>
      <family val="3"/>
      <charset val="129"/>
    </font>
    <font>
      <sz val="10"/>
      <name val="굴림체"/>
      <family val="3"/>
      <charset val="129"/>
    </font>
    <font>
      <sz val="10"/>
      <name val="맑은 고딕"/>
      <family val="3"/>
      <charset val="129"/>
    </font>
    <font>
      <sz val="13"/>
      <name val="맑은 고딕"/>
      <family val="3"/>
      <charset val="129"/>
    </font>
    <font>
      <b/>
      <sz val="15"/>
      <color rgb="FFFF0000"/>
      <name val="맑은 고딕"/>
      <family val="3"/>
      <charset val="129"/>
    </font>
    <font>
      <b/>
      <sz val="14.3"/>
      <color rgb="FFFF0000"/>
      <name val="맑은 고딕"/>
      <family val="3"/>
      <charset val="129"/>
    </font>
    <font>
      <sz val="15.2"/>
      <name val="맑은 고딕"/>
      <family val="3"/>
      <charset val="129"/>
    </font>
    <font>
      <b/>
      <sz val="15.2"/>
      <name val="맑은 고딕"/>
      <family val="3"/>
      <charset val="129"/>
    </font>
    <font>
      <b/>
      <sz val="14.5"/>
      <color rgb="FFFF0000"/>
      <name val="맑은 고딕"/>
      <family val="3"/>
      <charset val="129"/>
    </font>
    <font>
      <b/>
      <sz val="14.3"/>
      <name val="맑은 고딕"/>
      <family val="3"/>
      <charset val="129"/>
    </font>
    <font>
      <b/>
      <sz val="14.5"/>
      <name val="맑은 고딕"/>
      <family val="3"/>
      <charset val="129"/>
    </font>
    <font>
      <sz val="18"/>
      <name val="맑은 고딕"/>
      <family val="3"/>
      <charset val="129"/>
    </font>
    <font>
      <b/>
      <sz val="18"/>
      <name val="맑은 고딕"/>
      <family val="3"/>
      <charset val="129"/>
    </font>
    <font>
      <b/>
      <sz val="30"/>
      <name val="맑은 고딕"/>
      <family val="3"/>
      <charset val="129"/>
    </font>
    <font>
      <sz val="9"/>
      <name val="HY울릉도L"/>
      <family val="1"/>
      <charset val="129"/>
    </font>
    <font>
      <sz val="8"/>
      <name val="HY울릉도L"/>
      <family val="1"/>
      <charset val="129"/>
    </font>
    <font>
      <sz val="9"/>
      <name val="맑은 고딕"/>
      <family val="3"/>
      <charset val="129"/>
    </font>
    <font>
      <b/>
      <sz val="9"/>
      <name val="맑은 고딕"/>
      <family val="3"/>
      <charset val="129"/>
    </font>
    <font>
      <sz val="11"/>
      <name val="바탕"/>
      <family val="1"/>
      <charset val="129"/>
    </font>
    <font>
      <sz val="11"/>
      <name val="옛체"/>
      <family val="1"/>
      <charset val="129"/>
    </font>
    <font>
      <b/>
      <sz val="9"/>
      <color indexed="10"/>
      <name val="맑은 고딕"/>
      <family val="3"/>
      <charset val="129"/>
    </font>
    <font>
      <sz val="9"/>
      <color indexed="12"/>
      <name val="맑은 고딕"/>
      <family val="3"/>
      <charset val="129"/>
    </font>
    <font>
      <b/>
      <sz val="8"/>
      <name val="맑은 고딕"/>
      <family val="3"/>
      <charset val="129"/>
    </font>
    <font>
      <sz val="8"/>
      <color indexed="12"/>
      <name val="맑은 고딕"/>
      <family val="3"/>
      <charset val="129"/>
    </font>
    <font>
      <b/>
      <sz val="8"/>
      <color indexed="12"/>
      <name val="맑은 고딕"/>
      <family val="3"/>
      <charset val="129"/>
    </font>
    <font>
      <b/>
      <sz val="8"/>
      <color rgb="FFFF0000"/>
      <name val="맑은 고딕"/>
      <family val="3"/>
      <charset val="129"/>
    </font>
    <font>
      <b/>
      <sz val="9"/>
      <color indexed="12"/>
      <name val="맑은 고딕"/>
      <family val="3"/>
      <charset val="129"/>
    </font>
    <font>
      <sz val="8"/>
      <color rgb="FFFF0000"/>
      <name val="맑은 고딕"/>
      <family val="3"/>
      <charset val="129"/>
    </font>
    <font>
      <sz val="11"/>
      <color rgb="FF0000CC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굴림체"/>
      <family val="3"/>
      <charset val="129"/>
    </font>
    <font>
      <sz val="11"/>
      <color theme="1"/>
      <name val="맑은고딕"/>
      <family val="3"/>
      <charset val="129"/>
    </font>
    <font>
      <sz val="11"/>
      <name val="돋움체"/>
      <family val="3"/>
      <charset val="129"/>
    </font>
    <font>
      <sz val="12"/>
      <name val="돋움체"/>
      <family val="3"/>
      <charset val="129"/>
    </font>
    <font>
      <b/>
      <u/>
      <sz val="16"/>
      <color theme="1"/>
      <name val="맑은 고딕"/>
      <family val="3"/>
      <charset val="129"/>
      <scheme val="minor"/>
    </font>
    <font>
      <sz val="12"/>
      <name val="돋움"/>
      <family val="3"/>
      <charset val="129"/>
    </font>
    <font>
      <sz val="11"/>
      <color theme="1"/>
      <name val="돋움체"/>
      <family val="3"/>
      <charset val="129"/>
    </font>
    <font>
      <b/>
      <u/>
      <sz val="16"/>
      <color theme="1"/>
      <name val="돋움체"/>
      <family val="3"/>
      <charset val="129"/>
    </font>
    <font>
      <sz val="9"/>
      <name val="돋움체"/>
      <family val="3"/>
      <charset val="129"/>
    </font>
    <font>
      <sz val="18"/>
      <name val="돋움체"/>
      <family val="3"/>
      <charset val="129"/>
    </font>
    <font>
      <b/>
      <sz val="12"/>
      <name val="돋움"/>
      <family val="3"/>
      <charset val="129"/>
    </font>
    <font>
      <sz val="12"/>
      <name val="맑은 고딕"/>
      <family val="3"/>
      <charset val="129"/>
      <scheme val="major"/>
    </font>
    <font>
      <sz val="11"/>
      <color indexed="1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rgb="FF000000"/>
      <name val="맑은 고딕"/>
      <family val="3"/>
      <charset val="129"/>
      <scheme val="major"/>
    </font>
    <font>
      <b/>
      <sz val="11"/>
      <color rgb="FF0000FF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b/>
      <sz val="16"/>
      <name val="맑은 고딕"/>
      <family val="3"/>
      <charset val="129"/>
      <scheme val="major"/>
    </font>
    <font>
      <sz val="12"/>
      <color rgb="FFFF0000"/>
      <name val="맑은 고딕"/>
      <family val="3"/>
      <charset val="129"/>
    </font>
    <font>
      <sz val="13.8"/>
      <color rgb="FFFF0000"/>
      <name val="맑은 고딕"/>
      <family val="3"/>
      <charset val="129"/>
    </font>
  </fonts>
  <fills count="16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3" tint="0.79998168889431442"/>
        <bgColor indexed="64"/>
      </patternFill>
    </fill>
  </fills>
  <borders count="8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 style="hair">
        <color indexed="64"/>
      </diagonal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theme="1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theme="1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5">
    <xf numFmtId="0" fontId="0" fillId="0" borderId="0">
      <alignment vertical="center"/>
    </xf>
    <xf numFmtId="0" fontId="2" fillId="0" borderId="0">
      <alignment vertical="center"/>
    </xf>
    <xf numFmtId="0" fontId="7" fillId="0" borderId="0"/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0" fontId="20" fillId="0" borderId="0">
      <alignment vertical="center"/>
    </xf>
    <xf numFmtId="0" fontId="7" fillId="0" borderId="0"/>
    <xf numFmtId="0" fontId="20" fillId="0" borderId="0">
      <alignment vertical="center"/>
    </xf>
    <xf numFmtId="0" fontId="40" fillId="0" borderId="0"/>
    <xf numFmtId="0" fontId="48" fillId="0" borderId="0"/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48" fillId="0" borderId="0"/>
    <xf numFmtId="180" fontId="48" fillId="0" borderId="0" applyFont="0" applyFill="0" applyBorder="0" applyAlignment="0" applyProtection="0"/>
    <xf numFmtId="180" fontId="48" fillId="0" borderId="0" applyFont="0" applyFill="0" applyBorder="0" applyAlignment="0" applyProtection="0"/>
    <xf numFmtId="0" fontId="96" fillId="0" borderId="0">
      <alignment horizontal="center" vertical="center"/>
    </xf>
    <xf numFmtId="0" fontId="100" fillId="0" borderId="0"/>
    <xf numFmtId="0" fontId="113" fillId="0" borderId="0">
      <alignment vertical="center"/>
    </xf>
    <xf numFmtId="0" fontId="7" fillId="0" borderId="0"/>
    <xf numFmtId="41" fontId="7" fillId="0" borderId="0" applyFont="0" applyFill="0" applyBorder="0" applyAlignment="0" applyProtection="0"/>
    <xf numFmtId="0" fontId="7" fillId="0" borderId="0"/>
    <xf numFmtId="0" fontId="2" fillId="0" borderId="0">
      <alignment vertical="center"/>
    </xf>
    <xf numFmtId="0" fontId="7" fillId="0" borderId="0">
      <alignment vertical="center"/>
    </xf>
  </cellStyleXfs>
  <cellXfs count="753">
    <xf numFmtId="0" fontId="0" fillId="0" borderId="0" xfId="0">
      <alignment vertical="center"/>
    </xf>
    <xf numFmtId="0" fontId="7" fillId="0" borderId="0" xfId="2"/>
    <xf numFmtId="0" fontId="8" fillId="0" borderId="0" xfId="1" applyFont="1">
      <alignment vertical="center"/>
    </xf>
    <xf numFmtId="0" fontId="9" fillId="0" borderId="1" xfId="1" applyFont="1" applyBorder="1">
      <alignment vertical="center"/>
    </xf>
    <xf numFmtId="0" fontId="10" fillId="0" borderId="0" xfId="1" applyFont="1" applyAlignment="1"/>
    <xf numFmtId="0" fontId="10" fillId="0" borderId="0" xfId="1" applyFont="1" applyAlignment="1">
      <alignment horizontal="right"/>
    </xf>
    <xf numFmtId="0" fontId="11" fillId="2" borderId="2" xfId="1" applyFont="1" applyFill="1" applyBorder="1" applyAlignment="1">
      <alignment horizontal="center" vertical="center"/>
    </xf>
    <xf numFmtId="0" fontId="11" fillId="2" borderId="3" xfId="1" applyFont="1" applyFill="1" applyBorder="1" applyAlignment="1">
      <alignment horizontal="center" vertical="center"/>
    </xf>
    <xf numFmtId="0" fontId="12" fillId="2" borderId="3" xfId="1" applyFont="1" applyFill="1" applyBorder="1" applyAlignment="1">
      <alignment horizontal="center" vertical="center"/>
    </xf>
    <xf numFmtId="0" fontId="13" fillId="2" borderId="3" xfId="1" applyFont="1" applyFill="1" applyBorder="1" applyAlignment="1">
      <alignment horizontal="center" vertical="center"/>
    </xf>
    <xf numFmtId="0" fontId="11" fillId="2" borderId="4" xfId="1" applyFont="1" applyFill="1" applyBorder="1" applyAlignment="1">
      <alignment horizontal="center" vertical="center"/>
    </xf>
    <xf numFmtId="0" fontId="11" fillId="2" borderId="5" xfId="1" applyFont="1" applyFill="1" applyBorder="1" applyAlignment="1">
      <alignment horizontal="center" vertical="center"/>
    </xf>
    <xf numFmtId="41" fontId="14" fillId="0" borderId="6" xfId="3" applyFont="1" applyBorder="1" applyAlignment="1">
      <alignment horizontal="center" vertical="center"/>
    </xf>
    <xf numFmtId="41" fontId="15" fillId="0" borderId="6" xfId="3" applyFont="1" applyBorder="1" applyAlignment="1">
      <alignment horizontal="center" vertical="center"/>
    </xf>
    <xf numFmtId="41" fontId="16" fillId="0" borderId="6" xfId="3" quotePrefix="1" applyFont="1" applyBorder="1" applyAlignment="1">
      <alignment horizontal="center" vertical="center"/>
    </xf>
    <xf numFmtId="41" fontId="15" fillId="0" borderId="6" xfId="1" quotePrefix="1" applyNumberFormat="1" applyFont="1" applyBorder="1" applyAlignment="1">
      <alignment horizontal="center" vertical="center"/>
    </xf>
    <xf numFmtId="9" fontId="14" fillId="0" borderId="7" xfId="4" applyFont="1" applyBorder="1" applyAlignment="1">
      <alignment horizontal="center" vertical="center"/>
    </xf>
    <xf numFmtId="0" fontId="11" fillId="2" borderId="8" xfId="1" applyFont="1" applyFill="1" applyBorder="1" applyAlignment="1">
      <alignment horizontal="center" vertical="center"/>
    </xf>
    <xf numFmtId="41" fontId="14" fillId="0" borderId="9" xfId="3" applyFont="1" applyBorder="1" applyAlignment="1">
      <alignment horizontal="center" vertical="center"/>
    </xf>
    <xf numFmtId="41" fontId="15" fillId="0" borderId="9" xfId="3" applyFont="1" applyBorder="1" applyAlignment="1">
      <alignment horizontal="center" vertical="center"/>
    </xf>
    <xf numFmtId="41" fontId="15" fillId="0" borderId="9" xfId="1" quotePrefix="1" applyNumberFormat="1" applyFont="1" applyBorder="1" applyAlignment="1">
      <alignment horizontal="center" vertical="center"/>
    </xf>
    <xf numFmtId="9" fontId="14" fillId="0" borderId="10" xfId="4" applyFont="1" applyBorder="1" applyAlignment="1">
      <alignment horizontal="center" vertical="center"/>
    </xf>
    <xf numFmtId="0" fontId="11" fillId="2" borderId="11" xfId="1" applyFont="1" applyFill="1" applyBorder="1" applyAlignment="1">
      <alignment horizontal="center" vertical="center"/>
    </xf>
    <xf numFmtId="41" fontId="14" fillId="0" borderId="12" xfId="3" applyFont="1" applyBorder="1" applyAlignment="1">
      <alignment horizontal="center" vertical="center"/>
    </xf>
    <xf numFmtId="41" fontId="15" fillId="0" borderId="12" xfId="3" applyFont="1" applyBorder="1" applyAlignment="1">
      <alignment horizontal="center" vertical="center"/>
    </xf>
    <xf numFmtId="41" fontId="15" fillId="0" borderId="12" xfId="1" quotePrefix="1" applyNumberFormat="1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/>
    </xf>
    <xf numFmtId="0" fontId="19" fillId="0" borderId="0" xfId="2" applyFont="1"/>
    <xf numFmtId="0" fontId="20" fillId="0" borderId="0" xfId="5">
      <alignment vertical="center"/>
    </xf>
    <xf numFmtId="0" fontId="21" fillId="3" borderId="0" xfId="6" applyFont="1" applyFill="1" applyAlignment="1">
      <alignment vertical="center"/>
    </xf>
    <xf numFmtId="0" fontId="20" fillId="0" borderId="0" xfId="7">
      <alignment vertical="center"/>
    </xf>
    <xf numFmtId="0" fontId="21" fillId="3" borderId="0" xfId="6" applyFont="1" applyFill="1" applyAlignment="1">
      <alignment horizontal="center" vertical="center"/>
    </xf>
    <xf numFmtId="0" fontId="23" fillId="3" borderId="0" xfId="6" applyFont="1" applyFill="1" applyAlignment="1">
      <alignment vertical="center"/>
    </xf>
    <xf numFmtId="0" fontId="24" fillId="3" borderId="0" xfId="6" applyFont="1" applyFill="1" applyAlignment="1">
      <alignment vertical="center"/>
    </xf>
    <xf numFmtId="0" fontId="26" fillId="3" borderId="0" xfId="6" applyFont="1" applyFill="1" applyAlignment="1">
      <alignment horizontal="center" vertical="center"/>
    </xf>
    <xf numFmtId="0" fontId="26" fillId="3" borderId="0" xfId="6" applyFont="1" applyFill="1" applyAlignment="1">
      <alignment horizontal="distributed" vertical="center"/>
    </xf>
    <xf numFmtId="0" fontId="22" fillId="3" borderId="0" xfId="6" applyFont="1" applyFill="1" applyAlignment="1">
      <alignment horizontal="center" vertical="center"/>
    </xf>
    <xf numFmtId="0" fontId="21" fillId="3" borderId="0" xfId="6" applyFont="1" applyFill="1"/>
    <xf numFmtId="0" fontId="34" fillId="3" borderId="0" xfId="6" applyFont="1" applyFill="1" applyAlignment="1">
      <alignment vertical="center"/>
    </xf>
    <xf numFmtId="0" fontId="36" fillId="3" borderId="0" xfId="6" applyFont="1" applyFill="1" applyAlignment="1">
      <alignment vertical="center"/>
    </xf>
    <xf numFmtId="0" fontId="37" fillId="3" borderId="0" xfId="6" applyFont="1" applyFill="1" applyAlignment="1">
      <alignment vertical="center"/>
    </xf>
    <xf numFmtId="0" fontId="24" fillId="3" borderId="26" xfId="6" applyFont="1" applyFill="1" applyBorder="1" applyAlignment="1">
      <alignment vertical="center"/>
    </xf>
    <xf numFmtId="0" fontId="24" fillId="3" borderId="27" xfId="6" applyFont="1" applyFill="1" applyBorder="1" applyAlignment="1">
      <alignment vertical="center"/>
    </xf>
    <xf numFmtId="0" fontId="38" fillId="3" borderId="0" xfId="6" applyFont="1" applyFill="1" applyAlignment="1">
      <alignment vertical="center"/>
    </xf>
    <xf numFmtId="0" fontId="21" fillId="3" borderId="26" xfId="6" applyFont="1" applyFill="1" applyBorder="1" applyAlignment="1">
      <alignment vertical="center"/>
    </xf>
    <xf numFmtId="0" fontId="39" fillId="3" borderId="0" xfId="6" applyFont="1" applyFill="1" applyAlignment="1">
      <alignment vertical="center"/>
    </xf>
    <xf numFmtId="0" fontId="21" fillId="3" borderId="27" xfId="6" applyFont="1" applyFill="1" applyBorder="1" applyAlignment="1">
      <alignment vertical="center"/>
    </xf>
    <xf numFmtId="0" fontId="39" fillId="3" borderId="26" xfId="6" applyFont="1" applyFill="1" applyBorder="1" applyAlignment="1">
      <alignment vertical="center"/>
    </xf>
    <xf numFmtId="0" fontId="39" fillId="3" borderId="27" xfId="6" applyFont="1" applyFill="1" applyBorder="1" applyAlignment="1">
      <alignment vertical="center"/>
    </xf>
    <xf numFmtId="0" fontId="22" fillId="3" borderId="26" xfId="6" applyFont="1" applyFill="1" applyBorder="1" applyAlignment="1">
      <alignment horizontal="center" vertical="center"/>
    </xf>
    <xf numFmtId="0" fontId="27" fillId="3" borderId="0" xfId="6" applyFont="1" applyFill="1" applyAlignment="1">
      <alignment horizontal="distributed" vertical="center"/>
    </xf>
    <xf numFmtId="0" fontId="19" fillId="3" borderId="26" xfId="6" applyFont="1" applyFill="1" applyBorder="1" applyAlignment="1">
      <alignment vertical="center"/>
    </xf>
    <xf numFmtId="0" fontId="19" fillId="3" borderId="0" xfId="6" applyFont="1" applyFill="1" applyAlignment="1">
      <alignment vertical="center"/>
    </xf>
    <xf numFmtId="0" fontId="19" fillId="3" borderId="0" xfId="6" applyFont="1" applyFill="1" applyAlignment="1">
      <alignment horizontal="center" vertical="center"/>
    </xf>
    <xf numFmtId="0" fontId="44" fillId="3" borderId="0" xfId="6" applyFont="1" applyFill="1" applyAlignment="1">
      <alignment horizontal="distributed" vertical="center"/>
    </xf>
    <xf numFmtId="0" fontId="45" fillId="3" borderId="31" xfId="6" applyFont="1" applyFill="1" applyBorder="1" applyAlignment="1">
      <alignment vertical="center"/>
    </xf>
    <xf numFmtId="0" fontId="45" fillId="3" borderId="1" xfId="6" applyFont="1" applyFill="1" applyBorder="1" applyAlignment="1">
      <alignment vertical="center"/>
    </xf>
    <xf numFmtId="0" fontId="24" fillId="3" borderId="1" xfId="6" applyFont="1" applyFill="1" applyBorder="1" applyAlignment="1">
      <alignment vertical="center"/>
    </xf>
    <xf numFmtId="0" fontId="24" fillId="3" borderId="32" xfId="6" applyFont="1" applyFill="1" applyBorder="1" applyAlignment="1">
      <alignment vertical="center"/>
    </xf>
    <xf numFmtId="0" fontId="46" fillId="3" borderId="0" xfId="6" applyFont="1" applyFill="1" applyAlignment="1">
      <alignment vertical="center"/>
    </xf>
    <xf numFmtId="0" fontId="47" fillId="3" borderId="0" xfId="6" applyFont="1" applyFill="1" applyAlignment="1">
      <alignment vertical="center"/>
    </xf>
    <xf numFmtId="0" fontId="49" fillId="0" borderId="0" xfId="9" applyFont="1" applyAlignment="1">
      <alignment vertical="center"/>
    </xf>
    <xf numFmtId="0" fontId="50" fillId="0" borderId="0" xfId="9" applyFont="1" applyAlignment="1">
      <alignment vertical="center"/>
    </xf>
    <xf numFmtId="0" fontId="51" fillId="3" borderId="0" xfId="6" applyFont="1" applyFill="1" applyAlignment="1">
      <alignment vertical="center"/>
    </xf>
    <xf numFmtId="0" fontId="52" fillId="3" borderId="0" xfId="6" applyFont="1" applyFill="1" applyAlignment="1">
      <alignment vertical="center"/>
    </xf>
    <xf numFmtId="0" fontId="53" fillId="3" borderId="0" xfId="6" applyFont="1" applyFill="1" applyAlignment="1">
      <alignment horizontal="center" vertical="center"/>
    </xf>
    <xf numFmtId="0" fontId="54" fillId="3" borderId="0" xfId="6" applyFont="1" applyFill="1" applyAlignment="1">
      <alignment vertical="center"/>
    </xf>
    <xf numFmtId="0" fontId="53" fillId="3" borderId="0" xfId="6" applyFont="1" applyFill="1" applyAlignment="1">
      <alignment vertical="center"/>
    </xf>
    <xf numFmtId="0" fontId="56" fillId="3" borderId="0" xfId="6" applyFont="1" applyFill="1" applyAlignment="1">
      <alignment vertical="center"/>
    </xf>
    <xf numFmtId="0" fontId="57" fillId="3" borderId="0" xfId="6" applyFont="1" applyFill="1" applyAlignment="1">
      <alignment vertical="center"/>
    </xf>
    <xf numFmtId="0" fontId="59" fillId="0" borderId="0" xfId="9" applyFont="1" applyAlignment="1">
      <alignment vertical="center"/>
    </xf>
    <xf numFmtId="0" fontId="60" fillId="0" borderId="0" xfId="5" applyFont="1">
      <alignment vertical="center"/>
    </xf>
    <xf numFmtId="0" fontId="61" fillId="3" borderId="0" xfId="6" applyFont="1" applyFill="1" applyAlignment="1">
      <alignment vertical="center"/>
    </xf>
    <xf numFmtId="0" fontId="63" fillId="3" borderId="0" xfId="6" applyFont="1" applyFill="1" applyAlignment="1">
      <alignment vertical="center"/>
    </xf>
    <xf numFmtId="0" fontId="64" fillId="3" borderId="0" xfId="6" applyFont="1" applyFill="1" applyAlignment="1">
      <alignment horizontal="center" vertical="center"/>
    </xf>
    <xf numFmtId="0" fontId="65" fillId="0" borderId="0" xfId="5" applyFont="1">
      <alignment vertical="center"/>
    </xf>
    <xf numFmtId="0" fontId="66" fillId="3" borderId="0" xfId="6" applyFont="1" applyFill="1" applyAlignment="1">
      <alignment vertical="center"/>
    </xf>
    <xf numFmtId="0" fontId="66" fillId="3" borderId="0" xfId="6" applyFont="1" applyFill="1" applyAlignment="1">
      <alignment horizontal="distributed" vertical="center"/>
    </xf>
    <xf numFmtId="0" fontId="49" fillId="3" borderId="0" xfId="6" quotePrefix="1" applyFont="1" applyFill="1" applyAlignment="1">
      <alignment vertical="center"/>
    </xf>
    <xf numFmtId="0" fontId="49" fillId="3" borderId="0" xfId="6" applyFont="1" applyFill="1" applyAlignment="1">
      <alignment vertical="center"/>
    </xf>
    <xf numFmtId="0" fontId="49" fillId="3" borderId="0" xfId="6" quotePrefix="1" applyFont="1" applyFill="1" applyAlignment="1">
      <alignment horizontal="left" vertical="center"/>
    </xf>
    <xf numFmtId="0" fontId="68" fillId="3" borderId="0" xfId="6" applyFont="1" applyFill="1" applyAlignment="1">
      <alignment vertical="center"/>
    </xf>
    <xf numFmtId="0" fontId="69" fillId="3" borderId="0" xfId="6" applyFont="1" applyFill="1" applyAlignment="1">
      <alignment horizontal="center" vertical="center"/>
    </xf>
    <xf numFmtId="0" fontId="70" fillId="3" borderId="0" xfId="6" applyFont="1" applyFill="1" applyAlignment="1">
      <alignment vertical="center"/>
    </xf>
    <xf numFmtId="0" fontId="71" fillId="3" borderId="0" xfId="6" applyFont="1" applyFill="1" applyAlignment="1">
      <alignment vertical="center"/>
    </xf>
    <xf numFmtId="0" fontId="73" fillId="3" borderId="0" xfId="6" applyFont="1" applyFill="1" applyAlignment="1">
      <alignment vertical="center"/>
    </xf>
    <xf numFmtId="0" fontId="75" fillId="0" borderId="0" xfId="9" applyFont="1"/>
    <xf numFmtId="0" fontId="76" fillId="0" borderId="0" xfId="9" applyFont="1" applyAlignment="1">
      <alignment horizontal="center" vertical="center"/>
    </xf>
    <xf numFmtId="0" fontId="70" fillId="0" borderId="0" xfId="9" applyFont="1"/>
    <xf numFmtId="0" fontId="19" fillId="0" borderId="0" xfId="9" applyFont="1"/>
    <xf numFmtId="0" fontId="77" fillId="0" borderId="0" xfId="9" applyFont="1"/>
    <xf numFmtId="0" fontId="78" fillId="0" borderId="0" xfId="5" applyFont="1">
      <alignment vertical="center"/>
    </xf>
    <xf numFmtId="0" fontId="80" fillId="0" borderId="0" xfId="10" applyFont="1" applyAlignment="1">
      <alignment horizontal="center" vertical="center"/>
    </xf>
    <xf numFmtId="176" fontId="79" fillId="5" borderId="39" xfId="10" applyNumberFormat="1" applyFont="1" applyFill="1" applyBorder="1" applyAlignment="1">
      <alignment horizontal="center" vertical="center"/>
    </xf>
    <xf numFmtId="176" fontId="81" fillId="5" borderId="39" xfId="10" applyNumberFormat="1" applyFont="1" applyFill="1" applyBorder="1" applyAlignment="1">
      <alignment horizontal="center" vertical="center"/>
    </xf>
    <xf numFmtId="0" fontId="82" fillId="5" borderId="40" xfId="5" quotePrefix="1" applyFont="1" applyFill="1" applyBorder="1" applyAlignment="1">
      <alignment horizontal="center" vertical="center"/>
    </xf>
    <xf numFmtId="0" fontId="84" fillId="0" borderId="5" xfId="5" applyFont="1" applyBorder="1" applyAlignment="1">
      <alignment horizontal="left" vertical="center" shrinkToFit="1"/>
    </xf>
    <xf numFmtId="41" fontId="84" fillId="0" borderId="6" xfId="11" applyFont="1" applyFill="1" applyBorder="1" applyAlignment="1">
      <alignment horizontal="right" vertical="center"/>
    </xf>
    <xf numFmtId="41" fontId="85" fillId="0" borderId="6" xfId="11" applyFont="1" applyFill="1" applyBorder="1" applyAlignment="1">
      <alignment horizontal="right" vertical="center"/>
    </xf>
    <xf numFmtId="177" fontId="84" fillId="0" borderId="7" xfId="11" applyNumberFormat="1" applyFont="1" applyFill="1" applyBorder="1" applyAlignment="1">
      <alignment horizontal="right" vertical="center"/>
    </xf>
    <xf numFmtId="0" fontId="84" fillId="0" borderId="42" xfId="5" applyFont="1" applyBorder="1" applyAlignment="1">
      <alignment vertical="center" wrapText="1"/>
    </xf>
    <xf numFmtId="0" fontId="86" fillId="0" borderId="0" xfId="5" applyFont="1" applyAlignment="1">
      <alignment horizontal="right" vertical="center"/>
    </xf>
    <xf numFmtId="0" fontId="87" fillId="0" borderId="8" xfId="5" applyFont="1" applyBorder="1" applyAlignment="1">
      <alignment horizontal="left" vertical="center"/>
    </xf>
    <xf numFmtId="41" fontId="84" fillId="0" borderId="9" xfId="12" applyFont="1" applyFill="1" applyBorder="1" applyAlignment="1">
      <alignment horizontal="right" vertical="center"/>
    </xf>
    <xf numFmtId="41" fontId="85" fillId="0" borderId="9" xfId="12" applyFont="1" applyFill="1" applyBorder="1" applyAlignment="1">
      <alignment horizontal="right" vertical="center"/>
    </xf>
    <xf numFmtId="178" fontId="84" fillId="0" borderId="10" xfId="11" applyNumberFormat="1" applyFont="1" applyFill="1" applyBorder="1" applyAlignment="1">
      <alignment horizontal="right" vertical="center"/>
    </xf>
    <xf numFmtId="0" fontId="84" fillId="0" borderId="43" xfId="5" applyFont="1" applyBorder="1" applyAlignment="1">
      <alignment vertical="center" wrapText="1"/>
    </xf>
    <xf numFmtId="0" fontId="86" fillId="6" borderId="0" xfId="5" applyFont="1" applyFill="1" applyAlignment="1">
      <alignment horizontal="right" vertical="center"/>
    </xf>
    <xf numFmtId="0" fontId="84" fillId="0" borderId="5" xfId="5" applyFont="1" applyBorder="1" applyAlignment="1">
      <alignment horizontal="left" vertical="center"/>
    </xf>
    <xf numFmtId="41" fontId="84" fillId="0" borderId="6" xfId="12" applyFont="1" applyFill="1" applyBorder="1" applyAlignment="1">
      <alignment horizontal="right" vertical="center"/>
    </xf>
    <xf numFmtId="41" fontId="85" fillId="0" borderId="6" xfId="12" applyFont="1" applyFill="1" applyBorder="1" applyAlignment="1">
      <alignment horizontal="right" vertical="center"/>
    </xf>
    <xf numFmtId="178" fontId="84" fillId="0" borderId="7" xfId="12" applyNumberFormat="1" applyFont="1" applyFill="1" applyBorder="1" applyAlignment="1">
      <alignment horizontal="right" vertical="center"/>
    </xf>
    <xf numFmtId="0" fontId="84" fillId="0" borderId="8" xfId="5" applyFont="1" applyBorder="1" applyAlignment="1">
      <alignment horizontal="left" vertical="center"/>
    </xf>
    <xf numFmtId="178" fontId="84" fillId="0" borderId="10" xfId="12" applyNumberFormat="1" applyFont="1" applyFill="1" applyBorder="1" applyAlignment="1">
      <alignment horizontal="right" vertical="center"/>
    </xf>
    <xf numFmtId="0" fontId="84" fillId="0" borderId="11" xfId="5" applyFont="1" applyBorder="1" applyAlignment="1">
      <alignment horizontal="left" vertical="center"/>
    </xf>
    <xf numFmtId="41" fontId="84" fillId="0" borderId="12" xfId="12" applyFont="1" applyFill="1" applyBorder="1" applyAlignment="1">
      <alignment horizontal="right" vertical="center"/>
    </xf>
    <xf numFmtId="41" fontId="85" fillId="0" borderId="12" xfId="12" applyFont="1" applyFill="1" applyBorder="1" applyAlignment="1">
      <alignment horizontal="right" vertical="center"/>
    </xf>
    <xf numFmtId="178" fontId="84" fillId="0" borderId="13" xfId="12" applyNumberFormat="1" applyFont="1" applyFill="1" applyBorder="1" applyAlignment="1">
      <alignment horizontal="right" vertical="center"/>
    </xf>
    <xf numFmtId="0" fontId="84" fillId="0" borderId="20" xfId="5" applyFont="1" applyBorder="1" applyAlignment="1">
      <alignment vertical="center" wrapText="1"/>
    </xf>
    <xf numFmtId="41" fontId="87" fillId="0" borderId="9" xfId="12" applyFont="1" applyFill="1" applyBorder="1" applyAlignment="1">
      <alignment horizontal="right" vertical="center"/>
    </xf>
    <xf numFmtId="41" fontId="81" fillId="0" borderId="9" xfId="12" applyFont="1" applyFill="1" applyBorder="1" applyAlignment="1">
      <alignment horizontal="right" vertical="center"/>
    </xf>
    <xf numFmtId="178" fontId="87" fillId="0" borderId="10" xfId="12" applyNumberFormat="1" applyFont="1" applyFill="1" applyBorder="1" applyAlignment="1">
      <alignment horizontal="right" vertical="center"/>
    </xf>
    <xf numFmtId="41" fontId="86" fillId="0" borderId="0" xfId="5" applyNumberFormat="1" applyFont="1" applyAlignment="1">
      <alignment horizontal="right" vertical="center"/>
    </xf>
    <xf numFmtId="179" fontId="86" fillId="0" borderId="0" xfId="13" applyNumberFormat="1" applyFont="1" applyAlignment="1">
      <alignment horizontal="right" vertical="center"/>
    </xf>
    <xf numFmtId="0" fontId="87" fillId="0" borderId="34" xfId="5" applyFont="1" applyBorder="1" applyAlignment="1">
      <alignment horizontal="left" vertical="center"/>
    </xf>
    <xf numFmtId="41" fontId="87" fillId="0" borderId="12" xfId="12" applyFont="1" applyFill="1" applyBorder="1" applyAlignment="1">
      <alignment horizontal="right" vertical="center"/>
    </xf>
    <xf numFmtId="41" fontId="81" fillId="0" borderId="12" xfId="12" applyFont="1" applyFill="1" applyBorder="1" applyAlignment="1">
      <alignment horizontal="right" vertical="center"/>
    </xf>
    <xf numFmtId="178" fontId="87" fillId="0" borderId="13" xfId="12" applyNumberFormat="1" applyFont="1" applyFill="1" applyBorder="1" applyAlignment="1">
      <alignment horizontal="right" vertical="center"/>
    </xf>
    <xf numFmtId="0" fontId="84" fillId="0" borderId="32" xfId="5" applyFont="1" applyBorder="1" applyAlignment="1">
      <alignment vertical="center" wrapText="1"/>
    </xf>
    <xf numFmtId="0" fontId="86" fillId="0" borderId="0" xfId="5" applyFont="1" applyAlignment="1">
      <alignment horizontal="left" vertical="center"/>
    </xf>
    <xf numFmtId="41" fontId="86" fillId="0" borderId="0" xfId="11" applyFont="1" applyFill="1" applyBorder="1" applyAlignment="1">
      <alignment horizontal="right" vertical="center"/>
    </xf>
    <xf numFmtId="176" fontId="86" fillId="0" borderId="0" xfId="11" applyNumberFormat="1" applyFont="1" applyFill="1" applyBorder="1" applyAlignment="1">
      <alignment horizontal="right" vertical="center"/>
    </xf>
    <xf numFmtId="0" fontId="86" fillId="0" borderId="0" xfId="5" applyFont="1" applyAlignment="1">
      <alignment vertical="center" wrapText="1"/>
    </xf>
    <xf numFmtId="0" fontId="88" fillId="0" borderId="0" xfId="5" applyFont="1">
      <alignment vertical="center"/>
    </xf>
    <xf numFmtId="0" fontId="89" fillId="0" borderId="0" xfId="5" applyFont="1" applyAlignment="1">
      <alignment horizontal="right" vertical="center"/>
    </xf>
    <xf numFmtId="41" fontId="89" fillId="0" borderId="0" xfId="5" applyNumberFormat="1" applyFont="1" applyAlignment="1">
      <alignment horizontal="right" vertical="center"/>
    </xf>
    <xf numFmtId="1" fontId="89" fillId="0" borderId="0" xfId="5" applyNumberFormat="1" applyFont="1" applyAlignment="1">
      <alignment horizontal="left" vertical="center"/>
    </xf>
    <xf numFmtId="176" fontId="89" fillId="0" borderId="0" xfId="5" applyNumberFormat="1" applyFont="1">
      <alignment vertical="center"/>
    </xf>
    <xf numFmtId="1" fontId="89" fillId="0" borderId="0" xfId="5" applyNumberFormat="1" applyFont="1">
      <alignment vertical="center"/>
    </xf>
    <xf numFmtId="0" fontId="63" fillId="0" borderId="0" xfId="14" applyFont="1" applyAlignment="1">
      <alignment horizontal="center" vertical="center"/>
    </xf>
    <xf numFmtId="0" fontId="53" fillId="0" borderId="44" xfId="14" applyFont="1" applyBorder="1" applyAlignment="1">
      <alignment horizontal="center" vertical="center"/>
    </xf>
    <xf numFmtId="0" fontId="53" fillId="0" borderId="45" xfId="14" applyFont="1" applyBorder="1" applyAlignment="1">
      <alignment horizontal="center" vertical="center"/>
    </xf>
    <xf numFmtId="0" fontId="53" fillId="0" borderId="46" xfId="14" applyFont="1" applyBorder="1" applyAlignment="1">
      <alignment horizontal="center" vertical="center"/>
    </xf>
    <xf numFmtId="0" fontId="56" fillId="0" borderId="45" xfId="14" applyFont="1" applyBorder="1" applyAlignment="1">
      <alignment horizontal="center" vertical="center"/>
    </xf>
    <xf numFmtId="0" fontId="53" fillId="0" borderId="48" xfId="14" applyFont="1" applyBorder="1" applyAlignment="1">
      <alignment horizontal="center" vertical="center"/>
    </xf>
    <xf numFmtId="0" fontId="54" fillId="0" borderId="0" xfId="14" applyFont="1" applyAlignment="1">
      <alignment horizontal="center" vertical="center"/>
    </xf>
    <xf numFmtId="0" fontId="56" fillId="0" borderId="0" xfId="14" applyFont="1" applyAlignment="1">
      <alignment horizontal="center" vertical="center"/>
    </xf>
    <xf numFmtId="0" fontId="56" fillId="0" borderId="0" xfId="14" applyFont="1" applyAlignment="1">
      <alignment horizontal="centerContinuous" vertical="center"/>
    </xf>
    <xf numFmtId="0" fontId="53" fillId="0" borderId="0" xfId="14" applyFont="1" applyAlignment="1">
      <alignment horizontal="center" vertical="center"/>
    </xf>
    <xf numFmtId="0" fontId="53" fillId="0" borderId="50" xfId="14" applyFont="1" applyBorder="1" applyAlignment="1">
      <alignment horizontal="center" vertical="center"/>
    </xf>
    <xf numFmtId="0" fontId="53" fillId="0" borderId="51" xfId="14" applyFont="1" applyBorder="1" applyAlignment="1">
      <alignment horizontal="center" vertical="center"/>
    </xf>
    <xf numFmtId="0" fontId="53" fillId="0" borderId="52" xfId="14" applyFont="1" applyBorder="1" applyAlignment="1">
      <alignment horizontal="center" vertical="center"/>
    </xf>
    <xf numFmtId="0" fontId="53" fillId="0" borderId="53" xfId="14" applyFont="1" applyBorder="1" applyAlignment="1">
      <alignment horizontal="center" vertical="center"/>
    </xf>
    <xf numFmtId="0" fontId="56" fillId="0" borderId="52" xfId="14" applyFont="1" applyBorder="1" applyAlignment="1">
      <alignment horizontal="center" vertical="center"/>
    </xf>
    <xf numFmtId="0" fontId="53" fillId="0" borderId="55" xfId="14" applyFont="1" applyBorder="1" applyAlignment="1">
      <alignment horizontal="center" vertical="center"/>
    </xf>
    <xf numFmtId="0" fontId="63" fillId="0" borderId="49" xfId="14" applyFont="1" applyBorder="1" applyAlignment="1">
      <alignment horizontal="center" vertical="center"/>
    </xf>
    <xf numFmtId="0" fontId="63" fillId="0" borderId="50" xfId="14" applyFont="1" applyBorder="1" applyAlignment="1">
      <alignment horizontal="center" vertical="center"/>
    </xf>
    <xf numFmtId="0" fontId="56" fillId="0" borderId="0" xfId="14" applyFont="1" applyAlignment="1">
      <alignment horizontal="left" vertical="center"/>
    </xf>
    <xf numFmtId="0" fontId="90" fillId="0" borderId="49" xfId="14" applyFont="1" applyBorder="1" applyAlignment="1">
      <alignment horizontal="center" vertical="center"/>
    </xf>
    <xf numFmtId="0" fontId="90" fillId="0" borderId="0" xfId="14" applyFont="1" applyAlignment="1">
      <alignment horizontal="center" vertical="center"/>
    </xf>
    <xf numFmtId="0" fontId="90" fillId="0" borderId="50" xfId="14" applyFont="1" applyBorder="1" applyAlignment="1">
      <alignment horizontal="center" vertical="center"/>
    </xf>
    <xf numFmtId="0" fontId="91" fillId="0" borderId="0" xfId="14" applyFont="1" applyAlignment="1">
      <alignment horizontal="center"/>
    </xf>
    <xf numFmtId="0" fontId="92" fillId="0" borderId="49" xfId="14" applyFont="1" applyBorder="1" applyAlignment="1">
      <alignment horizontal="center" vertical="center"/>
    </xf>
    <xf numFmtId="0" fontId="92" fillId="0" borderId="0" xfId="14" applyFont="1" applyAlignment="1">
      <alignment horizontal="center" vertical="center"/>
    </xf>
    <xf numFmtId="0" fontId="92" fillId="0" borderId="0" xfId="14" applyFont="1" applyAlignment="1">
      <alignment horizontal="right" vertical="center"/>
    </xf>
    <xf numFmtId="0" fontId="93" fillId="0" borderId="0" xfId="14" applyFont="1" applyAlignment="1">
      <alignment horizontal="left" vertical="center"/>
    </xf>
    <xf numFmtId="0" fontId="93" fillId="0" borderId="0" xfId="14" applyFont="1" applyAlignment="1">
      <alignment horizontal="right" vertical="center"/>
    </xf>
    <xf numFmtId="0" fontId="93" fillId="0" borderId="0" xfId="14" applyFont="1" applyAlignment="1">
      <alignment horizontal="distributed" vertical="center"/>
    </xf>
    <xf numFmtId="0" fontId="93" fillId="0" borderId="0" xfId="14" applyFont="1" applyAlignment="1">
      <alignment horizontal="center" vertical="center"/>
    </xf>
    <xf numFmtId="180" fontId="92" fillId="0" borderId="0" xfId="15" applyFont="1" applyFill="1" applyBorder="1" applyAlignment="1">
      <alignment horizontal="center" vertical="center"/>
    </xf>
    <xf numFmtId="0" fontId="92" fillId="0" borderId="50" xfId="14" applyFont="1" applyBorder="1" applyAlignment="1">
      <alignment horizontal="center" vertical="center"/>
    </xf>
    <xf numFmtId="0" fontId="91" fillId="0" borderId="49" xfId="14" applyFont="1" applyBorder="1" applyAlignment="1">
      <alignment horizontal="center" vertical="center"/>
    </xf>
    <xf numFmtId="0" fontId="91" fillId="0" borderId="0" xfId="14" applyFont="1" applyAlignment="1">
      <alignment horizontal="center" vertical="center"/>
    </xf>
    <xf numFmtId="0" fontId="95" fillId="0" borderId="0" xfId="14" applyFont="1" applyAlignment="1">
      <alignment horizontal="distributed" vertical="center" justifyLastLine="1"/>
    </xf>
    <xf numFmtId="0" fontId="91" fillId="0" borderId="50" xfId="14" applyFont="1" applyBorder="1" applyAlignment="1">
      <alignment horizontal="center" vertical="center"/>
    </xf>
    <xf numFmtId="0" fontId="63" fillId="0" borderId="49" xfId="14" applyFont="1" applyBorder="1" applyAlignment="1">
      <alignment horizontal="left" vertical="center"/>
    </xf>
    <xf numFmtId="0" fontId="63" fillId="0" borderId="0" xfId="14" applyFont="1" applyAlignment="1">
      <alignment horizontal="left" vertical="center"/>
    </xf>
    <xf numFmtId="0" fontId="53" fillId="0" borderId="0" xfId="14" applyFont="1" applyAlignment="1">
      <alignment horizontal="left" vertical="center"/>
    </xf>
    <xf numFmtId="0" fontId="93" fillId="0" borderId="50" xfId="14" applyFont="1" applyBorder="1" applyAlignment="1">
      <alignment horizontal="left" vertical="center"/>
    </xf>
    <xf numFmtId="0" fontId="54" fillId="0" borderId="0" xfId="14" applyFont="1" applyAlignment="1">
      <alignment horizontal="left" vertical="center"/>
    </xf>
    <xf numFmtId="0" fontId="90" fillId="0" borderId="0" xfId="14" applyFont="1" applyAlignment="1">
      <alignment horizontal="left" vertical="center"/>
    </xf>
    <xf numFmtId="0" fontId="94" fillId="0" borderId="0" xfId="14" applyFont="1" applyAlignment="1">
      <alignment horizontal="left" vertical="center"/>
    </xf>
    <xf numFmtId="0" fontId="101" fillId="0" borderId="0" xfId="18" applyFont="1" applyAlignment="1">
      <alignment vertical="center"/>
    </xf>
    <xf numFmtId="0" fontId="63" fillId="0" borderId="0" xfId="18" applyFont="1" applyAlignment="1">
      <alignment horizontal="left" vertical="center"/>
    </xf>
    <xf numFmtId="0" fontId="49" fillId="0" borderId="0" xfId="18" applyFont="1" applyAlignment="1">
      <alignment vertical="center"/>
    </xf>
    <xf numFmtId="0" fontId="102" fillId="0" borderId="0" xfId="18" applyFont="1" applyAlignment="1">
      <alignment vertical="center"/>
    </xf>
    <xf numFmtId="182" fontId="93" fillId="0" borderId="0" xfId="14" applyNumberFormat="1" applyFont="1" applyAlignment="1">
      <alignment horizontal="center" vertical="center"/>
    </xf>
    <xf numFmtId="182" fontId="103" fillId="0" borderId="0" xfId="14" applyNumberFormat="1" applyFont="1" applyAlignment="1">
      <alignment horizontal="left" vertical="center"/>
    </xf>
    <xf numFmtId="183" fontId="101" fillId="0" borderId="0" xfId="18" quotePrefix="1" applyNumberFormat="1" applyFont="1" applyAlignment="1">
      <alignment horizontal="right" vertical="center"/>
    </xf>
    <xf numFmtId="0" fontId="66" fillId="0" borderId="0" xfId="18" applyFont="1" applyAlignment="1">
      <alignment horizontal="distributed" vertical="center"/>
    </xf>
    <xf numFmtId="0" fontId="101" fillId="0" borderId="0" xfId="18" applyFont="1" applyAlignment="1">
      <alignment horizontal="left" vertical="center"/>
    </xf>
    <xf numFmtId="182" fontId="93" fillId="0" borderId="0" xfId="14" applyNumberFormat="1" applyFont="1" applyAlignment="1">
      <alignment horizontal="left" vertical="center"/>
    </xf>
    <xf numFmtId="183" fontId="66" fillId="0" borderId="0" xfId="18" quotePrefix="1" applyNumberFormat="1" applyFont="1" applyAlignment="1">
      <alignment horizontal="right" vertical="center"/>
    </xf>
    <xf numFmtId="0" fontId="66" fillId="0" borderId="0" xfId="18" applyFont="1" applyAlignment="1">
      <alignment horizontal="left" vertical="center"/>
    </xf>
    <xf numFmtId="0" fontId="92" fillId="0" borderId="0" xfId="14" applyFont="1" applyAlignment="1">
      <alignment horizontal="left" vertical="center"/>
    </xf>
    <xf numFmtId="0" fontId="63" fillId="0" borderId="50" xfId="14" applyFont="1" applyBorder="1" applyAlignment="1">
      <alignment horizontal="left" vertical="center"/>
    </xf>
    <xf numFmtId="0" fontId="104" fillId="0" borderId="0" xfId="14" applyFont="1" applyAlignment="1">
      <alignment horizontal="left" vertical="center"/>
    </xf>
    <xf numFmtId="0" fontId="105" fillId="0" borderId="0" xfId="14" applyFont="1" applyAlignment="1">
      <alignment horizontal="center" vertical="center"/>
    </xf>
    <xf numFmtId="0" fontId="106" fillId="0" borderId="0" xfId="14" applyFont="1" applyAlignment="1">
      <alignment horizontal="left" vertical="center"/>
    </xf>
    <xf numFmtId="0" fontId="108" fillId="0" borderId="0" xfId="14" applyFont="1" applyAlignment="1">
      <alignment horizontal="left" vertical="center"/>
    </xf>
    <xf numFmtId="0" fontId="110" fillId="0" borderId="51" xfId="14" applyFont="1" applyBorder="1" applyAlignment="1">
      <alignment horizontal="center" vertical="center"/>
    </xf>
    <xf numFmtId="0" fontId="110" fillId="0" borderId="52" xfId="14" applyFont="1" applyBorder="1" applyAlignment="1">
      <alignment horizontal="center" vertical="center"/>
    </xf>
    <xf numFmtId="0" fontId="110" fillId="0" borderId="55" xfId="14" applyFont="1" applyBorder="1" applyAlignment="1">
      <alignment horizontal="center" vertical="center"/>
    </xf>
    <xf numFmtId="0" fontId="110" fillId="0" borderId="0" xfId="14" applyFont="1" applyAlignment="1">
      <alignment horizontal="center" vertical="center"/>
    </xf>
    <xf numFmtId="0" fontId="110" fillId="0" borderId="0" xfId="14" applyFont="1"/>
    <xf numFmtId="0" fontId="110" fillId="0" borderId="0" xfId="14" applyFont="1" applyAlignment="1">
      <alignment horizontal="centerContinuous" vertical="center"/>
    </xf>
    <xf numFmtId="0" fontId="94" fillId="0" borderId="0" xfId="14" applyFont="1" applyAlignment="1">
      <alignment horizontal="center" vertical="center"/>
    </xf>
    <xf numFmtId="0" fontId="112" fillId="0" borderId="0" xfId="14" applyFont="1" applyAlignment="1">
      <alignment horizontal="center" vertical="center"/>
    </xf>
    <xf numFmtId="0" fontId="52" fillId="0" borderId="0" xfId="20" applyFont="1"/>
    <xf numFmtId="0" fontId="52" fillId="0" borderId="0" xfId="20" applyFont="1" applyAlignment="1">
      <alignment vertical="center"/>
    </xf>
    <xf numFmtId="0" fontId="116" fillId="0" borderId="25" xfId="20" applyFont="1" applyBorder="1" applyAlignment="1">
      <alignment horizontal="center" vertical="center" shrinkToFit="1"/>
    </xf>
    <xf numFmtId="0" fontId="116" fillId="0" borderId="30" xfId="20" applyFont="1" applyBorder="1" applyAlignment="1">
      <alignment horizontal="center" vertical="center" shrinkToFit="1"/>
    </xf>
    <xf numFmtId="0" fontId="116" fillId="0" borderId="17" xfId="20" applyFont="1" applyBorder="1" applyAlignment="1">
      <alignment horizontal="center" vertical="center" shrinkToFit="1"/>
    </xf>
    <xf numFmtId="0" fontId="120" fillId="0" borderId="17" xfId="20" applyFont="1" applyBorder="1" applyAlignment="1">
      <alignment horizontal="center" vertical="center" wrapText="1" shrinkToFit="1"/>
    </xf>
    <xf numFmtId="0" fontId="116" fillId="0" borderId="14" xfId="20" applyFont="1" applyBorder="1" applyAlignment="1">
      <alignment horizontal="center" vertical="center" shrinkToFit="1"/>
    </xf>
    <xf numFmtId="41" fontId="119" fillId="0" borderId="57" xfId="3" applyFont="1" applyBorder="1" applyAlignment="1">
      <alignment horizontal="center" vertical="center" shrinkToFit="1"/>
    </xf>
    <xf numFmtId="41" fontId="119" fillId="0" borderId="15" xfId="3" applyFont="1" applyBorder="1" applyAlignment="1">
      <alignment horizontal="center" vertical="center" shrinkToFit="1"/>
    </xf>
    <xf numFmtId="38" fontId="121" fillId="0" borderId="14" xfId="3" applyNumberFormat="1" applyFont="1" applyBorder="1" applyAlignment="1">
      <alignment horizontal="right" vertical="center" shrinkToFit="1"/>
    </xf>
    <xf numFmtId="41" fontId="121" fillId="0" borderId="14" xfId="3" applyFont="1" applyBorder="1" applyAlignment="1">
      <alignment horizontal="right" vertical="center" shrinkToFit="1"/>
    </xf>
    <xf numFmtId="41" fontId="121" fillId="0" borderId="15" xfId="3" applyFont="1" applyBorder="1" applyAlignment="1">
      <alignment horizontal="center" vertical="center" shrinkToFit="1"/>
    </xf>
    <xf numFmtId="41" fontId="121" fillId="0" borderId="15" xfId="3" applyFont="1" applyBorder="1" applyAlignment="1">
      <alignment vertical="center" shrinkToFit="1"/>
    </xf>
    <xf numFmtId="41" fontId="121" fillId="0" borderId="16" xfId="3" applyFont="1" applyBorder="1" applyAlignment="1">
      <alignment horizontal="center" vertical="center" shrinkToFit="1"/>
    </xf>
    <xf numFmtId="0" fontId="121" fillId="0" borderId="17" xfId="20" applyFont="1" applyBorder="1" applyAlignment="1">
      <alignment vertical="center" shrinkToFit="1"/>
    </xf>
    <xf numFmtId="0" fontId="116" fillId="0" borderId="58" xfId="20" applyFont="1" applyBorder="1" applyAlignment="1">
      <alignment horizontal="center" vertical="center" shrinkToFit="1"/>
    </xf>
    <xf numFmtId="0" fontId="115" fillId="0" borderId="58" xfId="20" applyFont="1" applyBorder="1" applyAlignment="1">
      <alignment horizontal="center" vertical="center" wrapText="1" shrinkToFit="1"/>
    </xf>
    <xf numFmtId="0" fontId="116" fillId="0" borderId="59" xfId="20" applyFont="1" applyBorder="1" applyAlignment="1">
      <alignment horizontal="center" vertical="center" shrinkToFit="1"/>
    </xf>
    <xf numFmtId="41" fontId="116" fillId="0" borderId="60" xfId="3" applyFont="1" applyBorder="1" applyAlignment="1">
      <alignment horizontal="center" vertical="center" shrinkToFit="1"/>
    </xf>
    <xf numFmtId="41" fontId="116" fillId="0" borderId="61" xfId="3" applyFont="1" applyBorder="1" applyAlignment="1">
      <alignment horizontal="center" vertical="center" shrinkToFit="1"/>
    </xf>
    <xf numFmtId="38" fontId="121" fillId="0" borderId="59" xfId="3" applyNumberFormat="1" applyFont="1" applyBorder="1" applyAlignment="1">
      <alignment horizontal="right" vertical="center" shrinkToFit="1"/>
    </xf>
    <xf numFmtId="41" fontId="121" fillId="0" borderId="59" xfId="3" applyFont="1" applyBorder="1" applyAlignment="1">
      <alignment horizontal="right" vertical="center" shrinkToFit="1"/>
    </xf>
    <xf numFmtId="41" fontId="121" fillId="0" borderId="61" xfId="3" applyFont="1" applyBorder="1" applyAlignment="1">
      <alignment horizontal="center" vertical="center" shrinkToFit="1"/>
    </xf>
    <xf numFmtId="41" fontId="121" fillId="0" borderId="61" xfId="3" applyFont="1" applyBorder="1" applyAlignment="1">
      <alignment vertical="center" shrinkToFit="1"/>
    </xf>
    <xf numFmtId="41" fontId="121" fillId="0" borderId="43" xfId="3" applyFont="1" applyBorder="1" applyAlignment="1">
      <alignment horizontal="center" vertical="center" shrinkToFit="1"/>
    </xf>
    <xf numFmtId="0" fontId="121" fillId="0" borderId="58" xfId="20" applyFont="1" applyBorder="1" applyAlignment="1">
      <alignment vertical="center" shrinkToFit="1"/>
    </xf>
    <xf numFmtId="41" fontId="52" fillId="0" borderId="0" xfId="20" applyNumberFormat="1" applyFont="1" applyAlignment="1">
      <alignment vertical="center"/>
    </xf>
    <xf numFmtId="0" fontId="120" fillId="0" borderId="58" xfId="20" applyFont="1" applyBorder="1" applyAlignment="1">
      <alignment horizontal="center" vertical="center" wrapText="1" shrinkToFit="1"/>
    </xf>
    <xf numFmtId="41" fontId="119" fillId="0" borderId="60" xfId="3" applyFont="1" applyBorder="1" applyAlignment="1">
      <alignment horizontal="center" vertical="center" shrinkToFit="1"/>
    </xf>
    <xf numFmtId="41" fontId="119" fillId="0" borderId="61" xfId="3" applyFont="1" applyBorder="1" applyAlignment="1">
      <alignment horizontal="center" vertical="center" shrinkToFit="1"/>
    </xf>
    <xf numFmtId="41" fontId="17" fillId="0" borderId="59" xfId="3" applyFont="1" applyBorder="1" applyAlignment="1">
      <alignment horizontal="right" vertical="center" shrinkToFit="1"/>
    </xf>
    <xf numFmtId="41" fontId="17" fillId="0" borderId="61" xfId="3" applyFont="1" applyBorder="1" applyAlignment="1">
      <alignment horizontal="center" vertical="center" shrinkToFit="1"/>
    </xf>
    <xf numFmtId="41" fontId="17" fillId="0" borderId="61" xfId="3" applyFont="1" applyBorder="1" applyAlignment="1">
      <alignment vertical="center" shrinkToFit="1"/>
    </xf>
    <xf numFmtId="179" fontId="17" fillId="0" borderId="61" xfId="3" applyNumberFormat="1" applyFont="1" applyBorder="1" applyAlignment="1">
      <alignment vertical="center" shrinkToFit="1"/>
    </xf>
    <xf numFmtId="41" fontId="17" fillId="0" borderId="61" xfId="3" applyFont="1" applyBorder="1" applyAlignment="1">
      <alignment horizontal="left" vertical="center" shrinkToFit="1"/>
    </xf>
    <xf numFmtId="41" fontId="121" fillId="0" borderId="43" xfId="3" applyFont="1" applyBorder="1" applyAlignment="1">
      <alignment horizontal="left" vertical="center" shrinkToFit="1"/>
    </xf>
    <xf numFmtId="10" fontId="17" fillId="0" borderId="61" xfId="3" applyNumberFormat="1" applyFont="1" applyBorder="1" applyAlignment="1">
      <alignment vertical="center" shrinkToFit="1"/>
    </xf>
    <xf numFmtId="41" fontId="116" fillId="0" borderId="60" xfId="3" applyFont="1" applyFill="1" applyBorder="1" applyAlignment="1">
      <alignment horizontal="center" vertical="center" shrinkToFit="1"/>
    </xf>
    <xf numFmtId="41" fontId="116" fillId="0" borderId="61" xfId="3" applyFont="1" applyFill="1" applyBorder="1" applyAlignment="1">
      <alignment horizontal="center" vertical="center" shrinkToFit="1"/>
    </xf>
    <xf numFmtId="185" fontId="17" fillId="0" borderId="61" xfId="3" applyNumberFormat="1" applyFont="1" applyBorder="1" applyAlignment="1">
      <alignment vertical="center" shrinkToFit="1"/>
    </xf>
    <xf numFmtId="41" fontId="115" fillId="0" borderId="61" xfId="3" applyFont="1" applyBorder="1" applyAlignment="1">
      <alignment horizontal="center" vertical="center" shrinkToFit="1"/>
    </xf>
    <xf numFmtId="186" fontId="122" fillId="0" borderId="58" xfId="20" applyNumberFormat="1" applyFont="1" applyBorder="1" applyAlignment="1">
      <alignment vertical="center" shrinkToFit="1"/>
    </xf>
    <xf numFmtId="3" fontId="17" fillId="0" borderId="61" xfId="20" applyNumberFormat="1" applyFont="1" applyBorder="1" applyAlignment="1">
      <alignment horizontal="left" vertical="center" shrinkToFit="1"/>
    </xf>
    <xf numFmtId="187" fontId="17" fillId="0" borderId="61" xfId="3" applyNumberFormat="1" applyFont="1" applyBorder="1" applyAlignment="1">
      <alignment horizontal="center" vertical="center" shrinkToFit="1"/>
    </xf>
    <xf numFmtId="188" fontId="17" fillId="0" borderId="61" xfId="3" applyNumberFormat="1" applyFont="1" applyBorder="1" applyAlignment="1">
      <alignment horizontal="center" vertical="center" shrinkToFit="1"/>
    </xf>
    <xf numFmtId="188" fontId="17" fillId="0" borderId="43" xfId="3" applyNumberFormat="1" applyFont="1" applyBorder="1" applyAlignment="1">
      <alignment horizontal="center" vertical="center" shrinkToFit="1"/>
    </xf>
    <xf numFmtId="186" fontId="123" fillId="0" borderId="58" xfId="20" applyNumberFormat="1" applyFont="1" applyBorder="1" applyAlignment="1">
      <alignment vertical="center" shrinkToFit="1"/>
    </xf>
    <xf numFmtId="187" fontId="52" fillId="0" borderId="0" xfId="20" applyNumberFormat="1" applyFont="1" applyAlignment="1">
      <alignment vertical="center"/>
    </xf>
    <xf numFmtId="0" fontId="123" fillId="0" borderId="58" xfId="20" applyFont="1" applyBorder="1" applyAlignment="1">
      <alignment horizontal="right" vertical="center" shrinkToFit="1"/>
    </xf>
    <xf numFmtId="0" fontId="116" fillId="0" borderId="43" xfId="20" applyFont="1" applyBorder="1" applyAlignment="1">
      <alignment horizontal="center" vertical="center" shrinkToFit="1"/>
    </xf>
    <xf numFmtId="0" fontId="124" fillId="0" borderId="58" xfId="20" applyFont="1" applyBorder="1" applyAlignment="1">
      <alignment vertical="center" shrinkToFit="1"/>
    </xf>
    <xf numFmtId="0" fontId="125" fillId="0" borderId="58" xfId="20" applyFont="1" applyBorder="1" applyAlignment="1">
      <alignment horizontal="center" vertical="center" shrinkToFit="1"/>
    </xf>
    <xf numFmtId="41" fontId="17" fillId="0" borderId="61" xfId="3" applyFont="1" applyBorder="1" applyAlignment="1">
      <alignment horizontal="left" vertical="center"/>
    </xf>
    <xf numFmtId="189" fontId="126" fillId="0" borderId="58" xfId="20" quotePrefix="1" applyNumberFormat="1" applyFont="1" applyBorder="1" applyAlignment="1">
      <alignment vertical="center" shrinkToFit="1"/>
    </xf>
    <xf numFmtId="9" fontId="17" fillId="0" borderId="61" xfId="3" applyNumberFormat="1" applyFont="1" applyBorder="1" applyAlignment="1">
      <alignment vertical="center" shrinkToFit="1"/>
    </xf>
    <xf numFmtId="0" fontId="116" fillId="7" borderId="59" xfId="20" applyFont="1" applyFill="1" applyBorder="1" applyAlignment="1">
      <alignment horizontal="center" vertical="center" shrinkToFit="1"/>
    </xf>
    <xf numFmtId="41" fontId="119" fillId="7" borderId="60" xfId="3" applyFont="1" applyFill="1" applyBorder="1" applyAlignment="1">
      <alignment horizontal="center" vertical="center" shrinkToFit="1"/>
    </xf>
    <xf numFmtId="41" fontId="119" fillId="7" borderId="61" xfId="3" applyFont="1" applyFill="1" applyBorder="1" applyAlignment="1">
      <alignment horizontal="center" vertical="center" shrinkToFit="1"/>
    </xf>
    <xf numFmtId="38" fontId="121" fillId="7" borderId="59" xfId="3" applyNumberFormat="1" applyFont="1" applyFill="1" applyBorder="1" applyAlignment="1">
      <alignment horizontal="right" vertical="center" shrinkToFit="1"/>
    </xf>
    <xf numFmtId="41" fontId="52" fillId="0" borderId="0" xfId="21" applyFont="1" applyAlignment="1">
      <alignment vertical="center"/>
    </xf>
    <xf numFmtId="0" fontId="116" fillId="8" borderId="59" xfId="20" applyFont="1" applyFill="1" applyBorder="1" applyAlignment="1">
      <alignment horizontal="center" vertical="center" shrinkToFit="1"/>
    </xf>
    <xf numFmtId="41" fontId="115" fillId="8" borderId="60" xfId="3" applyFont="1" applyFill="1" applyBorder="1" applyAlignment="1">
      <alignment horizontal="center" vertical="center" shrinkToFit="1"/>
    </xf>
    <xf numFmtId="41" fontId="115" fillId="8" borderId="61" xfId="3" applyFont="1" applyFill="1" applyBorder="1" applyAlignment="1">
      <alignment horizontal="center" vertical="center" shrinkToFit="1"/>
    </xf>
    <xf numFmtId="38" fontId="121" fillId="8" borderId="59" xfId="3" applyNumberFormat="1" applyFont="1" applyFill="1" applyBorder="1" applyAlignment="1">
      <alignment horizontal="right" vertical="center" shrinkToFit="1"/>
    </xf>
    <xf numFmtId="189" fontId="122" fillId="0" borderId="58" xfId="20" applyNumberFormat="1" applyFont="1" applyBorder="1" applyAlignment="1">
      <alignment vertical="center" shrinkToFit="1"/>
    </xf>
    <xf numFmtId="41" fontId="119" fillId="8" borderId="60" xfId="3" applyFont="1" applyFill="1" applyBorder="1" applyAlignment="1">
      <alignment horizontal="center" vertical="center" shrinkToFit="1"/>
    </xf>
    <xf numFmtId="41" fontId="119" fillId="8" borderId="61" xfId="3" applyFont="1" applyFill="1" applyBorder="1" applyAlignment="1">
      <alignment horizontal="center" vertical="center" shrinkToFit="1"/>
    </xf>
    <xf numFmtId="0" fontId="116" fillId="8" borderId="18" xfId="20" applyFont="1" applyFill="1" applyBorder="1" applyAlignment="1">
      <alignment horizontal="center" vertical="center" shrinkToFit="1"/>
    </xf>
    <xf numFmtId="41" fontId="125" fillId="8" borderId="64" xfId="3" applyFont="1" applyFill="1" applyBorder="1" applyAlignment="1">
      <alignment horizontal="center" vertical="center" shrinkToFit="1"/>
    </xf>
    <xf numFmtId="38" fontId="121" fillId="8" borderId="18" xfId="3" applyNumberFormat="1" applyFont="1" applyFill="1" applyBorder="1" applyAlignment="1">
      <alignment horizontal="right" vertical="center" shrinkToFit="1"/>
    </xf>
    <xf numFmtId="41" fontId="121" fillId="0" borderId="18" xfId="3" applyFont="1" applyBorder="1" applyAlignment="1">
      <alignment horizontal="right" vertical="center" shrinkToFit="1"/>
    </xf>
    <xf numFmtId="41" fontId="121" fillId="0" borderId="19" xfId="3" applyFont="1" applyBorder="1" applyAlignment="1">
      <alignment horizontal="center" vertical="center" shrinkToFit="1"/>
    </xf>
    <xf numFmtId="41" fontId="121" fillId="0" borderId="19" xfId="3" applyFont="1" applyBorder="1" applyAlignment="1">
      <alignment vertical="center" shrinkToFit="1"/>
    </xf>
    <xf numFmtId="41" fontId="121" fillId="0" borderId="20" xfId="3" applyFont="1" applyBorder="1" applyAlignment="1">
      <alignment horizontal="center" vertical="center" shrinkToFit="1"/>
    </xf>
    <xf numFmtId="0" fontId="121" fillId="0" borderId="65" xfId="20" applyFont="1" applyBorder="1" applyAlignment="1">
      <alignment horizontal="right" vertical="center" shrinkToFit="1"/>
    </xf>
    <xf numFmtId="0" fontId="116" fillId="0" borderId="23" xfId="20" applyFont="1" applyBorder="1" applyAlignment="1">
      <alignment horizontal="center" vertical="center"/>
    </xf>
    <xf numFmtId="41" fontId="116" fillId="0" borderId="23" xfId="3" applyFont="1" applyBorder="1" applyAlignment="1">
      <alignment horizontal="center" vertical="center"/>
    </xf>
    <xf numFmtId="41" fontId="121" fillId="0" borderId="23" xfId="3" applyFont="1" applyBorder="1" applyAlignment="1">
      <alignment horizontal="right" vertical="center"/>
    </xf>
    <xf numFmtId="41" fontId="121" fillId="0" borderId="23" xfId="3" applyFont="1" applyBorder="1" applyAlignment="1">
      <alignment horizontal="center" vertical="center"/>
    </xf>
    <xf numFmtId="0" fontId="121" fillId="0" borderId="23" xfId="20" applyFont="1" applyBorder="1" applyAlignment="1">
      <alignment vertical="center"/>
    </xf>
    <xf numFmtId="41" fontId="116" fillId="0" borderId="0" xfId="3" applyFont="1" applyAlignment="1">
      <alignment vertical="center"/>
    </xf>
    <xf numFmtId="41" fontId="116" fillId="0" borderId="29" xfId="3" applyFont="1" applyBorder="1" applyAlignment="1">
      <alignment vertical="center"/>
    </xf>
    <xf numFmtId="190" fontId="116" fillId="0" borderId="30" xfId="3" applyNumberFormat="1" applyFont="1" applyBorder="1" applyAlignment="1">
      <alignment vertical="center"/>
    </xf>
    <xf numFmtId="0" fontId="66" fillId="0" borderId="0" xfId="22" applyFont="1"/>
    <xf numFmtId="49" fontId="66" fillId="0" borderId="0" xfId="22" applyNumberFormat="1" applyFont="1"/>
    <xf numFmtId="191" fontId="66" fillId="0" borderId="25" xfId="22" applyNumberFormat="1" applyFont="1" applyBorder="1" applyAlignment="1">
      <alignment horizontal="center" vertical="center"/>
    </xf>
    <xf numFmtId="0" fontId="66" fillId="0" borderId="0" xfId="22" applyFont="1" applyAlignment="1">
      <alignment horizontal="center" vertical="center"/>
    </xf>
    <xf numFmtId="0" fontId="129" fillId="0" borderId="66" xfId="22" applyFont="1" applyBorder="1"/>
    <xf numFmtId="49" fontId="129" fillId="0" borderId="66" xfId="22" applyNumberFormat="1" applyFont="1" applyBorder="1"/>
    <xf numFmtId="49" fontId="129" fillId="0" borderId="17" xfId="22" applyNumberFormat="1" applyFont="1" applyBorder="1" applyAlignment="1">
      <alignment vertical="center"/>
    </xf>
    <xf numFmtId="0" fontId="129" fillId="0" borderId="17" xfId="22" applyFont="1" applyBorder="1" applyAlignment="1">
      <alignment vertical="center"/>
    </xf>
    <xf numFmtId="0" fontId="129" fillId="0" borderId="17" xfId="22" applyFont="1" applyBorder="1" applyAlignment="1">
      <alignment horizontal="center" vertical="center"/>
    </xf>
    <xf numFmtId="191" fontId="129" fillId="0" borderId="17" xfId="22" applyNumberFormat="1" applyFont="1" applyBorder="1" applyAlignment="1">
      <alignment vertical="center"/>
    </xf>
    <xf numFmtId="49" fontId="66" fillId="0" borderId="68" xfId="22" applyNumberFormat="1" applyFont="1" applyBorder="1" applyAlignment="1">
      <alignment vertical="center"/>
    </xf>
    <xf numFmtId="0" fontId="66" fillId="0" borderId="68" xfId="22" applyFont="1" applyBorder="1" applyAlignment="1">
      <alignment vertical="center"/>
    </xf>
    <xf numFmtId="0" fontId="66" fillId="0" borderId="68" xfId="22" applyFont="1" applyBorder="1" applyAlignment="1">
      <alignment horizontal="center" vertical="center"/>
    </xf>
    <xf numFmtId="191" fontId="66" fillId="0" borderId="68" xfId="22" applyNumberFormat="1" applyFont="1" applyBorder="1" applyAlignment="1">
      <alignment vertical="center"/>
    </xf>
    <xf numFmtId="49" fontId="66" fillId="0" borderId="25" xfId="22" applyNumberFormat="1" applyFont="1" applyBorder="1"/>
    <xf numFmtId="0" fontId="66" fillId="0" borderId="25" xfId="22" applyFont="1" applyBorder="1"/>
    <xf numFmtId="0" fontId="66" fillId="0" borderId="25" xfId="22" applyFont="1" applyBorder="1" applyAlignment="1">
      <alignment horizontal="center"/>
    </xf>
    <xf numFmtId="191" fontId="66" fillId="0" borderId="25" xfId="22" applyNumberFormat="1" applyFont="1" applyBorder="1"/>
    <xf numFmtId="192" fontId="66" fillId="0" borderId="25" xfId="22" applyNumberFormat="1" applyFont="1" applyBorder="1"/>
    <xf numFmtId="49" fontId="128" fillId="0" borderId="25" xfId="22" applyNumberFormat="1" applyFont="1" applyBorder="1"/>
    <xf numFmtId="0" fontId="128" fillId="0" borderId="25" xfId="22" applyFont="1" applyBorder="1"/>
    <xf numFmtId="0" fontId="128" fillId="0" borderId="25" xfId="22" applyFont="1" applyBorder="1" applyAlignment="1">
      <alignment horizontal="center"/>
    </xf>
    <xf numFmtId="191" fontId="128" fillId="0" borderId="25" xfId="22" applyNumberFormat="1" applyFont="1" applyBorder="1"/>
    <xf numFmtId="49" fontId="129" fillId="0" borderId="17" xfId="22" applyNumberFormat="1" applyFont="1" applyBorder="1"/>
    <xf numFmtId="0" fontId="129" fillId="0" borderId="17" xfId="22" applyFont="1" applyBorder="1"/>
    <xf numFmtId="0" fontId="129" fillId="0" borderId="17" xfId="22" applyFont="1" applyBorder="1" applyAlignment="1">
      <alignment horizontal="center"/>
    </xf>
    <xf numFmtId="191" fontId="129" fillId="0" borderId="17" xfId="22" applyNumberFormat="1" applyFont="1" applyBorder="1"/>
    <xf numFmtId="49" fontId="66" fillId="0" borderId="68" xfId="22" applyNumberFormat="1" applyFont="1" applyBorder="1"/>
    <xf numFmtId="0" fontId="66" fillId="0" borderId="68" xfId="22" applyFont="1" applyBorder="1"/>
    <xf numFmtId="0" fontId="66" fillId="0" borderId="68" xfId="22" applyFont="1" applyBorder="1" applyAlignment="1">
      <alignment horizontal="center"/>
    </xf>
    <xf numFmtId="191" fontId="66" fillId="0" borderId="68" xfId="22" applyNumberFormat="1" applyFont="1" applyBorder="1"/>
    <xf numFmtId="191" fontId="66" fillId="0" borderId="17" xfId="22" applyNumberFormat="1" applyFont="1" applyBorder="1"/>
    <xf numFmtId="49" fontId="129" fillId="0" borderId="66" xfId="22" applyNumberFormat="1" applyFont="1" applyBorder="1" applyAlignment="1">
      <alignment vertical="center"/>
    </xf>
    <xf numFmtId="0" fontId="129" fillId="0" borderId="66" xfId="22" applyFont="1" applyBorder="1" applyAlignment="1">
      <alignment vertical="center"/>
    </xf>
    <xf numFmtId="49" fontId="66" fillId="0" borderId="0" xfId="22" applyNumberFormat="1" applyFont="1" applyAlignment="1">
      <alignment vertical="center"/>
    </xf>
    <xf numFmtId="0" fontId="66" fillId="0" borderId="0" xfId="22" applyFont="1" applyAlignment="1">
      <alignment vertical="center"/>
    </xf>
    <xf numFmtId="0" fontId="66" fillId="0" borderId="0" xfId="22" applyFont="1" applyAlignment="1">
      <alignment horizontal="center"/>
    </xf>
    <xf numFmtId="191" fontId="66" fillId="0" borderId="0" xfId="22" applyNumberFormat="1" applyFont="1"/>
    <xf numFmtId="0" fontId="2" fillId="0" borderId="0" xfId="23" quotePrefix="1">
      <alignment vertical="center"/>
    </xf>
    <xf numFmtId="0" fontId="2" fillId="0" borderId="0" xfId="23">
      <alignment vertical="center"/>
    </xf>
    <xf numFmtId="0" fontId="130" fillId="0" borderId="25" xfId="23" quotePrefix="1" applyFont="1" applyBorder="1" applyAlignment="1">
      <alignment horizontal="center" vertical="center"/>
    </xf>
    <xf numFmtId="0" fontId="130" fillId="0" borderId="30" xfId="23" quotePrefix="1" applyFont="1" applyBorder="1" applyAlignment="1">
      <alignment horizontal="center" vertical="center"/>
    </xf>
    <xf numFmtId="0" fontId="131" fillId="0" borderId="25" xfId="23" quotePrefix="1" applyFont="1" applyBorder="1" applyAlignment="1">
      <alignment vertical="center" wrapText="1"/>
    </xf>
    <xf numFmtId="0" fontId="131" fillId="0" borderId="25" xfId="23" applyFont="1" applyBorder="1" applyAlignment="1">
      <alignment vertical="center" wrapText="1"/>
    </xf>
    <xf numFmtId="196" fontId="131" fillId="0" borderId="25" xfId="23" applyNumberFormat="1" applyFont="1" applyBorder="1" applyAlignment="1">
      <alignment vertical="center" wrapText="1"/>
    </xf>
    <xf numFmtId="0" fontId="131" fillId="12" borderId="25" xfId="23" quotePrefix="1" applyFont="1" applyFill="1" applyBorder="1" applyAlignment="1">
      <alignment vertical="center" wrapText="1"/>
    </xf>
    <xf numFmtId="0" fontId="131" fillId="12" borderId="25" xfId="23" applyFont="1" applyFill="1" applyBorder="1" applyAlignment="1">
      <alignment vertical="center" wrapText="1"/>
    </xf>
    <xf numFmtId="196" fontId="131" fillId="12" borderId="25" xfId="23" applyNumberFormat="1" applyFont="1" applyFill="1" applyBorder="1" applyAlignment="1">
      <alignment vertical="center" wrapText="1"/>
    </xf>
    <xf numFmtId="0" fontId="2" fillId="12" borderId="0" xfId="23" quotePrefix="1" applyFill="1">
      <alignment vertical="center"/>
    </xf>
    <xf numFmtId="0" fontId="2" fillId="12" borderId="0" xfId="23" applyFill="1">
      <alignment vertical="center"/>
    </xf>
    <xf numFmtId="0" fontId="132" fillId="0" borderId="25" xfId="23" quotePrefix="1" applyFont="1" applyBorder="1" applyAlignment="1">
      <alignment vertical="center" wrapText="1"/>
    </xf>
    <xf numFmtId="197" fontId="131" fillId="0" borderId="25" xfId="23" applyNumberFormat="1" applyFont="1" applyBorder="1" applyAlignment="1">
      <alignment vertical="center" wrapText="1"/>
    </xf>
    <xf numFmtId="10" fontId="131" fillId="0" borderId="25" xfId="23" applyNumberFormat="1" applyFont="1" applyBorder="1" applyAlignment="1">
      <alignment vertical="center" wrapText="1"/>
    </xf>
    <xf numFmtId="49" fontId="133" fillId="0" borderId="0" xfId="0" applyNumberFormat="1" applyFont="1" applyAlignment="1"/>
    <xf numFmtId="0" fontId="0" fillId="0" borderId="0" xfId="0" applyAlignment="1"/>
    <xf numFmtId="191" fontId="133" fillId="0" borderId="0" xfId="0" applyNumberFormat="1" applyFont="1" applyAlignment="1"/>
    <xf numFmtId="0" fontId="133" fillId="0" borderId="0" xfId="0" applyFont="1" applyAlignment="1"/>
    <xf numFmtId="49" fontId="133" fillId="0" borderId="0" xfId="0" applyNumberFormat="1" applyFont="1" applyAlignment="1">
      <alignment horizontal="center" vertical="center"/>
    </xf>
    <xf numFmtId="49" fontId="133" fillId="0" borderId="25" xfId="0" applyNumberFormat="1" applyFont="1" applyBorder="1" applyAlignment="1">
      <alignment horizontal="center" vertical="center"/>
    </xf>
    <xf numFmtId="0" fontId="133" fillId="0" borderId="25" xfId="0" applyFont="1" applyBorder="1" applyAlignment="1">
      <alignment horizontal="center" vertical="center"/>
    </xf>
    <xf numFmtId="191" fontId="133" fillId="0" borderId="25" xfId="0" applyNumberFormat="1" applyFont="1" applyBorder="1" applyAlignment="1">
      <alignment horizontal="center" vertical="center"/>
    </xf>
    <xf numFmtId="0" fontId="133" fillId="0" borderId="0" xfId="0" applyFont="1" applyAlignment="1">
      <alignment horizontal="center" vertical="center"/>
    </xf>
    <xf numFmtId="49" fontId="133" fillId="0" borderId="25" xfId="0" applyNumberFormat="1" applyFont="1" applyBorder="1" applyAlignment="1">
      <alignment horizontal="left"/>
    </xf>
    <xf numFmtId="49" fontId="133" fillId="0" borderId="25" xfId="0" applyNumberFormat="1" applyFont="1" applyBorder="1" applyAlignment="1"/>
    <xf numFmtId="0" fontId="133" fillId="0" borderId="25" xfId="0" applyFont="1" applyBorder="1" applyAlignment="1">
      <alignment horizontal="center"/>
    </xf>
    <xf numFmtId="187" fontId="133" fillId="0" borderId="25" xfId="0" applyNumberFormat="1" applyFont="1" applyBorder="1" applyAlignment="1"/>
    <xf numFmtId="191" fontId="133" fillId="0" borderId="25" xfId="0" applyNumberFormat="1" applyFont="1" applyBorder="1" applyAlignment="1"/>
    <xf numFmtId="49" fontId="132" fillId="0" borderId="0" xfId="0" applyNumberFormat="1" applyFont="1" applyAlignment="1"/>
    <xf numFmtId="49" fontId="0" fillId="0" borderId="0" xfId="0" applyNumberFormat="1" applyAlignment="1"/>
    <xf numFmtId="191" fontId="0" fillId="0" borderId="0" xfId="0" applyNumberFormat="1" applyAlignment="1"/>
    <xf numFmtId="194" fontId="131" fillId="0" borderId="25" xfId="23" applyNumberFormat="1" applyFont="1" applyBorder="1" applyAlignment="1">
      <alignment vertical="center" wrapText="1"/>
    </xf>
    <xf numFmtId="194" fontId="131" fillId="12" borderId="25" xfId="23" applyNumberFormat="1" applyFont="1" applyFill="1" applyBorder="1" applyAlignment="1">
      <alignment vertical="center" wrapText="1"/>
    </xf>
    <xf numFmtId="0" fontId="132" fillId="0" borderId="0" xfId="23" applyFont="1">
      <alignment vertical="center"/>
    </xf>
    <xf numFmtId="49" fontId="136" fillId="0" borderId="0" xfId="0" applyNumberFormat="1" applyFont="1" applyAlignment="1">
      <alignment horizontal="left" indent="1"/>
    </xf>
    <xf numFmtId="49" fontId="133" fillId="0" borderId="0" xfId="0" applyNumberFormat="1" applyFont="1" applyAlignment="1">
      <alignment horizontal="left"/>
    </xf>
    <xf numFmtId="0" fontId="133" fillId="0" borderId="0" xfId="0" applyFont="1" applyAlignment="1">
      <alignment horizontal="center"/>
    </xf>
    <xf numFmtId="191" fontId="133" fillId="0" borderId="0" xfId="0" applyNumberFormat="1" applyFont="1" applyAlignment="1">
      <alignment horizontal="center" vertical="center"/>
    </xf>
    <xf numFmtId="0" fontId="133" fillId="0" borderId="25" xfId="0" applyFont="1" applyBorder="1" applyAlignment="1"/>
    <xf numFmtId="0" fontId="133" fillId="0" borderId="25" xfId="21" applyNumberFormat="1" applyFont="1" applyBorder="1"/>
    <xf numFmtId="198" fontId="131" fillId="0" borderId="25" xfId="23" applyNumberFormat="1" applyFont="1" applyBorder="1" applyAlignment="1">
      <alignment vertical="center" wrapText="1"/>
    </xf>
    <xf numFmtId="198" fontId="131" fillId="12" borderId="25" xfId="23" applyNumberFormat="1" applyFont="1" applyFill="1" applyBorder="1" applyAlignment="1">
      <alignment vertical="center" wrapText="1"/>
    </xf>
    <xf numFmtId="0" fontId="133" fillId="0" borderId="0" xfId="0" applyFont="1" applyAlignment="1">
      <alignment horizontal="right"/>
    </xf>
    <xf numFmtId="0" fontId="133" fillId="0" borderId="0" xfId="0" applyFont="1">
      <alignment vertical="center"/>
    </xf>
    <xf numFmtId="10" fontId="133" fillId="0" borderId="0" xfId="0" applyNumberFormat="1" applyFont="1">
      <alignment vertical="center"/>
    </xf>
    <xf numFmtId="10" fontId="2" fillId="0" borderId="0" xfId="23" applyNumberFormat="1">
      <alignment vertical="center"/>
    </xf>
    <xf numFmtId="199" fontId="131" fillId="0" borderId="25" xfId="23" quotePrefix="1" applyNumberFormat="1" applyFont="1" applyBorder="1" applyAlignment="1">
      <alignment vertical="center" wrapText="1"/>
    </xf>
    <xf numFmtId="199" fontId="131" fillId="0" borderId="25" xfId="23" applyNumberFormat="1" applyFont="1" applyBorder="1" applyAlignment="1">
      <alignment vertical="center" wrapText="1"/>
    </xf>
    <xf numFmtId="199" fontId="2" fillId="0" borderId="0" xfId="23" applyNumberFormat="1">
      <alignment vertical="center"/>
    </xf>
    <xf numFmtId="199" fontId="131" fillId="12" borderId="25" xfId="23" quotePrefix="1" applyNumberFormat="1" applyFont="1" applyFill="1" applyBorder="1" applyAlignment="1">
      <alignment vertical="center" wrapText="1"/>
    </xf>
    <xf numFmtId="199" fontId="131" fillId="12" borderId="25" xfId="23" applyNumberFormat="1" applyFont="1" applyFill="1" applyBorder="1" applyAlignment="1">
      <alignment vertical="center" wrapText="1"/>
    </xf>
    <xf numFmtId="199" fontId="2" fillId="12" borderId="0" xfId="23" applyNumberFormat="1" applyFill="1">
      <alignment vertical="center"/>
    </xf>
    <xf numFmtId="0" fontId="2" fillId="0" borderId="25" xfId="23" quotePrefix="1" applyBorder="1" applyAlignment="1">
      <alignment vertical="center" wrapText="1"/>
    </xf>
    <xf numFmtId="0" fontId="2" fillId="0" borderId="25" xfId="23" applyBorder="1" applyAlignment="1">
      <alignment vertical="center" wrapText="1"/>
    </xf>
    <xf numFmtId="0" fontId="2" fillId="12" borderId="25" xfId="23" quotePrefix="1" applyFill="1" applyBorder="1" applyAlignment="1">
      <alignment vertical="center" wrapText="1"/>
    </xf>
    <xf numFmtId="0" fontId="2" fillId="12" borderId="25" xfId="23" applyFill="1" applyBorder="1" applyAlignment="1">
      <alignment vertical="center" wrapText="1"/>
    </xf>
    <xf numFmtId="2" fontId="2" fillId="12" borderId="25" xfId="23" applyNumberFormat="1" applyFill="1" applyBorder="1" applyAlignment="1">
      <alignment vertical="center" wrapText="1"/>
    </xf>
    <xf numFmtId="38" fontId="0" fillId="0" borderId="0" xfId="24" applyNumberFormat="1" applyFont="1">
      <alignment vertical="center"/>
    </xf>
    <xf numFmtId="40" fontId="0" fillId="0" borderId="0" xfId="24" applyNumberFormat="1" applyFont="1">
      <alignment vertical="center"/>
    </xf>
    <xf numFmtId="38" fontId="0" fillId="0" borderId="0" xfId="24" applyNumberFormat="1" applyFont="1" applyAlignment="1">
      <alignment horizontal="center" vertical="center"/>
    </xf>
    <xf numFmtId="49" fontId="133" fillId="0" borderId="0" xfId="0" applyNumberFormat="1" applyFont="1" applyAlignment="1">
      <alignment horizontal="right"/>
    </xf>
    <xf numFmtId="197" fontId="133" fillId="0" borderId="0" xfId="0" applyNumberFormat="1" applyFont="1" applyAlignment="1"/>
    <xf numFmtId="197" fontId="133" fillId="0" borderId="25" xfId="0" applyNumberFormat="1" applyFont="1" applyBorder="1" applyAlignment="1">
      <alignment horizontal="center" vertical="center"/>
    </xf>
    <xf numFmtId="49" fontId="133" fillId="0" borderId="25" xfId="0" applyNumberFormat="1" applyFont="1" applyBorder="1" applyAlignment="1">
      <alignment shrinkToFit="1"/>
    </xf>
    <xf numFmtId="49" fontId="133" fillId="0" borderId="25" xfId="0" applyNumberFormat="1" applyFont="1" applyBorder="1" applyAlignment="1">
      <alignment horizontal="center"/>
    </xf>
    <xf numFmtId="197" fontId="133" fillId="0" borderId="25" xfId="0" applyNumberFormat="1" applyFont="1" applyBorder="1" applyAlignment="1">
      <alignment horizontal="right"/>
    </xf>
    <xf numFmtId="49" fontId="133" fillId="0" borderId="25" xfId="0" applyNumberFormat="1" applyFont="1" applyBorder="1" applyAlignment="1">
      <alignment horizontal="right"/>
    </xf>
    <xf numFmtId="197" fontId="139" fillId="0" borderId="25" xfId="0" applyNumberFormat="1" applyFont="1" applyBorder="1" applyAlignment="1">
      <alignment horizontal="right"/>
    </xf>
    <xf numFmtId="49" fontId="139" fillId="0" borderId="25" xfId="0" applyNumberFormat="1" applyFont="1" applyBorder="1" applyAlignment="1">
      <alignment horizontal="right"/>
    </xf>
    <xf numFmtId="49" fontId="133" fillId="0" borderId="0" xfId="0" applyNumberFormat="1" applyFont="1" applyAlignment="1">
      <alignment horizontal="center"/>
    </xf>
    <xf numFmtId="197" fontId="133" fillId="0" borderId="0" xfId="0" applyNumberFormat="1" applyFont="1" applyAlignment="1">
      <alignment horizontal="right"/>
    </xf>
    <xf numFmtId="49" fontId="133" fillId="13" borderId="82" xfId="0" applyNumberFormat="1" applyFont="1" applyFill="1" applyBorder="1" applyAlignment="1">
      <alignment horizontal="left"/>
    </xf>
    <xf numFmtId="0" fontId="133" fillId="13" borderId="83" xfId="0" applyFont="1" applyFill="1" applyBorder="1" applyAlignment="1">
      <alignment horizontal="center"/>
    </xf>
    <xf numFmtId="0" fontId="133" fillId="13" borderId="84" xfId="0" applyFont="1" applyFill="1" applyBorder="1" applyAlignment="1">
      <alignment horizontal="center"/>
    </xf>
    <xf numFmtId="187" fontId="133" fillId="0" borderId="0" xfId="0" applyNumberFormat="1" applyFont="1" applyAlignment="1">
      <alignment horizontal="center"/>
    </xf>
    <xf numFmtId="49" fontId="133" fillId="0" borderId="68" xfId="0" applyNumberFormat="1" applyFont="1" applyBorder="1" applyAlignment="1">
      <alignment horizontal="left"/>
    </xf>
    <xf numFmtId="191" fontId="133" fillId="0" borderId="68" xfId="0" applyNumberFormat="1" applyFont="1" applyBorder="1" applyAlignment="1"/>
    <xf numFmtId="191" fontId="133" fillId="0" borderId="67" xfId="0" applyNumberFormat="1" applyFont="1" applyBorder="1" applyAlignment="1"/>
    <xf numFmtId="0" fontId="133" fillId="0" borderId="68" xfId="0" applyFont="1" applyBorder="1" applyAlignment="1"/>
    <xf numFmtId="49" fontId="133" fillId="0" borderId="67" xfId="0" applyNumberFormat="1" applyFont="1" applyBorder="1" applyAlignment="1">
      <alignment horizontal="left"/>
    </xf>
    <xf numFmtId="0" fontId="133" fillId="0" borderId="67" xfId="0" applyFont="1" applyBorder="1" applyAlignment="1"/>
    <xf numFmtId="2" fontId="131" fillId="12" borderId="25" xfId="23" applyNumberFormat="1" applyFont="1" applyFill="1" applyBorder="1" applyAlignment="1">
      <alignment vertical="center" wrapText="1"/>
    </xf>
    <xf numFmtId="0" fontId="84" fillId="0" borderId="0" xfId="0" applyFont="1">
      <alignment vertical="center"/>
    </xf>
    <xf numFmtId="41" fontId="84" fillId="0" borderId="0" xfId="21" applyFont="1" applyAlignment="1">
      <alignment vertical="center"/>
    </xf>
    <xf numFmtId="0" fontId="84" fillId="0" borderId="0" xfId="0" applyFont="1" applyAlignment="1">
      <alignment horizontal="center" vertical="center"/>
    </xf>
    <xf numFmtId="41" fontId="84" fillId="0" borderId="25" xfId="21" applyFont="1" applyBorder="1" applyAlignment="1">
      <alignment horizontal="center" vertical="center"/>
    </xf>
    <xf numFmtId="41" fontId="84" fillId="0" borderId="68" xfId="21" applyFont="1" applyBorder="1" applyAlignment="1">
      <alignment horizontal="center" vertical="center"/>
    </xf>
    <xf numFmtId="0" fontId="84" fillId="0" borderId="31" xfId="0" applyFont="1" applyBorder="1">
      <alignment vertical="center"/>
    </xf>
    <xf numFmtId="0" fontId="84" fillId="0" borderId="1" xfId="0" applyFont="1" applyBorder="1">
      <alignment vertical="center"/>
    </xf>
    <xf numFmtId="0" fontId="84" fillId="0" borderId="1" xfId="0" applyFont="1" applyBorder="1" applyAlignment="1">
      <alignment horizontal="center" vertical="center"/>
    </xf>
    <xf numFmtId="41" fontId="84" fillId="0" borderId="1" xfId="21" applyFont="1" applyBorder="1" applyAlignment="1">
      <alignment vertical="center"/>
    </xf>
    <xf numFmtId="0" fontId="84" fillId="0" borderId="32" xfId="0" applyFont="1" applyBorder="1" applyAlignment="1">
      <alignment horizontal="center" vertical="center"/>
    </xf>
    <xf numFmtId="0" fontId="84" fillId="0" borderId="0" xfId="0" applyFont="1" applyAlignment="1"/>
    <xf numFmtId="0" fontId="143" fillId="0" borderId="80" xfId="0" applyFont="1" applyBorder="1">
      <alignment vertical="center"/>
    </xf>
    <xf numFmtId="0" fontId="85" fillId="0" borderId="81" xfId="0" applyFont="1" applyBorder="1" applyAlignment="1">
      <alignment horizontal="center" vertical="center"/>
    </xf>
    <xf numFmtId="41" fontId="143" fillId="0" borderId="81" xfId="21" applyFont="1" applyBorder="1" applyAlignment="1">
      <alignment horizontal="center" vertical="center"/>
    </xf>
    <xf numFmtId="0" fontId="143" fillId="0" borderId="80" xfId="0" applyFont="1" applyBorder="1" applyAlignment="1"/>
    <xf numFmtId="0" fontId="85" fillId="0" borderId="68" xfId="0" applyFont="1" applyBorder="1" applyAlignment="1">
      <alignment horizontal="center" vertical="center"/>
    </xf>
    <xf numFmtId="0" fontId="84" fillId="0" borderId="68" xfId="0" applyFont="1" applyBorder="1" applyAlignment="1">
      <alignment horizontal="center" vertical="center"/>
    </xf>
    <xf numFmtId="0" fontId="143" fillId="0" borderId="81" xfId="0" applyFont="1" applyBorder="1" applyAlignment="1">
      <alignment horizontal="center" vertical="center"/>
    </xf>
    <xf numFmtId="41" fontId="143" fillId="0" borderId="67" xfId="21" applyFont="1" applyBorder="1" applyAlignment="1">
      <alignment horizontal="center" vertical="center"/>
    </xf>
    <xf numFmtId="41" fontId="144" fillId="0" borderId="65" xfId="21" applyFont="1" applyBorder="1" applyAlignment="1">
      <alignment horizontal="center" vertical="center"/>
    </xf>
    <xf numFmtId="0" fontId="84" fillId="0" borderId="32" xfId="0" applyFont="1" applyBorder="1">
      <alignment vertical="center"/>
    </xf>
    <xf numFmtId="41" fontId="143" fillId="0" borderId="81" xfId="21" applyFont="1" applyBorder="1" applyAlignment="1">
      <alignment vertical="center"/>
    </xf>
    <xf numFmtId="41" fontId="84" fillId="0" borderId="68" xfId="21" applyFont="1" applyBorder="1" applyAlignment="1">
      <alignment vertical="center"/>
    </xf>
    <xf numFmtId="0" fontId="84" fillId="0" borderId="68" xfId="0" applyFont="1" applyBorder="1">
      <alignment vertical="center"/>
    </xf>
    <xf numFmtId="0" fontId="143" fillId="0" borderId="81" xfId="0" applyFont="1" applyBorder="1">
      <alignment vertical="center"/>
    </xf>
    <xf numFmtId="0" fontId="143" fillId="0" borderId="81" xfId="0" applyFont="1" applyBorder="1" applyAlignment="1"/>
    <xf numFmtId="0" fontId="143" fillId="0" borderId="81" xfId="0" applyFont="1" applyBorder="1" applyAlignment="1">
      <alignment horizontal="center"/>
    </xf>
    <xf numFmtId="41" fontId="143" fillId="0" borderId="81" xfId="21" applyFont="1" applyBorder="1"/>
    <xf numFmtId="0" fontId="84" fillId="0" borderId="68" xfId="0" applyFont="1" applyBorder="1" applyAlignment="1"/>
    <xf numFmtId="0" fontId="84" fillId="0" borderId="68" xfId="0" applyFont="1" applyBorder="1" applyAlignment="1">
      <alignment horizontal="center"/>
    </xf>
    <xf numFmtId="41" fontId="84" fillId="0" borderId="68" xfId="21" applyFont="1" applyBorder="1"/>
    <xf numFmtId="41" fontId="143" fillId="0" borderId="67" xfId="21" applyFont="1" applyBorder="1" applyAlignment="1">
      <alignment vertical="center"/>
    </xf>
    <xf numFmtId="41" fontId="144" fillId="0" borderId="65" xfId="21" applyFont="1" applyBorder="1" applyAlignment="1">
      <alignment vertical="center"/>
    </xf>
    <xf numFmtId="41" fontId="144" fillId="0" borderId="68" xfId="21" applyFont="1" applyBorder="1" applyAlignment="1">
      <alignment vertical="center"/>
    </xf>
    <xf numFmtId="41" fontId="85" fillId="0" borderId="67" xfId="21" applyFont="1" applyBorder="1" applyAlignment="1">
      <alignment vertical="center"/>
    </xf>
    <xf numFmtId="41" fontId="85" fillId="0" borderId="68" xfId="21" applyFont="1" applyBorder="1" applyAlignment="1">
      <alignment vertical="center"/>
    </xf>
    <xf numFmtId="41" fontId="84" fillId="0" borderId="67" xfId="21" applyFont="1" applyBorder="1" applyAlignment="1">
      <alignment vertical="center"/>
    </xf>
    <xf numFmtId="0" fontId="84" fillId="0" borderId="31" xfId="0" applyFont="1" applyBorder="1" applyAlignment="1"/>
    <xf numFmtId="0" fontId="84" fillId="0" borderId="1" xfId="0" applyFont="1" applyBorder="1" applyAlignment="1"/>
    <xf numFmtId="0" fontId="84" fillId="0" borderId="1" xfId="0" applyFont="1" applyBorder="1" applyAlignment="1">
      <alignment horizontal="center"/>
    </xf>
    <xf numFmtId="41" fontId="84" fillId="0" borderId="1" xfId="21" applyFont="1" applyBorder="1" applyAlignment="1"/>
    <xf numFmtId="0" fontId="84" fillId="0" borderId="31" xfId="0" applyFont="1" applyBorder="1" applyAlignment="1">
      <alignment horizontal="left" vertical="center"/>
    </xf>
    <xf numFmtId="43" fontId="84" fillId="0" borderId="0" xfId="0" applyNumberFormat="1" applyFont="1" applyAlignment="1"/>
    <xf numFmtId="41" fontId="143" fillId="0" borderId="67" xfId="21" applyFont="1" applyBorder="1"/>
    <xf numFmtId="41" fontId="84" fillId="0" borderId="65" xfId="21" applyFont="1" applyBorder="1"/>
    <xf numFmtId="0" fontId="84" fillId="0" borderId="0" xfId="0" applyFont="1" applyAlignment="1">
      <alignment horizontal="center"/>
    </xf>
    <xf numFmtId="41" fontId="84" fillId="0" borderId="0" xfId="21" applyFont="1"/>
    <xf numFmtId="49" fontId="84" fillId="3" borderId="35" xfId="0" applyNumberFormat="1" applyFont="1" applyFill="1" applyBorder="1" applyAlignment="1">
      <alignment shrinkToFit="1"/>
    </xf>
    <xf numFmtId="49" fontId="84" fillId="3" borderId="36" xfId="0" applyNumberFormat="1" applyFont="1" applyFill="1" applyBorder="1" applyAlignment="1">
      <alignment shrinkToFit="1"/>
    </xf>
    <xf numFmtId="49" fontId="84" fillId="3" borderId="36" xfId="0" applyNumberFormat="1" applyFont="1" applyFill="1" applyBorder="1" applyAlignment="1">
      <alignment horizontal="center" vertical="center" shrinkToFit="1"/>
    </xf>
    <xf numFmtId="3" fontId="85" fillId="3" borderId="14" xfId="0" applyNumberFormat="1" applyFont="1" applyFill="1" applyBorder="1" applyAlignment="1">
      <alignment horizontal="right" vertical="center" shrinkToFit="1"/>
    </xf>
    <xf numFmtId="3" fontId="85" fillId="3" borderId="35" xfId="0" applyNumberFormat="1" applyFont="1" applyFill="1" applyBorder="1" applyAlignment="1">
      <alignment horizontal="right" vertical="center" shrinkToFit="1"/>
    </xf>
    <xf numFmtId="3" fontId="147" fillId="3" borderId="69" xfId="0" applyNumberFormat="1" applyFont="1" applyFill="1" applyBorder="1" applyAlignment="1">
      <alignment horizontal="right" vertical="center" shrinkToFit="1"/>
    </xf>
    <xf numFmtId="3" fontId="147" fillId="3" borderId="75" xfId="0" applyNumberFormat="1" applyFont="1" applyFill="1" applyBorder="1" applyAlignment="1">
      <alignment horizontal="right" vertical="center" shrinkToFit="1"/>
    </xf>
    <xf numFmtId="192" fontId="147" fillId="3" borderId="36" xfId="0" applyNumberFormat="1" applyFont="1" applyFill="1" applyBorder="1" applyAlignment="1">
      <alignment horizontal="right" vertical="center" shrinkToFit="1"/>
    </xf>
    <xf numFmtId="192" fontId="147" fillId="3" borderId="37" xfId="0" applyNumberFormat="1" applyFont="1" applyFill="1" applyBorder="1" applyAlignment="1">
      <alignment horizontal="right" vertical="center" shrinkToFit="1"/>
    </xf>
    <xf numFmtId="49" fontId="84" fillId="3" borderId="8" xfId="0" applyNumberFormat="1" applyFont="1" applyFill="1" applyBorder="1" applyAlignment="1">
      <alignment shrinkToFit="1"/>
    </xf>
    <xf numFmtId="49" fontId="84" fillId="3" borderId="9" xfId="0" applyNumberFormat="1" applyFont="1" applyFill="1" applyBorder="1" applyAlignment="1">
      <alignment shrinkToFit="1"/>
    </xf>
    <xf numFmtId="49" fontId="84" fillId="3" borderId="9" xfId="0" applyNumberFormat="1" applyFont="1" applyFill="1" applyBorder="1" applyAlignment="1">
      <alignment horizontal="center" vertical="center" shrinkToFit="1"/>
    </xf>
    <xf numFmtId="3" fontId="85" fillId="3" borderId="59" xfId="0" applyNumberFormat="1" applyFont="1" applyFill="1" applyBorder="1" applyAlignment="1">
      <alignment horizontal="right" vertical="center" shrinkToFit="1"/>
    </xf>
    <xf numFmtId="3" fontId="85" fillId="3" borderId="8" xfId="0" applyNumberFormat="1" applyFont="1" applyFill="1" applyBorder="1" applyAlignment="1">
      <alignment horizontal="right" vertical="center" shrinkToFit="1"/>
    </xf>
    <xf numFmtId="3" fontId="147" fillId="3" borderId="76" xfId="0" applyNumberFormat="1" applyFont="1" applyFill="1" applyBorder="1" applyAlignment="1">
      <alignment horizontal="right" vertical="center" shrinkToFit="1"/>
    </xf>
    <xf numFmtId="3" fontId="147" fillId="3" borderId="77" xfId="0" applyNumberFormat="1" applyFont="1" applyFill="1" applyBorder="1" applyAlignment="1">
      <alignment horizontal="right" vertical="center" shrinkToFit="1"/>
    </xf>
    <xf numFmtId="192" fontId="147" fillId="3" borderId="9" xfId="0" applyNumberFormat="1" applyFont="1" applyFill="1" applyBorder="1" applyAlignment="1">
      <alignment horizontal="right" vertical="center" shrinkToFit="1"/>
    </xf>
    <xf numFmtId="192" fontId="147" fillId="3" borderId="10" xfId="0" applyNumberFormat="1" applyFont="1" applyFill="1" applyBorder="1" applyAlignment="1">
      <alignment horizontal="right" vertical="center" shrinkToFit="1"/>
    </xf>
    <xf numFmtId="193" fontId="85" fillId="3" borderId="59" xfId="0" applyNumberFormat="1" applyFont="1" applyFill="1" applyBorder="1" applyAlignment="1">
      <alignment horizontal="right" vertical="center" shrinkToFit="1"/>
    </xf>
    <xf numFmtId="49" fontId="84" fillId="10" borderId="8" xfId="0" applyNumberFormat="1" applyFont="1" applyFill="1" applyBorder="1" applyAlignment="1">
      <alignment shrinkToFit="1"/>
    </xf>
    <xf numFmtId="49" fontId="84" fillId="10" borderId="9" xfId="0" applyNumberFormat="1" applyFont="1" applyFill="1" applyBorder="1" applyAlignment="1">
      <alignment shrinkToFit="1"/>
    </xf>
    <xf numFmtId="49" fontId="84" fillId="10" borderId="9" xfId="0" applyNumberFormat="1" applyFont="1" applyFill="1" applyBorder="1" applyAlignment="1">
      <alignment horizontal="center" vertical="center" shrinkToFit="1"/>
    </xf>
    <xf numFmtId="3" fontId="85" fillId="10" borderId="59" xfId="0" applyNumberFormat="1" applyFont="1" applyFill="1" applyBorder="1" applyAlignment="1">
      <alignment horizontal="right" vertical="center" shrinkToFit="1"/>
    </xf>
    <xf numFmtId="3" fontId="85" fillId="10" borderId="8" xfId="0" applyNumberFormat="1" applyFont="1" applyFill="1" applyBorder="1" applyAlignment="1">
      <alignment horizontal="right" vertical="center" shrinkToFit="1"/>
    </xf>
    <xf numFmtId="3" fontId="147" fillId="10" borderId="76" xfId="0" applyNumberFormat="1" applyFont="1" applyFill="1" applyBorder="1" applyAlignment="1">
      <alignment horizontal="right" vertical="center" shrinkToFit="1"/>
    </xf>
    <xf numFmtId="3" fontId="147" fillId="10" borderId="77" xfId="0" applyNumberFormat="1" applyFont="1" applyFill="1" applyBorder="1" applyAlignment="1">
      <alignment horizontal="right" vertical="center" shrinkToFit="1"/>
    </xf>
    <xf numFmtId="192" fontId="147" fillId="10" borderId="9" xfId="0" applyNumberFormat="1" applyFont="1" applyFill="1" applyBorder="1" applyAlignment="1">
      <alignment horizontal="right" vertical="center" shrinkToFit="1"/>
    </xf>
    <xf numFmtId="192" fontId="147" fillId="10" borderId="10" xfId="0" applyNumberFormat="1" applyFont="1" applyFill="1" applyBorder="1" applyAlignment="1">
      <alignment horizontal="right" vertical="center" shrinkToFit="1"/>
    </xf>
    <xf numFmtId="193" fontId="147" fillId="3" borderId="76" xfId="0" applyNumberFormat="1" applyFont="1" applyFill="1" applyBorder="1" applyAlignment="1">
      <alignment horizontal="right" vertical="center" shrinkToFit="1"/>
    </xf>
    <xf numFmtId="194" fontId="85" fillId="3" borderId="59" xfId="0" applyNumberFormat="1" applyFont="1" applyFill="1" applyBorder="1" applyAlignment="1">
      <alignment horizontal="right" vertical="center" shrinkToFit="1"/>
    </xf>
    <xf numFmtId="49" fontId="84" fillId="3" borderId="59" xfId="0" applyNumberFormat="1" applyFont="1" applyFill="1" applyBorder="1" applyAlignment="1">
      <alignment shrinkToFit="1"/>
    </xf>
    <xf numFmtId="0" fontId="84" fillId="3" borderId="59" xfId="0" applyFont="1" applyFill="1" applyBorder="1" applyAlignment="1">
      <alignment shrinkToFit="1"/>
    </xf>
    <xf numFmtId="0" fontId="84" fillId="3" borderId="9" xfId="0" applyFont="1" applyFill="1" applyBorder="1" applyAlignment="1">
      <alignment shrinkToFit="1"/>
    </xf>
    <xf numFmtId="0" fontId="84" fillId="3" borderId="8" xfId="0" applyFont="1" applyFill="1" applyBorder="1" applyAlignment="1">
      <alignment shrinkToFit="1"/>
    </xf>
    <xf numFmtId="49" fontId="84" fillId="10" borderId="11" xfId="0" applyNumberFormat="1" applyFont="1" applyFill="1" applyBorder="1" applyAlignment="1">
      <alignment shrinkToFit="1"/>
    </xf>
    <xf numFmtId="49" fontId="84" fillId="10" borderId="12" xfId="0" applyNumberFormat="1" applyFont="1" applyFill="1" applyBorder="1" applyAlignment="1">
      <alignment shrinkToFit="1"/>
    </xf>
    <xf numFmtId="49" fontId="84" fillId="10" borderId="12" xfId="0" applyNumberFormat="1" applyFont="1" applyFill="1" applyBorder="1" applyAlignment="1">
      <alignment horizontal="center" vertical="center" shrinkToFit="1"/>
    </xf>
    <xf numFmtId="3" fontId="85" fillId="10" borderId="18" xfId="0" applyNumberFormat="1" applyFont="1" applyFill="1" applyBorder="1" applyAlignment="1">
      <alignment horizontal="right" vertical="center" shrinkToFit="1"/>
    </xf>
    <xf numFmtId="3" fontId="85" fillId="10" borderId="11" xfId="0" applyNumberFormat="1" applyFont="1" applyFill="1" applyBorder="1" applyAlignment="1">
      <alignment horizontal="right" vertical="center" shrinkToFit="1"/>
    </xf>
    <xf numFmtId="3" fontId="147" fillId="10" borderId="78" xfId="0" applyNumberFormat="1" applyFont="1" applyFill="1" applyBorder="1" applyAlignment="1">
      <alignment horizontal="right" vertical="center" shrinkToFit="1"/>
    </xf>
    <xf numFmtId="3" fontId="147" fillId="10" borderId="79" xfId="0" applyNumberFormat="1" applyFont="1" applyFill="1" applyBorder="1" applyAlignment="1">
      <alignment horizontal="right" vertical="center" shrinkToFit="1"/>
    </xf>
    <xf numFmtId="192" fontId="147" fillId="10" borderId="12" xfId="0" applyNumberFormat="1" applyFont="1" applyFill="1" applyBorder="1" applyAlignment="1">
      <alignment horizontal="right" vertical="center" shrinkToFit="1"/>
    </xf>
    <xf numFmtId="192" fontId="147" fillId="10" borderId="79" xfId="0" applyNumberFormat="1" applyFont="1" applyFill="1" applyBorder="1" applyAlignment="1">
      <alignment horizontal="right" vertical="center" shrinkToFit="1"/>
    </xf>
    <xf numFmtId="192" fontId="147" fillId="10" borderId="13" xfId="0" applyNumberFormat="1" applyFont="1" applyFill="1" applyBorder="1" applyAlignment="1">
      <alignment horizontal="right" vertical="center" shrinkToFit="1"/>
    </xf>
    <xf numFmtId="49" fontId="84" fillId="0" borderId="0" xfId="0" applyNumberFormat="1" applyFont="1" applyAlignment="1">
      <alignment shrinkToFit="1"/>
    </xf>
    <xf numFmtId="49" fontId="84" fillId="0" borderId="0" xfId="0" applyNumberFormat="1" applyFont="1" applyAlignment="1">
      <alignment horizontal="center" vertical="center" shrinkToFit="1"/>
    </xf>
    <xf numFmtId="0" fontId="84" fillId="11" borderId="0" xfId="0" applyFont="1" applyFill="1" applyAlignment="1">
      <alignment horizontal="right" vertical="center" shrinkToFit="1"/>
    </xf>
    <xf numFmtId="0" fontId="84" fillId="0" borderId="0" xfId="0" applyFont="1" applyAlignment="1">
      <alignment horizontal="right"/>
    </xf>
    <xf numFmtId="49" fontId="84" fillId="3" borderId="69" xfId="0" applyNumberFormat="1" applyFont="1" applyFill="1" applyBorder="1" applyAlignment="1">
      <alignment horizontal="right" shrinkToFit="1"/>
    </xf>
    <xf numFmtId="49" fontId="84" fillId="3" borderId="76" xfId="0" applyNumberFormat="1" applyFont="1" applyFill="1" applyBorder="1" applyAlignment="1">
      <alignment horizontal="right" shrinkToFit="1"/>
    </xf>
    <xf numFmtId="49" fontId="84" fillId="10" borderId="76" xfId="0" applyNumberFormat="1" applyFont="1" applyFill="1" applyBorder="1" applyAlignment="1">
      <alignment horizontal="right" shrinkToFit="1"/>
    </xf>
    <xf numFmtId="49" fontId="84" fillId="10" borderId="78" xfId="0" applyNumberFormat="1" applyFont="1" applyFill="1" applyBorder="1" applyAlignment="1">
      <alignment horizontal="right" shrinkToFit="1"/>
    </xf>
    <xf numFmtId="49" fontId="84" fillId="0" borderId="0" xfId="0" applyNumberFormat="1" applyFont="1" applyAlignment="1">
      <alignment horizontal="right" shrinkToFit="1"/>
    </xf>
    <xf numFmtId="3" fontId="147" fillId="3" borderId="17" xfId="0" applyNumberFormat="1" applyFont="1" applyFill="1" applyBorder="1" applyAlignment="1">
      <alignment horizontal="right" vertical="center" shrinkToFit="1"/>
    </xf>
    <xf numFmtId="3" fontId="147" fillId="3" borderId="58" xfId="0" applyNumberFormat="1" applyFont="1" applyFill="1" applyBorder="1" applyAlignment="1">
      <alignment horizontal="right" vertical="center" shrinkToFit="1"/>
    </xf>
    <xf numFmtId="194" fontId="147" fillId="3" borderId="58" xfId="0" applyNumberFormat="1" applyFont="1" applyFill="1" applyBorder="1" applyAlignment="1">
      <alignment horizontal="right" vertical="center" shrinkToFit="1"/>
    </xf>
    <xf numFmtId="4" fontId="147" fillId="3" borderId="58" xfId="0" applyNumberFormat="1" applyFont="1" applyFill="1" applyBorder="1" applyAlignment="1">
      <alignment horizontal="right" vertical="center" shrinkToFit="1"/>
    </xf>
    <xf numFmtId="3" fontId="147" fillId="10" borderId="58" xfId="0" applyNumberFormat="1" applyFont="1" applyFill="1" applyBorder="1" applyAlignment="1">
      <alignment horizontal="right" vertical="center" shrinkToFit="1"/>
    </xf>
    <xf numFmtId="3" fontId="147" fillId="10" borderId="65" xfId="0" applyNumberFormat="1" applyFont="1" applyFill="1" applyBorder="1" applyAlignment="1">
      <alignment horizontal="right" vertical="center" shrinkToFit="1"/>
    </xf>
    <xf numFmtId="4" fontId="85" fillId="3" borderId="59" xfId="0" applyNumberFormat="1" applyFont="1" applyFill="1" applyBorder="1" applyAlignment="1">
      <alignment horizontal="right" vertical="center" shrinkToFit="1"/>
    </xf>
    <xf numFmtId="49" fontId="84" fillId="9" borderId="8" xfId="0" applyNumberFormat="1" applyFont="1" applyFill="1" applyBorder="1" applyAlignment="1">
      <alignment shrinkToFit="1"/>
    </xf>
    <xf numFmtId="49" fontId="84" fillId="9" borderId="9" xfId="0" applyNumberFormat="1" applyFont="1" applyFill="1" applyBorder="1" applyAlignment="1">
      <alignment shrinkToFit="1"/>
    </xf>
    <xf numFmtId="49" fontId="84" fillId="9" borderId="9" xfId="0" applyNumberFormat="1" applyFont="1" applyFill="1" applyBorder="1" applyAlignment="1">
      <alignment horizontal="center" vertical="center" shrinkToFit="1"/>
    </xf>
    <xf numFmtId="49" fontId="84" fillId="9" borderId="76" xfId="0" applyNumberFormat="1" applyFont="1" applyFill="1" applyBorder="1" applyAlignment="1">
      <alignment horizontal="right" shrinkToFit="1"/>
    </xf>
    <xf numFmtId="3" fontId="85" fillId="9" borderId="59" xfId="0" applyNumberFormat="1" applyFont="1" applyFill="1" applyBorder="1" applyAlignment="1">
      <alignment horizontal="right" vertical="center" shrinkToFit="1"/>
    </xf>
    <xf numFmtId="3" fontId="147" fillId="9" borderId="76" xfId="0" applyNumberFormat="1" applyFont="1" applyFill="1" applyBorder="1" applyAlignment="1">
      <alignment horizontal="right" vertical="center" shrinkToFit="1"/>
    </xf>
    <xf numFmtId="3" fontId="147" fillId="9" borderId="58" xfId="0" applyNumberFormat="1" applyFont="1" applyFill="1" applyBorder="1" applyAlignment="1">
      <alignment horizontal="right" vertical="center" shrinkToFit="1"/>
    </xf>
    <xf numFmtId="3" fontId="147" fillId="9" borderId="77" xfId="0" applyNumberFormat="1" applyFont="1" applyFill="1" applyBorder="1" applyAlignment="1">
      <alignment horizontal="right" vertical="center" shrinkToFit="1"/>
    </xf>
    <xf numFmtId="192" fontId="147" fillId="9" borderId="9" xfId="0" applyNumberFormat="1" applyFont="1" applyFill="1" applyBorder="1" applyAlignment="1">
      <alignment horizontal="right" vertical="center" shrinkToFit="1"/>
    </xf>
    <xf numFmtId="192" fontId="147" fillId="9" borderId="10" xfId="0" applyNumberFormat="1" applyFont="1" applyFill="1" applyBorder="1" applyAlignment="1">
      <alignment horizontal="right" vertical="center" shrinkToFit="1"/>
    </xf>
    <xf numFmtId="0" fontId="87" fillId="15" borderId="62" xfId="0" applyFont="1" applyFill="1" applyBorder="1" applyAlignment="1">
      <alignment horizontal="center" vertical="center"/>
    </xf>
    <xf numFmtId="0" fontId="87" fillId="15" borderId="62" xfId="0" applyFont="1" applyFill="1" applyBorder="1" applyAlignment="1">
      <alignment horizontal="right" vertical="center"/>
    </xf>
    <xf numFmtId="0" fontId="87" fillId="15" borderId="70" xfId="0" applyFont="1" applyFill="1" applyBorder="1" applyAlignment="1">
      <alignment horizontal="center" vertical="center"/>
    </xf>
    <xf numFmtId="0" fontId="87" fillId="15" borderId="72" xfId="0" applyFont="1" applyFill="1" applyBorder="1" applyAlignment="1">
      <alignment horizontal="center" vertical="center"/>
    </xf>
    <xf numFmtId="0" fontId="87" fillId="15" borderId="63" xfId="0" applyFont="1" applyFill="1" applyBorder="1" applyAlignment="1">
      <alignment horizontal="center" vertical="center"/>
    </xf>
    <xf numFmtId="0" fontId="87" fillId="15" borderId="73" xfId="0" applyFont="1" applyFill="1" applyBorder="1" applyAlignment="1">
      <alignment horizontal="center" vertical="center"/>
    </xf>
    <xf numFmtId="0" fontId="87" fillId="15" borderId="71" xfId="0" applyFont="1" applyFill="1" applyBorder="1" applyAlignment="1">
      <alignment horizontal="center" vertical="center"/>
    </xf>
    <xf numFmtId="0" fontId="87" fillId="15" borderId="74" xfId="0" applyFont="1" applyFill="1" applyBorder="1" applyAlignment="1">
      <alignment horizontal="center" vertical="center"/>
    </xf>
    <xf numFmtId="0" fontId="85" fillId="0" borderId="32" xfId="0" applyFont="1" applyBorder="1" applyAlignment="1">
      <alignment horizontal="center" vertical="center"/>
    </xf>
    <xf numFmtId="0" fontId="149" fillId="3" borderId="0" xfId="6" quotePrefix="1" applyFont="1" applyFill="1" applyAlignment="1">
      <alignment vertical="center"/>
    </xf>
    <xf numFmtId="0" fontId="149" fillId="3" borderId="0" xfId="6" applyFont="1" applyFill="1" applyAlignment="1">
      <alignment vertical="center"/>
    </xf>
    <xf numFmtId="0" fontId="116" fillId="9" borderId="59" xfId="20" applyFont="1" applyFill="1" applyBorder="1" applyAlignment="1">
      <alignment horizontal="center" vertical="center" shrinkToFit="1"/>
    </xf>
    <xf numFmtId="41" fontId="119" fillId="9" borderId="60" xfId="3" applyFont="1" applyFill="1" applyBorder="1" applyAlignment="1">
      <alignment horizontal="center" vertical="center" shrinkToFit="1"/>
    </xf>
    <xf numFmtId="41" fontId="119" fillId="9" borderId="61" xfId="3" applyFont="1" applyFill="1" applyBorder="1" applyAlignment="1">
      <alignment horizontal="center" vertical="center" shrinkToFit="1"/>
    </xf>
    <xf numFmtId="38" fontId="121" fillId="9" borderId="59" xfId="3" applyNumberFormat="1" applyFont="1" applyFill="1" applyBorder="1" applyAlignment="1">
      <alignment horizontal="right" vertical="center" shrinkToFit="1"/>
    </xf>
    <xf numFmtId="41" fontId="17" fillId="9" borderId="59" xfId="3" applyFont="1" applyFill="1" applyBorder="1" applyAlignment="1">
      <alignment horizontal="right" vertical="center" shrinkToFit="1"/>
    </xf>
    <xf numFmtId="0" fontId="3" fillId="0" borderId="0" xfId="1" applyFont="1" applyAlignment="1">
      <alignment horizontal="center" vertical="center"/>
    </xf>
    <xf numFmtId="0" fontId="29" fillId="3" borderId="0" xfId="6" applyFont="1" applyFill="1" applyAlignment="1">
      <alignment horizontal="center" vertical="center"/>
    </xf>
    <xf numFmtId="0" fontId="30" fillId="3" borderId="0" xfId="6" applyFont="1" applyFill="1" applyAlignment="1">
      <alignment horizontal="center" vertical="center"/>
    </xf>
    <xf numFmtId="0" fontId="31" fillId="3" borderId="0" xfId="6" applyFont="1" applyFill="1" applyAlignment="1">
      <alignment horizontal="center" vertical="center"/>
    </xf>
    <xf numFmtId="0" fontId="22" fillId="3" borderId="14" xfId="6" applyFont="1" applyFill="1" applyBorder="1" applyAlignment="1">
      <alignment horizontal="center" vertical="center"/>
    </xf>
    <xf numFmtId="0" fontId="22" fillId="3" borderId="15" xfId="6" applyFont="1" applyFill="1" applyBorder="1" applyAlignment="1">
      <alignment horizontal="center" vertical="center"/>
    </xf>
    <xf numFmtId="0" fontId="22" fillId="3" borderId="16" xfId="6" applyFont="1" applyFill="1" applyBorder="1" applyAlignment="1">
      <alignment horizontal="center" vertical="center"/>
    </xf>
    <xf numFmtId="0" fontId="22" fillId="3" borderId="17" xfId="6" applyFont="1" applyFill="1" applyBorder="1" applyAlignment="1">
      <alignment horizontal="center" vertical="center"/>
    </xf>
    <xf numFmtId="0" fontId="21" fillId="3" borderId="18" xfId="6" applyFont="1" applyFill="1" applyBorder="1" applyAlignment="1">
      <alignment horizontal="center" vertical="center"/>
    </xf>
    <xf numFmtId="0" fontId="21" fillId="3" borderId="19" xfId="6" applyFont="1" applyFill="1" applyBorder="1" applyAlignment="1">
      <alignment horizontal="center" vertical="center"/>
    </xf>
    <xf numFmtId="0" fontId="21" fillId="3" borderId="20" xfId="6" applyFont="1" applyFill="1" applyBorder="1" applyAlignment="1">
      <alignment horizontal="center" vertical="center"/>
    </xf>
    <xf numFmtId="0" fontId="21" fillId="3" borderId="21" xfId="6" applyFont="1" applyFill="1" applyBorder="1" applyAlignment="1">
      <alignment horizontal="center" vertical="center"/>
    </xf>
    <xf numFmtId="0" fontId="25" fillId="3" borderId="0" xfId="6" applyFont="1" applyFill="1" applyAlignment="1">
      <alignment horizontal="center" vertical="center"/>
    </xf>
    <xf numFmtId="0" fontId="27" fillId="3" borderId="0" xfId="6" applyFont="1" applyFill="1" applyAlignment="1">
      <alignment horizontal="center" vertical="center"/>
    </xf>
    <xf numFmtId="0" fontId="41" fillId="4" borderId="25" xfId="8" applyFont="1" applyFill="1" applyBorder="1" applyAlignment="1">
      <alignment horizontal="center" vertical="center"/>
    </xf>
    <xf numFmtId="0" fontId="43" fillId="3" borderId="0" xfId="6" applyFont="1" applyFill="1" applyAlignment="1">
      <alignment horizontal="center" vertical="center"/>
    </xf>
    <xf numFmtId="0" fontId="25" fillId="3" borderId="26" xfId="6" applyFont="1" applyFill="1" applyBorder="1" applyAlignment="1">
      <alignment horizontal="center" vertical="center"/>
    </xf>
    <xf numFmtId="0" fontId="27" fillId="3" borderId="26" xfId="6" applyFont="1" applyFill="1" applyBorder="1" applyAlignment="1">
      <alignment horizontal="center" vertical="top"/>
    </xf>
    <xf numFmtId="0" fontId="27" fillId="3" borderId="0" xfId="6" applyFont="1" applyFill="1" applyAlignment="1">
      <alignment horizontal="center" vertical="top"/>
    </xf>
    <xf numFmtId="0" fontId="41" fillId="4" borderId="27" xfId="8" applyFont="1" applyFill="1" applyBorder="1" applyAlignment="1">
      <alignment horizontal="center" vertical="center" textRotation="255"/>
    </xf>
    <xf numFmtId="0" fontId="41" fillId="4" borderId="22" xfId="8" applyFont="1" applyFill="1" applyBorder="1" applyAlignment="1">
      <alignment horizontal="center" vertical="center" textRotation="255"/>
    </xf>
    <xf numFmtId="0" fontId="41" fillId="4" borderId="31" xfId="8" applyFont="1" applyFill="1" applyBorder="1" applyAlignment="1">
      <alignment horizontal="center" vertical="center" textRotation="255"/>
    </xf>
    <xf numFmtId="0" fontId="42" fillId="4" borderId="33" xfId="8" applyFont="1" applyFill="1" applyBorder="1" applyAlignment="1">
      <alignment horizontal="right" vertical="center" textRotation="255"/>
    </xf>
    <xf numFmtId="0" fontId="42" fillId="4" borderId="34" xfId="8" applyFont="1" applyFill="1" applyBorder="1" applyAlignment="1">
      <alignment horizontal="right" vertical="center" textRotation="255"/>
    </xf>
    <xf numFmtId="0" fontId="41" fillId="4" borderId="25" xfId="8" applyFont="1" applyFill="1" applyBorder="1" applyAlignment="1">
      <alignment horizontal="center" vertical="center" wrapText="1"/>
    </xf>
    <xf numFmtId="0" fontId="32" fillId="3" borderId="22" xfId="6" applyFont="1" applyFill="1" applyBorder="1" applyAlignment="1">
      <alignment horizontal="center" vertical="center"/>
    </xf>
    <xf numFmtId="0" fontId="32" fillId="3" borderId="23" xfId="6" applyFont="1" applyFill="1" applyBorder="1" applyAlignment="1">
      <alignment horizontal="center" vertical="center"/>
    </xf>
    <xf numFmtId="0" fontId="32" fillId="3" borderId="24" xfId="6" applyFont="1" applyFill="1" applyBorder="1" applyAlignment="1">
      <alignment horizontal="center" vertical="center"/>
    </xf>
    <xf numFmtId="0" fontId="32" fillId="3" borderId="26" xfId="6" applyFont="1" applyFill="1" applyBorder="1" applyAlignment="1">
      <alignment horizontal="center" vertical="center"/>
    </xf>
    <xf numFmtId="0" fontId="32" fillId="3" borderId="0" xfId="6" applyFont="1" applyFill="1" applyAlignment="1">
      <alignment horizontal="center" vertical="center"/>
    </xf>
    <xf numFmtId="0" fontId="32" fillId="3" borderId="27" xfId="6" applyFont="1" applyFill="1" applyBorder="1" applyAlignment="1">
      <alignment horizontal="center" vertical="center"/>
    </xf>
    <xf numFmtId="0" fontId="32" fillId="3" borderId="31" xfId="6" applyFont="1" applyFill="1" applyBorder="1" applyAlignment="1">
      <alignment horizontal="center" vertical="center"/>
    </xf>
    <xf numFmtId="0" fontId="32" fillId="3" borderId="1" xfId="6" applyFont="1" applyFill="1" applyBorder="1" applyAlignment="1">
      <alignment horizontal="center" vertical="center"/>
    </xf>
    <xf numFmtId="0" fontId="32" fillId="3" borderId="32" xfId="6" applyFont="1" applyFill="1" applyBorder="1" applyAlignment="1">
      <alignment horizontal="center" vertical="center"/>
    </xf>
    <xf numFmtId="0" fontId="33" fillId="3" borderId="25" xfId="6" applyFont="1" applyFill="1" applyBorder="1" applyAlignment="1">
      <alignment horizontal="center" vertical="center"/>
    </xf>
    <xf numFmtId="0" fontId="33" fillId="3" borderId="25" xfId="6" applyFont="1" applyFill="1" applyBorder="1" applyAlignment="1">
      <alignment horizontal="center" vertical="center" wrapText="1"/>
    </xf>
    <xf numFmtId="0" fontId="33" fillId="3" borderId="28" xfId="6" applyFont="1" applyFill="1" applyBorder="1" applyAlignment="1">
      <alignment horizontal="center" vertical="center" wrapText="1"/>
    </xf>
    <xf numFmtId="0" fontId="33" fillId="3" borderId="29" xfId="6" applyFont="1" applyFill="1" applyBorder="1" applyAlignment="1">
      <alignment horizontal="center" vertical="center" wrapText="1"/>
    </xf>
    <xf numFmtId="0" fontId="33" fillId="3" borderId="30" xfId="6" applyFont="1" applyFill="1" applyBorder="1" applyAlignment="1">
      <alignment horizontal="center" vertical="center" wrapText="1"/>
    </xf>
    <xf numFmtId="0" fontId="33" fillId="3" borderId="28" xfId="6" applyFont="1" applyFill="1" applyBorder="1" applyAlignment="1">
      <alignment horizontal="center" vertical="center"/>
    </xf>
    <xf numFmtId="0" fontId="33" fillId="3" borderId="29" xfId="6" applyFont="1" applyFill="1" applyBorder="1" applyAlignment="1">
      <alignment horizontal="center" vertical="center"/>
    </xf>
    <xf numFmtId="0" fontId="33" fillId="3" borderId="30" xfId="6" applyFont="1" applyFill="1" applyBorder="1" applyAlignment="1">
      <alignment horizontal="center" vertical="center"/>
    </xf>
    <xf numFmtId="0" fontId="32" fillId="3" borderId="25" xfId="6" applyFont="1" applyFill="1" applyBorder="1" applyAlignment="1">
      <alignment horizontal="center" vertical="center"/>
    </xf>
    <xf numFmtId="0" fontId="32" fillId="3" borderId="28" xfId="6" applyFont="1" applyFill="1" applyBorder="1" applyAlignment="1">
      <alignment horizontal="center" vertical="center"/>
    </xf>
    <xf numFmtId="0" fontId="32" fillId="3" borderId="29" xfId="6" applyFont="1" applyFill="1" applyBorder="1" applyAlignment="1">
      <alignment horizontal="center" vertical="center"/>
    </xf>
    <xf numFmtId="0" fontId="32" fillId="3" borderId="30" xfId="6" applyFont="1" applyFill="1" applyBorder="1" applyAlignment="1">
      <alignment horizontal="center" vertical="center"/>
    </xf>
    <xf numFmtId="0" fontId="53" fillId="3" borderId="0" xfId="6" applyFont="1" applyFill="1" applyAlignment="1">
      <alignment horizontal="center" vertical="center"/>
    </xf>
    <xf numFmtId="0" fontId="54" fillId="3" borderId="0" xfId="6" applyFont="1" applyFill="1" applyAlignment="1">
      <alignment horizontal="distributed" vertical="center"/>
    </xf>
    <xf numFmtId="0" fontId="53" fillId="3" borderId="0" xfId="6" quotePrefix="1" applyFont="1" applyFill="1" applyAlignment="1">
      <alignment horizontal="center" vertical="center"/>
    </xf>
    <xf numFmtId="0" fontId="58" fillId="3" borderId="0" xfId="6" applyFont="1" applyFill="1" applyAlignment="1">
      <alignment horizontal="center" vertical="center"/>
    </xf>
    <xf numFmtId="0" fontId="58" fillId="3" borderId="0" xfId="6" applyFont="1" applyFill="1" applyAlignment="1">
      <alignment horizontal="distributed" vertical="center"/>
    </xf>
    <xf numFmtId="0" fontId="58" fillId="3" borderId="0" xfId="6" quotePrefix="1" applyFont="1" applyFill="1" applyAlignment="1">
      <alignment horizontal="center" vertical="center"/>
    </xf>
    <xf numFmtId="0" fontId="51" fillId="3" borderId="0" xfId="6" applyFont="1" applyFill="1" applyAlignment="1">
      <alignment horizontal="center" vertical="center"/>
    </xf>
    <xf numFmtId="0" fontId="71" fillId="3" borderId="0" xfId="6" applyFont="1" applyFill="1" applyAlignment="1">
      <alignment horizontal="center" vertical="center"/>
    </xf>
    <xf numFmtId="0" fontId="73" fillId="3" borderId="0" xfId="6" applyFont="1" applyFill="1" applyAlignment="1">
      <alignment horizontal="center" vertical="center"/>
    </xf>
    <xf numFmtId="0" fontId="71" fillId="0" borderId="0" xfId="9" applyFont="1" applyAlignment="1">
      <alignment horizontal="center" vertical="center"/>
    </xf>
    <xf numFmtId="0" fontId="94" fillId="0" borderId="0" xfId="14" applyFont="1" applyAlignment="1">
      <alignment horizontal="center" vertical="center"/>
    </xf>
    <xf numFmtId="0" fontId="112" fillId="0" borderId="0" xfId="14" applyFont="1" applyAlignment="1">
      <alignment horizontal="center" vertical="center"/>
    </xf>
    <xf numFmtId="0" fontId="93" fillId="0" borderId="0" xfId="14" applyFont="1" applyAlignment="1">
      <alignment horizontal="distributed" vertical="center"/>
    </xf>
    <xf numFmtId="181" fontId="93" fillId="0" borderId="0" xfId="15" applyNumberFormat="1" applyFont="1" applyFill="1" applyBorder="1" applyAlignment="1">
      <alignment horizontal="left" vertical="center"/>
    </xf>
    <xf numFmtId="180" fontId="92" fillId="0" borderId="0" xfId="16" applyFont="1" applyBorder="1" applyAlignment="1">
      <alignment horizontal="center" vertical="center"/>
    </xf>
    <xf numFmtId="0" fontId="111" fillId="0" borderId="0" xfId="14" applyFont="1" applyAlignment="1">
      <alignment horizontal="center" vertical="center"/>
    </xf>
    <xf numFmtId="180" fontId="110" fillId="0" borderId="0" xfId="16" applyFont="1" applyBorder="1" applyAlignment="1">
      <alignment horizontal="center" vertical="center"/>
    </xf>
    <xf numFmtId="0" fontId="93" fillId="0" borderId="0" xfId="14" applyFont="1" applyAlignment="1">
      <alignment horizontal="center" vertical="center"/>
    </xf>
    <xf numFmtId="181" fontId="107" fillId="0" borderId="0" xfId="15" applyNumberFormat="1" applyFont="1" applyFill="1" applyBorder="1" applyAlignment="1">
      <alignment horizontal="left" vertical="center"/>
    </xf>
    <xf numFmtId="181" fontId="109" fillId="0" borderId="0" xfId="15" applyNumberFormat="1" applyFont="1" applyFill="1" applyBorder="1" applyAlignment="1">
      <alignment horizontal="left" vertical="center"/>
    </xf>
    <xf numFmtId="0" fontId="53" fillId="0" borderId="0" xfId="14" applyFont="1" applyAlignment="1">
      <alignment horizontal="center" vertical="center"/>
    </xf>
    <xf numFmtId="0" fontId="101" fillId="0" borderId="0" xfId="18" applyFont="1" applyAlignment="1">
      <alignment horizontal="distributed" vertical="center" shrinkToFit="1"/>
    </xf>
    <xf numFmtId="0" fontId="56" fillId="0" borderId="54" xfId="14" applyFont="1" applyBorder="1" applyAlignment="1">
      <alignment horizontal="center" vertical="center"/>
    </xf>
    <xf numFmtId="0" fontId="56" fillId="0" borderId="53" xfId="14" applyFont="1" applyBorder="1" applyAlignment="1">
      <alignment horizontal="center" vertical="center"/>
    </xf>
    <xf numFmtId="0" fontId="91" fillId="0" borderId="0" xfId="14" applyFont="1" applyAlignment="1">
      <alignment horizontal="distributed" vertical="center"/>
    </xf>
    <xf numFmtId="0" fontId="94" fillId="0" borderId="0" xfId="14" applyFont="1" applyAlignment="1">
      <alignment horizontal="distributed" vertical="center" shrinkToFit="1"/>
    </xf>
    <xf numFmtId="0" fontId="97" fillId="0" borderId="0" xfId="17" applyFont="1">
      <alignment horizontal="center" vertical="center"/>
    </xf>
    <xf numFmtId="0" fontId="56" fillId="0" borderId="47" xfId="14" applyFont="1" applyBorder="1" applyAlignment="1">
      <alignment horizontal="center" vertical="center"/>
    </xf>
    <xf numFmtId="0" fontId="56" fillId="0" borderId="46" xfId="14" applyFont="1" applyBorder="1" applyAlignment="1">
      <alignment horizontal="center" vertical="center"/>
    </xf>
    <xf numFmtId="0" fontId="56" fillId="0" borderId="49" xfId="14" quotePrefix="1" applyFont="1" applyBorder="1" applyAlignment="1">
      <alignment horizontal="center" vertical="center"/>
    </xf>
    <xf numFmtId="0" fontId="56" fillId="0" borderId="0" xfId="14" quotePrefix="1" applyFont="1" applyAlignment="1">
      <alignment horizontal="center" vertical="center"/>
    </xf>
    <xf numFmtId="0" fontId="56" fillId="0" borderId="27" xfId="14" quotePrefix="1" applyFont="1" applyBorder="1" applyAlignment="1">
      <alignment horizontal="center" vertical="center"/>
    </xf>
    <xf numFmtId="0" fontId="56" fillId="0" borderId="26" xfId="14" applyFont="1" applyBorder="1" applyAlignment="1">
      <alignment horizontal="center" vertical="center"/>
    </xf>
    <xf numFmtId="0" fontId="56" fillId="0" borderId="27" xfId="14" applyFont="1" applyBorder="1" applyAlignment="1">
      <alignment horizontal="center" vertical="center"/>
    </xf>
    <xf numFmtId="1" fontId="78" fillId="0" borderId="1" xfId="5" applyNumberFormat="1" applyFont="1" applyBorder="1" applyAlignment="1">
      <alignment horizontal="center" vertical="center"/>
    </xf>
    <xf numFmtId="1" fontId="79" fillId="5" borderId="35" xfId="10" applyNumberFormat="1" applyFont="1" applyFill="1" applyBorder="1" applyAlignment="1">
      <alignment horizontal="center" vertical="center"/>
    </xf>
    <xf numFmtId="1" fontId="79" fillId="5" borderId="38" xfId="10" applyNumberFormat="1" applyFont="1" applyFill="1" applyBorder="1" applyAlignment="1">
      <alignment horizontal="center" vertical="center"/>
    </xf>
    <xf numFmtId="176" fontId="79" fillId="5" borderId="36" xfId="10" applyNumberFormat="1" applyFont="1" applyFill="1" applyBorder="1" applyAlignment="1">
      <alignment horizontal="center" vertical="center"/>
    </xf>
    <xf numFmtId="176" fontId="79" fillId="5" borderId="37" xfId="10" applyNumberFormat="1" applyFont="1" applyFill="1" applyBorder="1" applyAlignment="1">
      <alignment horizontal="center" vertical="center"/>
    </xf>
    <xf numFmtId="1" fontId="79" fillId="5" borderId="16" xfId="10" applyNumberFormat="1" applyFont="1" applyFill="1" applyBorder="1" applyAlignment="1">
      <alignment horizontal="center" vertical="center"/>
    </xf>
    <xf numFmtId="0" fontId="79" fillId="5" borderId="41" xfId="10" applyFont="1" applyFill="1" applyBorder="1" applyAlignment="1">
      <alignment horizontal="center" vertical="center"/>
    </xf>
    <xf numFmtId="0" fontId="125" fillId="0" borderId="59" xfId="20" applyFont="1" applyBorder="1" applyAlignment="1">
      <alignment horizontal="distributed" vertical="center" indent="1" shrinkToFit="1"/>
    </xf>
    <xf numFmtId="0" fontId="125" fillId="0" borderId="61" xfId="20" applyFont="1" applyBorder="1" applyAlignment="1">
      <alignment horizontal="distributed" vertical="center" indent="1" shrinkToFit="1"/>
    </xf>
    <xf numFmtId="0" fontId="125" fillId="0" borderId="43" xfId="20" applyFont="1" applyBorder="1" applyAlignment="1">
      <alignment horizontal="distributed" vertical="center" indent="1" shrinkToFit="1"/>
    </xf>
    <xf numFmtId="0" fontId="116" fillId="9" borderId="59" xfId="20" applyFont="1" applyFill="1" applyBorder="1" applyAlignment="1">
      <alignment horizontal="distributed" vertical="center" indent="1" shrinkToFit="1"/>
    </xf>
    <xf numFmtId="0" fontId="116" fillId="9" borderId="61" xfId="20" applyFont="1" applyFill="1" applyBorder="1" applyAlignment="1">
      <alignment horizontal="distributed" vertical="center" indent="1" shrinkToFit="1"/>
    </xf>
    <xf numFmtId="0" fontId="116" fillId="9" borderId="43" xfId="20" applyFont="1" applyFill="1" applyBorder="1" applyAlignment="1">
      <alignment horizontal="distributed" vertical="center" indent="1" shrinkToFit="1"/>
    </xf>
    <xf numFmtId="0" fontId="125" fillId="8" borderId="59" xfId="20" applyFont="1" applyFill="1" applyBorder="1" applyAlignment="1">
      <alignment horizontal="distributed" vertical="center" indent="1" shrinkToFit="1"/>
    </xf>
    <xf numFmtId="0" fontId="125" fillId="8" borderId="61" xfId="20" applyFont="1" applyFill="1" applyBorder="1" applyAlignment="1">
      <alignment horizontal="distributed" vertical="center" indent="1" shrinkToFit="1"/>
    </xf>
    <xf numFmtId="0" fontId="125" fillId="8" borderId="43" xfId="20" applyFont="1" applyFill="1" applyBorder="1" applyAlignment="1">
      <alignment horizontal="distributed" vertical="center" indent="1" shrinkToFit="1"/>
    </xf>
    <xf numFmtId="0" fontId="116" fillId="8" borderId="18" xfId="20" applyFont="1" applyFill="1" applyBorder="1" applyAlignment="1">
      <alignment horizontal="distributed" vertical="center" indent="1" shrinkToFit="1"/>
    </xf>
    <xf numFmtId="0" fontId="116" fillId="8" borderId="19" xfId="20" applyFont="1" applyFill="1" applyBorder="1" applyAlignment="1">
      <alignment horizontal="distributed" vertical="center" indent="1" shrinkToFit="1"/>
    </xf>
    <xf numFmtId="0" fontId="116" fillId="8" borderId="20" xfId="20" applyFont="1" applyFill="1" applyBorder="1" applyAlignment="1">
      <alignment horizontal="distributed" vertical="center" indent="1" shrinkToFit="1"/>
    </xf>
    <xf numFmtId="0" fontId="116" fillId="0" borderId="17" xfId="19" applyFont="1" applyBorder="1" applyAlignment="1">
      <alignment horizontal="center" vertical="center" wrapText="1"/>
    </xf>
    <xf numFmtId="0" fontId="116" fillId="0" borderId="58" xfId="19" applyFont="1" applyBorder="1" applyAlignment="1">
      <alignment horizontal="center" vertical="center"/>
    </xf>
    <xf numFmtId="0" fontId="35" fillId="0" borderId="1" xfId="19" applyFont="1" applyBorder="1" applyAlignment="1"/>
    <xf numFmtId="184" fontId="115" fillId="0" borderId="1" xfId="19" applyNumberFormat="1" applyFont="1" applyBorder="1" applyAlignment="1">
      <alignment horizontal="right"/>
    </xf>
    <xf numFmtId="0" fontId="116" fillId="0" borderId="25" xfId="20" applyFont="1" applyBorder="1" applyAlignment="1">
      <alignment horizontal="center" vertical="center" shrinkToFit="1"/>
    </xf>
    <xf numFmtId="0" fontId="116" fillId="0" borderId="56" xfId="20" applyFont="1" applyBorder="1" applyAlignment="1">
      <alignment horizontal="center" vertical="center" shrinkToFit="1"/>
    </xf>
    <xf numFmtId="0" fontId="116" fillId="7" borderId="59" xfId="20" applyFont="1" applyFill="1" applyBorder="1" applyAlignment="1">
      <alignment horizontal="distributed" vertical="center" indent="1" shrinkToFit="1"/>
    </xf>
    <xf numFmtId="0" fontId="116" fillId="7" borderId="61" xfId="20" applyFont="1" applyFill="1" applyBorder="1" applyAlignment="1">
      <alignment horizontal="distributed" vertical="center" indent="1" shrinkToFit="1"/>
    </xf>
    <xf numFmtId="0" fontId="116" fillId="7" borderId="43" xfId="20" applyFont="1" applyFill="1" applyBorder="1" applyAlignment="1">
      <alignment horizontal="distributed" vertical="center" indent="1" shrinkToFit="1"/>
    </xf>
    <xf numFmtId="0" fontId="115" fillId="8" borderId="59" xfId="20" applyFont="1" applyFill="1" applyBorder="1" applyAlignment="1">
      <alignment horizontal="distributed" vertical="center" indent="1" shrinkToFit="1"/>
    </xf>
    <xf numFmtId="0" fontId="115" fillId="8" borderId="61" xfId="20" applyFont="1" applyFill="1" applyBorder="1" applyAlignment="1">
      <alignment horizontal="distributed" vertical="center" indent="1" shrinkToFit="1"/>
    </xf>
    <xf numFmtId="0" fontId="115" fillId="8" borderId="43" xfId="20" applyFont="1" applyFill="1" applyBorder="1" applyAlignment="1">
      <alignment horizontal="distributed" vertical="center" indent="1" shrinkToFit="1"/>
    </xf>
    <xf numFmtId="0" fontId="116" fillId="0" borderId="58" xfId="19" applyFont="1" applyBorder="1" applyAlignment="1">
      <alignment horizontal="center" vertical="center" wrapText="1"/>
    </xf>
    <xf numFmtId="0" fontId="125" fillId="0" borderId="61" xfId="20" applyFont="1" applyBorder="1" applyAlignment="1">
      <alignment horizontal="center" vertical="center" shrinkToFit="1"/>
    </xf>
    <xf numFmtId="0" fontId="125" fillId="0" borderId="43" xfId="20" applyFont="1" applyBorder="1" applyAlignment="1">
      <alignment horizontal="center" vertical="center" shrinkToFit="1"/>
    </xf>
    <xf numFmtId="192" fontId="129" fillId="0" borderId="67" xfId="22" applyNumberFormat="1" applyFont="1" applyBorder="1" applyAlignment="1">
      <alignment horizontal="center" vertical="center"/>
    </xf>
    <xf numFmtId="192" fontId="129" fillId="0" borderId="68" xfId="22" applyNumberFormat="1" applyFont="1" applyBorder="1" applyAlignment="1">
      <alignment horizontal="center" vertical="center"/>
    </xf>
    <xf numFmtId="49" fontId="66" fillId="0" borderId="28" xfId="22" applyNumberFormat="1" applyFont="1" applyBorder="1"/>
    <xf numFmtId="0" fontId="66" fillId="0" borderId="29" xfId="22" applyFont="1" applyBorder="1"/>
    <xf numFmtId="0" fontId="66" fillId="0" borderId="30" xfId="22" applyFont="1" applyBorder="1"/>
    <xf numFmtId="191" fontId="66" fillId="0" borderId="25" xfId="22" applyNumberFormat="1" applyFont="1" applyBorder="1" applyAlignment="1">
      <alignment horizontal="center" vertical="center"/>
    </xf>
    <xf numFmtId="49" fontId="66" fillId="0" borderId="25" xfId="22" applyNumberFormat="1" applyFont="1" applyBorder="1" applyAlignment="1">
      <alignment horizontal="center" vertical="center"/>
    </xf>
    <xf numFmtId="49" fontId="66" fillId="0" borderId="1" xfId="22" applyNumberFormat="1" applyFont="1" applyBorder="1"/>
    <xf numFmtId="49" fontId="66" fillId="0" borderId="0" xfId="22" applyNumberFormat="1" applyFont="1" applyAlignment="1">
      <alignment horizontal="center" vertical="center"/>
    </xf>
    <xf numFmtId="0" fontId="66" fillId="0" borderId="25" xfId="22" applyFont="1" applyBorder="1" applyAlignment="1">
      <alignment horizontal="center" vertical="center"/>
    </xf>
    <xf numFmtId="0" fontId="148" fillId="0" borderId="0" xfId="0" applyFont="1" applyAlignment="1">
      <alignment horizontal="center" vertical="center"/>
    </xf>
    <xf numFmtId="49" fontId="87" fillId="15" borderId="35" xfId="0" applyNumberFormat="1" applyFont="1" applyFill="1" applyBorder="1" applyAlignment="1">
      <alignment horizontal="center" vertical="center" shrinkToFit="1"/>
    </xf>
    <xf numFmtId="0" fontId="87" fillId="15" borderId="70" xfId="0" applyFont="1" applyFill="1" applyBorder="1" applyAlignment="1">
      <alignment horizontal="center" vertical="center" shrinkToFit="1"/>
    </xf>
    <xf numFmtId="49" fontId="87" fillId="15" borderId="36" xfId="0" applyNumberFormat="1" applyFont="1" applyFill="1" applyBorder="1" applyAlignment="1">
      <alignment horizontal="center" vertical="center" shrinkToFit="1"/>
    </xf>
    <xf numFmtId="0" fontId="87" fillId="15" borderId="71" xfId="0" applyFont="1" applyFill="1" applyBorder="1" applyAlignment="1">
      <alignment horizontal="center" vertical="center" shrinkToFit="1"/>
    </xf>
    <xf numFmtId="49" fontId="87" fillId="15" borderId="69" xfId="0" applyNumberFormat="1" applyFont="1" applyFill="1" applyBorder="1" applyAlignment="1">
      <alignment horizontal="center" vertical="center" shrinkToFit="1"/>
    </xf>
    <xf numFmtId="0" fontId="87" fillId="15" borderId="72" xfId="0" applyFont="1" applyFill="1" applyBorder="1" applyAlignment="1">
      <alignment horizontal="center" vertical="center" shrinkToFit="1"/>
    </xf>
    <xf numFmtId="49" fontId="81" fillId="15" borderId="14" xfId="0" applyNumberFormat="1" applyFont="1" applyFill="1" applyBorder="1" applyAlignment="1">
      <alignment horizontal="center" vertical="center" shrinkToFit="1"/>
    </xf>
    <xf numFmtId="0" fontId="87" fillId="15" borderId="14" xfId="0" applyFont="1" applyFill="1" applyBorder="1" applyAlignment="1">
      <alignment horizontal="center" vertical="center" shrinkToFit="1"/>
    </xf>
    <xf numFmtId="0" fontId="87" fillId="15" borderId="35" xfId="0" applyFont="1" applyFill="1" applyBorder="1" applyAlignment="1">
      <alignment horizontal="center" vertical="center" shrinkToFit="1"/>
    </xf>
    <xf numFmtId="49" fontId="145" fillId="15" borderId="36" xfId="0" applyNumberFormat="1" applyFont="1" applyFill="1" applyBorder="1" applyAlignment="1">
      <alignment horizontal="center" vertical="center" shrinkToFit="1"/>
    </xf>
    <xf numFmtId="0" fontId="87" fillId="15" borderId="36" xfId="0" applyFont="1" applyFill="1" applyBorder="1" applyAlignment="1">
      <alignment horizontal="center" vertical="center" shrinkToFit="1"/>
    </xf>
    <xf numFmtId="49" fontId="146" fillId="15" borderId="36" xfId="0" applyNumberFormat="1" applyFont="1" applyFill="1" applyBorder="1" applyAlignment="1">
      <alignment horizontal="center" vertical="center" shrinkToFit="1"/>
    </xf>
    <xf numFmtId="0" fontId="87" fillId="15" borderId="37" xfId="0" applyFont="1" applyFill="1" applyBorder="1" applyAlignment="1">
      <alignment horizontal="center" vertical="center" shrinkToFit="1"/>
    </xf>
    <xf numFmtId="195" fontId="85" fillId="9" borderId="67" xfId="21" applyNumberFormat="1" applyFont="1" applyFill="1" applyBorder="1" applyAlignment="1">
      <alignment horizontal="center" vertical="center" shrinkToFit="1"/>
    </xf>
    <xf numFmtId="195" fontId="85" fillId="9" borderId="68" xfId="21" applyNumberFormat="1" applyFont="1" applyFill="1" applyBorder="1" applyAlignment="1">
      <alignment horizontal="center" vertical="center" shrinkToFit="1"/>
    </xf>
    <xf numFmtId="0" fontId="85" fillId="0" borderId="67" xfId="0" applyFont="1" applyBorder="1">
      <alignment vertical="center"/>
    </xf>
    <xf numFmtId="0" fontId="85" fillId="0" borderId="68" xfId="0" applyFont="1" applyBorder="1">
      <alignment vertical="center"/>
    </xf>
    <xf numFmtId="0" fontId="85" fillId="0" borderId="67" xfId="0" applyFont="1" applyBorder="1" applyAlignment="1">
      <alignment horizontal="center" vertical="center"/>
    </xf>
    <xf numFmtId="0" fontId="85" fillId="0" borderId="68" xfId="0" applyFont="1" applyBorder="1" applyAlignment="1">
      <alignment horizontal="center" vertical="center"/>
    </xf>
    <xf numFmtId="0" fontId="84" fillId="0" borderId="67" xfId="0" applyFont="1" applyBorder="1" applyAlignment="1">
      <alignment horizontal="center" vertical="center"/>
    </xf>
    <xf numFmtId="0" fontId="84" fillId="0" borderId="68" xfId="0" applyFont="1" applyBorder="1" applyAlignment="1">
      <alignment horizontal="center" vertical="center"/>
    </xf>
    <xf numFmtId="0" fontId="84" fillId="0" borderId="67" xfId="0" applyFont="1" applyBorder="1">
      <alignment vertical="center"/>
    </xf>
    <xf numFmtId="0" fontId="84" fillId="0" borderId="68" xfId="0" applyFont="1" applyBorder="1">
      <alignment vertical="center"/>
    </xf>
    <xf numFmtId="0" fontId="84" fillId="0" borderId="67" xfId="0" applyFont="1" applyBorder="1" applyAlignment="1">
      <alignment horizontal="left" vertical="center"/>
    </xf>
    <xf numFmtId="0" fontId="84" fillId="0" borderId="68" xfId="0" applyFont="1" applyBorder="1" applyAlignment="1">
      <alignment horizontal="left" vertical="center"/>
    </xf>
    <xf numFmtId="0" fontId="85" fillId="0" borderId="67" xfId="0" applyFont="1" applyBorder="1" applyAlignment="1">
      <alignment horizontal="left" vertical="center"/>
    </xf>
    <xf numFmtId="0" fontId="85" fillId="0" borderId="68" xfId="0" applyFont="1" applyBorder="1" applyAlignment="1">
      <alignment horizontal="left" vertical="center"/>
    </xf>
    <xf numFmtId="0" fontId="84" fillId="0" borderId="0" xfId="0" applyFont="1" applyAlignment="1">
      <alignment horizontal="center" vertical="center"/>
    </xf>
    <xf numFmtId="0" fontId="84" fillId="0" borderId="25" xfId="0" applyFont="1" applyBorder="1" applyAlignment="1">
      <alignment horizontal="center" vertical="center"/>
    </xf>
    <xf numFmtId="41" fontId="84" fillId="0" borderId="25" xfId="21" applyFont="1" applyBorder="1" applyAlignment="1">
      <alignment horizontal="center" vertical="center"/>
    </xf>
    <xf numFmtId="41" fontId="84" fillId="0" borderId="22" xfId="21" applyFont="1" applyBorder="1" applyAlignment="1">
      <alignment horizontal="center" vertical="center"/>
    </xf>
    <xf numFmtId="41" fontId="84" fillId="0" borderId="24" xfId="21" applyFont="1" applyBorder="1" applyAlignment="1">
      <alignment horizontal="center" vertical="center"/>
    </xf>
    <xf numFmtId="0" fontId="142" fillId="0" borderId="0" xfId="0" applyFont="1" applyAlignment="1">
      <alignment horizontal="left" vertical="center"/>
    </xf>
    <xf numFmtId="0" fontId="84" fillId="0" borderId="0" xfId="0" applyFont="1">
      <alignment vertical="center"/>
    </xf>
    <xf numFmtId="0" fontId="2" fillId="0" borderId="0" xfId="23" quotePrefix="1">
      <alignment vertical="center"/>
    </xf>
    <xf numFmtId="0" fontId="130" fillId="0" borderId="25" xfId="23" quotePrefix="1" applyFont="1" applyBorder="1" applyAlignment="1">
      <alignment horizontal="center" vertical="center"/>
    </xf>
    <xf numFmtId="191" fontId="133" fillId="0" borderId="25" xfId="0" applyNumberFormat="1" applyFont="1" applyBorder="1" applyAlignment="1">
      <alignment horizontal="center" vertical="center"/>
    </xf>
    <xf numFmtId="49" fontId="133" fillId="0" borderId="25" xfId="0" applyNumberFormat="1" applyFont="1" applyBorder="1" applyAlignment="1">
      <alignment horizontal="center" vertical="center"/>
    </xf>
    <xf numFmtId="49" fontId="134" fillId="0" borderId="0" xfId="0" applyNumberFormat="1" applyFont="1" applyAlignment="1">
      <alignment horizontal="left" indent="1"/>
    </xf>
    <xf numFmtId="0" fontId="0" fillId="0" borderId="0" xfId="0" applyAlignment="1"/>
    <xf numFmtId="49" fontId="133" fillId="0" borderId="0" xfId="0" applyNumberFormat="1" applyFont="1" applyAlignment="1">
      <alignment horizontal="center" vertical="center"/>
    </xf>
    <xf numFmtId="0" fontId="133" fillId="0" borderId="25" xfId="0" applyFont="1" applyBorder="1" applyAlignment="1">
      <alignment horizontal="center" vertical="center"/>
    </xf>
    <xf numFmtId="187" fontId="133" fillId="0" borderId="25" xfId="0" applyNumberFormat="1" applyFont="1" applyBorder="1" applyAlignment="1">
      <alignment horizontal="center" vertical="center"/>
    </xf>
    <xf numFmtId="0" fontId="135" fillId="0" borderId="0" xfId="23" quotePrefix="1" applyFont="1" applyAlignment="1">
      <alignment horizontal="center" vertical="center"/>
    </xf>
    <xf numFmtId="49" fontId="133" fillId="0" borderId="28" xfId="0" applyNumberFormat="1" applyFont="1" applyBorder="1" applyAlignment="1"/>
    <xf numFmtId="49" fontId="133" fillId="0" borderId="30" xfId="0" applyNumberFormat="1" applyFont="1" applyBorder="1" applyAlignment="1"/>
    <xf numFmtId="49" fontId="136" fillId="0" borderId="0" xfId="0" applyNumberFormat="1" applyFont="1" applyAlignment="1">
      <alignment horizontal="left" indent="1"/>
    </xf>
    <xf numFmtId="0" fontId="133" fillId="0" borderId="0" xfId="0" applyFont="1" applyAlignment="1">
      <alignment horizontal="center"/>
    </xf>
    <xf numFmtId="0" fontId="131" fillId="0" borderId="25" xfId="23" applyFont="1" applyBorder="1" applyAlignment="1">
      <alignment vertical="center" wrapText="1"/>
    </xf>
    <xf numFmtId="198" fontId="131" fillId="0" borderId="25" xfId="23" applyNumberFormat="1" applyFont="1" applyBorder="1" applyAlignment="1">
      <alignment vertical="center" wrapText="1"/>
    </xf>
    <xf numFmtId="194" fontId="131" fillId="0" borderId="25" xfId="23" applyNumberFormat="1" applyFont="1" applyBorder="1" applyAlignment="1">
      <alignment vertical="center" wrapText="1"/>
    </xf>
    <xf numFmtId="0" fontId="131" fillId="12" borderId="25" xfId="23" applyFont="1" applyFill="1" applyBorder="1" applyAlignment="1">
      <alignment vertical="center" wrapText="1"/>
    </xf>
    <xf numFmtId="198" fontId="131" fillId="12" borderId="25" xfId="23" applyNumberFormat="1" applyFont="1" applyFill="1" applyBorder="1" applyAlignment="1">
      <alignment vertical="center" wrapText="1"/>
    </xf>
    <xf numFmtId="194" fontId="131" fillId="12" borderId="25" xfId="23" applyNumberFormat="1" applyFont="1" applyFill="1" applyBorder="1" applyAlignment="1">
      <alignment vertical="center" wrapText="1"/>
    </xf>
    <xf numFmtId="0" fontId="0" fillId="0" borderId="29" xfId="0" applyBorder="1" applyAlignment="1"/>
    <xf numFmtId="0" fontId="0" fillId="0" borderId="30" xfId="0" applyBorder="1" applyAlignment="1"/>
    <xf numFmtId="0" fontId="133" fillId="0" borderId="0" xfId="0" applyFont="1" applyAlignment="1">
      <alignment horizontal="center" vertical="center"/>
    </xf>
    <xf numFmtId="49" fontId="0" fillId="0" borderId="25" xfId="0" applyNumberFormat="1" applyBorder="1" applyAlignment="1">
      <alignment horizontal="center" vertical="center"/>
    </xf>
    <xf numFmtId="0" fontId="0" fillId="0" borderId="25" xfId="0" applyBorder="1" applyAlignment="1"/>
    <xf numFmtId="0" fontId="0" fillId="0" borderId="0" xfId="0" applyAlignment="1">
      <alignment horizontal="left" indent="1"/>
    </xf>
    <xf numFmtId="191" fontId="133" fillId="0" borderId="0" xfId="0" applyNumberFormat="1" applyFont="1" applyAlignment="1">
      <alignment horizontal="center"/>
    </xf>
    <xf numFmtId="49" fontId="0" fillId="0" borderId="25" xfId="0" applyNumberFormat="1" applyBorder="1" applyAlignment="1"/>
    <xf numFmtId="0" fontId="0" fillId="0" borderId="25" xfId="0" applyBorder="1" applyAlignment="1">
      <alignment horizontal="center"/>
    </xf>
    <xf numFmtId="0" fontId="137" fillId="0" borderId="0" xfId="23" quotePrefix="1" applyFont="1">
      <alignment vertical="center"/>
    </xf>
    <xf numFmtId="0" fontId="137" fillId="0" borderId="25" xfId="23" quotePrefix="1" applyFont="1" applyBorder="1" applyAlignment="1">
      <alignment vertical="center" wrapText="1"/>
    </xf>
    <xf numFmtId="0" fontId="137" fillId="12" borderId="25" xfId="23" quotePrefix="1" applyFont="1" applyFill="1" applyBorder="1" applyAlignment="1">
      <alignment vertical="center" wrapText="1"/>
    </xf>
    <xf numFmtId="0" fontId="132" fillId="0" borderId="25" xfId="23" quotePrefix="1" applyFont="1" applyBorder="1" applyAlignment="1">
      <alignment vertical="center" wrapText="1"/>
    </xf>
    <xf numFmtId="0" fontId="138" fillId="0" borderId="0" xfId="23" applyFont="1" applyAlignment="1">
      <alignment horizontal="center" vertical="center"/>
    </xf>
    <xf numFmtId="49" fontId="133" fillId="0" borderId="0" xfId="0" applyNumberFormat="1" applyFont="1" applyAlignment="1">
      <alignment horizontal="left" indent="1"/>
    </xf>
    <xf numFmtId="49" fontId="133" fillId="0" borderId="0" xfId="0" applyNumberFormat="1" applyFont="1" applyAlignment="1">
      <alignment horizontal="right"/>
    </xf>
    <xf numFmtId="49" fontId="0" fillId="0" borderId="0" xfId="0" applyNumberFormat="1" applyAlignment="1">
      <alignment horizontal="right"/>
    </xf>
    <xf numFmtId="0" fontId="140" fillId="14" borderId="22" xfId="0" applyFont="1" applyFill="1" applyBorder="1" applyAlignment="1">
      <alignment horizontal="center" vertical="center"/>
    </xf>
    <xf numFmtId="0" fontId="140" fillId="14" borderId="23" xfId="0" applyFont="1" applyFill="1" applyBorder="1" applyAlignment="1">
      <alignment horizontal="center" vertical="center"/>
    </xf>
    <xf numFmtId="0" fontId="140" fillId="14" borderId="24" xfId="0" applyFont="1" applyFill="1" applyBorder="1" applyAlignment="1">
      <alignment horizontal="center" vertical="center"/>
    </xf>
    <xf numFmtId="0" fontId="140" fillId="14" borderId="31" xfId="0" applyFont="1" applyFill="1" applyBorder="1" applyAlignment="1">
      <alignment horizontal="center" vertical="center"/>
    </xf>
    <xf numFmtId="0" fontId="140" fillId="14" borderId="1" xfId="0" applyFont="1" applyFill="1" applyBorder="1" applyAlignment="1">
      <alignment horizontal="center" vertical="center"/>
    </xf>
    <xf numFmtId="0" fontId="140" fillId="14" borderId="32" xfId="0" applyFont="1" applyFill="1" applyBorder="1" applyAlignment="1">
      <alignment horizontal="center" vertical="center"/>
    </xf>
    <xf numFmtId="0" fontId="141" fillId="14" borderId="22" xfId="0" applyFont="1" applyFill="1" applyBorder="1" applyAlignment="1">
      <alignment horizontal="center" vertical="center"/>
    </xf>
    <xf numFmtId="0" fontId="141" fillId="14" borderId="23" xfId="0" applyFont="1" applyFill="1" applyBorder="1" applyAlignment="1">
      <alignment horizontal="center" vertical="center"/>
    </xf>
    <xf numFmtId="0" fontId="141" fillId="14" borderId="24" xfId="0" applyFont="1" applyFill="1" applyBorder="1" applyAlignment="1">
      <alignment horizontal="center" vertical="center"/>
    </xf>
    <xf numFmtId="0" fontId="141" fillId="14" borderId="31" xfId="0" applyFont="1" applyFill="1" applyBorder="1" applyAlignment="1">
      <alignment horizontal="center" vertical="center"/>
    </xf>
    <xf numFmtId="0" fontId="141" fillId="14" borderId="1" xfId="0" applyFont="1" applyFill="1" applyBorder="1" applyAlignment="1">
      <alignment horizontal="center" vertical="center"/>
    </xf>
    <xf numFmtId="0" fontId="141" fillId="14" borderId="32" xfId="0" applyFont="1" applyFill="1" applyBorder="1" applyAlignment="1">
      <alignment horizontal="center" vertical="center"/>
    </xf>
  </cellXfs>
  <cellStyles count="25">
    <cellStyle name="백분율 2 2" xfId="4" xr:uid="{A2A4ED11-BE04-4848-BF06-80827164E4DE}"/>
    <cellStyle name="백분율 3" xfId="13" xr:uid="{405BC003-3B9B-4344-9D01-FE2351A9FE6E}"/>
    <cellStyle name="쉼표 [0] 2 2 2" xfId="3" xr:uid="{DFB77C79-8C76-41BB-A0EA-DE974173DA71}"/>
    <cellStyle name="쉼표 [0] 2 2 3" xfId="11" xr:uid="{E9A822D1-57BC-4A89-BA4A-282D3DBE9798}"/>
    <cellStyle name="쉼표 [0] 2 3" xfId="16" xr:uid="{A4C30A9D-3DE1-4921-A92D-50EC41397390}"/>
    <cellStyle name="쉼표 [0] 3 2" xfId="21" xr:uid="{B6C57BD8-42E5-4547-9430-5A49DF45968C}"/>
    <cellStyle name="쉼표 [0] 3 2 2" xfId="12" xr:uid="{6D7F37AD-3510-4A05-96BA-9202F74536EF}"/>
    <cellStyle name="쉼표 [0]_3수리포장" xfId="15" xr:uid="{5C174095-4EE7-4D2D-B0E5-5C4F232C9AF8}"/>
    <cellStyle name="표준" xfId="0" builtinId="0"/>
    <cellStyle name="표준 12 2" xfId="1" xr:uid="{738BB488-6BD0-4BF8-8A64-5B7C4AB0C893}"/>
    <cellStyle name="표준 2 2" xfId="22" xr:uid="{3B6B2334-7699-49B7-9EBD-DF8E60CBAFD8}"/>
    <cellStyle name="표준 2 2 2 2" xfId="9" xr:uid="{28FB204E-C91F-49F2-BA0B-49EEA077B77A}"/>
    <cellStyle name="표준 2 3 2" xfId="6" xr:uid="{7752397E-C9FA-4349-91F6-D93A3A11BA05}"/>
    <cellStyle name="표준 2 4 2" xfId="10" xr:uid="{604B9B69-42AD-459E-A4FF-F27E250CFBE5}"/>
    <cellStyle name="표준 2 5" xfId="17" xr:uid="{E6AD8C4E-CB1E-4897-B337-B74CCFB27C00}"/>
    <cellStyle name="표준 4 2" xfId="5" xr:uid="{D41DCB50-B652-449B-BD4B-8329858122F2}"/>
    <cellStyle name="표준 7" xfId="24" xr:uid="{BB6E2446-1026-48ED-9CCD-212FDCE66FCE}"/>
    <cellStyle name="표준 7 2" xfId="2" xr:uid="{F5177C71-AC58-4991-B212-080243B6EAE6}"/>
    <cellStyle name="표준 7 3" xfId="7" xr:uid="{66434CE6-D645-445F-AF6D-2906FB568015}"/>
    <cellStyle name="표준 8" xfId="23" xr:uid="{FAB94E48-9970-47F0-A621-FC60ED5E590D}"/>
    <cellStyle name="표준_2차분 발주설계(보조)" xfId="8" xr:uid="{7C5C5A5F-1EFA-4493-A28B-791F97CC9C5A}"/>
    <cellStyle name="표준_3수리포장" xfId="14" xr:uid="{73198AD8-3316-46FF-BAD3-F85339E6A9C8}"/>
    <cellStyle name="표준_내역서 갑지" xfId="18" xr:uid="{51F0442D-2D4A-4D4D-9B3C-75B6D76EF7DD}"/>
    <cellStyle name="표준_서울월천 초등 전기-1층 내역서" xfId="19" xr:uid="{05BF5A77-827A-4C13-B8BE-B3BA6E2237FE}"/>
    <cellStyle name="표준_한국국제협력단원가계산(2005.11.21최종)" xfId="20" xr:uid="{5001655F-0981-433A-8492-525C56B53F7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3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18</xdr:row>
      <xdr:rowOff>0</xdr:rowOff>
    </xdr:from>
    <xdr:to>
      <xdr:col>9</xdr:col>
      <xdr:colOff>161925</xdr:colOff>
      <xdr:row>19</xdr:row>
      <xdr:rowOff>342900</xdr:rowOff>
    </xdr:to>
    <xdr:pic>
      <xdr:nvPicPr>
        <xdr:cNvPr id="2" name="_x437672216" descr="EMB000084706d88">
          <a:extLst>
            <a:ext uri="{FF2B5EF4-FFF2-40B4-BE49-F238E27FC236}">
              <a16:creationId xmlns:a16="http://schemas.microsoft.com/office/drawing/2014/main" id="{75192544-576B-41FB-A48E-E3B967ED1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45300"/>
        <a:stretch>
          <a:fillRect/>
        </a:stretch>
      </xdr:blipFill>
      <xdr:spPr bwMode="auto">
        <a:xfrm>
          <a:off x="1924050" y="6400800"/>
          <a:ext cx="71437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266700</xdr:colOff>
      <xdr:row>12</xdr:row>
      <xdr:rowOff>9525</xdr:rowOff>
    </xdr:from>
    <xdr:to>
      <xdr:col>22</xdr:col>
      <xdr:colOff>19050</xdr:colOff>
      <xdr:row>16</xdr:row>
      <xdr:rowOff>19050</xdr:rowOff>
    </xdr:to>
    <xdr:pic>
      <xdr:nvPicPr>
        <xdr:cNvPr id="4" name="그림 4">
          <a:extLst>
            <a:ext uri="{FF2B5EF4-FFF2-40B4-BE49-F238E27FC236}">
              <a16:creationId xmlns:a16="http://schemas.microsoft.com/office/drawing/2014/main" id="{F54D34ED-68EC-4309-AD6D-AC6EDA9AF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113" b="24158"/>
        <a:stretch>
          <a:fillRect/>
        </a:stretch>
      </xdr:blipFill>
      <xdr:spPr bwMode="auto">
        <a:xfrm>
          <a:off x="3019425" y="4781550"/>
          <a:ext cx="30956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</xdr:colOff>
      <xdr:row>12</xdr:row>
      <xdr:rowOff>152400</xdr:rowOff>
    </xdr:from>
    <xdr:to>
      <xdr:col>22</xdr:col>
      <xdr:colOff>161925</xdr:colOff>
      <xdr:row>14</xdr:row>
      <xdr:rowOff>257175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F24953F6-BF11-4807-B36F-E4B55B86B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113" b="24158"/>
        <a:stretch>
          <a:fillRect/>
        </a:stretch>
      </xdr:blipFill>
      <xdr:spPr bwMode="auto">
        <a:xfrm>
          <a:off x="3038475" y="4829175"/>
          <a:ext cx="3095625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419100</xdr:colOff>
      <xdr:row>14</xdr:row>
      <xdr:rowOff>85725</xdr:rowOff>
    </xdr:from>
    <xdr:to>
      <xdr:col>14</xdr:col>
      <xdr:colOff>95250</xdr:colOff>
      <xdr:row>27</xdr:row>
      <xdr:rowOff>85725</xdr:rowOff>
    </xdr:to>
    <xdr:pic>
      <xdr:nvPicPr>
        <xdr:cNvPr id="2" name="Picture 10">
          <a:extLst>
            <a:ext uri="{FF2B5EF4-FFF2-40B4-BE49-F238E27FC236}">
              <a16:creationId xmlns:a16="http://schemas.microsoft.com/office/drawing/2014/main" id="{2440AC40-3286-447C-B586-B49F21E7B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1725" y="2514600"/>
          <a:ext cx="5286375" cy="272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6.2023&#45380;&#46020;&#44277;&#49324;/07.&#54217;&#52285;&#44400;%20&#50640;&#53076;&#47004;&#46300;%20&#51312;&#49457;&#49324;&#50629;(&#51204;&#44592;)/&#45033;/&#48320;&#44221;&#51473;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060;&#51064;\AppData\Roaming\Microsoft\AddIns\&#49444;&#44228;&#48320;&#44221;2021.xla" TargetMode="External"/><Relationship Id="rId1" Type="http://schemas.openxmlformats.org/officeDocument/2006/relationships/externalLinkPath" Target="file:///C:\Users\&#44060;&#51064;\AppData\Roaming\Microsoft\AddIns\&#49444;&#44228;&#48320;&#44221;2021.xla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&#44060;&#51064;\AppData\Roaming\Microsoft\Excel\&#54217;&#52285;%20&#50640;&#53076;&#47004;&#46300;%20&#52852;&#54168;%20&#49888;&#52629;&#44277;&#49324;(&#51204;&#44592;)(&#45236;&#50669;)%20(version%201).xls" TargetMode="External"/><Relationship Id="rId1" Type="http://schemas.openxmlformats.org/officeDocument/2006/relationships/externalLinkPath" Target="file:///C:\Users\&#44060;&#51064;\AppData\Roaming\Microsoft\Excel\&#54217;&#52285;%20&#50640;&#53076;&#47004;&#46300;%20&#52852;&#54168;%20&#49888;&#52629;&#44277;&#49324;(&#51204;&#44592;)(&#45236;&#50669;)%20(version%201)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6.2023&#45380;&#46020;&#44277;&#49324;\07.&#54217;&#52285;&#44400;%20&#50640;&#53076;&#47004;&#46300;%20&#51312;&#49457;&#49324;&#50629;(&#51204;&#44592;)\(2024.2.23.)&#54217;&#52285;&#50640;&#53076;&#47004;&#46300;(&#51204;&#44592;)\&#45236;&#50669;\&#54217;&#52285;%20&#50640;&#53076;&#47004;&#46300;%20&#52852;&#54168;%20&#49888;&#52629;&#44277;&#49324;(&#51204;&#44592;)(&#45236;&#50669;).xls" TargetMode="External"/><Relationship Id="rId1" Type="http://schemas.openxmlformats.org/officeDocument/2006/relationships/externalLinkPath" Target="/6.2023&#45380;&#46020;&#44277;&#49324;/07.&#54217;&#52285;&#44400;%20&#50640;&#53076;&#47004;&#46300;%20&#51312;&#49457;&#49324;&#50629;(&#51204;&#44592;)/(2024.2.23.)&#54217;&#52285;&#50640;&#53076;&#47004;&#46300;(&#51204;&#44592;)/&#45236;&#50669;/&#54217;&#52285;%20&#50640;&#53076;&#47004;&#46300;%20&#52852;&#54168;%20&#49888;&#52629;&#44277;&#49324;(&#51204;&#44592;)(&#45236;&#50669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원가계산"/>
      <sheetName val="총괄표"/>
      <sheetName val="내역서"/>
      <sheetName val="일대목차"/>
      <sheetName val="합산자재"/>
      <sheetName val="일위대가"/>
      <sheetName val="일위노임"/>
      <sheetName val="한전불입금"/>
      <sheetName val="단가조사"/>
      <sheetName val="옵션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N5">
            <v>21183800</v>
          </cell>
        </row>
        <row r="22">
          <cell r="L22">
            <v>400149.77200000006</v>
          </cell>
        </row>
      </sheetData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definedNames>
      <definedName name="sumcol"/>
    </defined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표지"/>
      <sheetName val="속지"/>
      <sheetName val="갑지"/>
      <sheetName val="원가"/>
      <sheetName val="공종별집계표"/>
      <sheetName val="신규_공종별내역서"/>
      <sheetName val="신규_일위대가목록"/>
      <sheetName val="신규_일위대가"/>
      <sheetName val="신규_단가대비표"/>
      <sheetName val="신규_공량산출근거서_일위대가"/>
      <sheetName val="공량설정_일위대가"/>
      <sheetName val=" 공사설정 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표지"/>
      <sheetName val="속지"/>
      <sheetName val="갑지"/>
      <sheetName val="원가"/>
      <sheetName val="공종별집계표"/>
      <sheetName val="신규_공종별내역서"/>
      <sheetName val="신규_일위대가목록"/>
      <sheetName val="신규_일위대가"/>
      <sheetName val="신규_단가대비표"/>
      <sheetName val="신규_공량산출근거서_일위대가"/>
      <sheetName val="공량설정_일위대가"/>
      <sheetName val=" 공사설정 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B2">
            <v>100</v>
          </cell>
        </row>
        <row r="3">
          <cell r="C3">
            <v>3</v>
          </cell>
        </row>
        <row r="4">
          <cell r="B4">
            <v>100</v>
          </cell>
        </row>
        <row r="5">
          <cell r="C5">
            <v>2</v>
          </cell>
        </row>
        <row r="6">
          <cell r="B6">
            <v>100</v>
          </cell>
        </row>
        <row r="7">
          <cell r="C7">
            <v>3</v>
          </cell>
        </row>
        <row r="8">
          <cell r="B8">
            <v>100</v>
          </cell>
        </row>
        <row r="9">
          <cell r="C9">
            <v>3</v>
          </cell>
        </row>
        <row r="10">
          <cell r="B10">
            <v>100</v>
          </cell>
        </row>
        <row r="11">
          <cell r="C11">
            <v>4</v>
          </cell>
        </row>
        <row r="12">
          <cell r="B12">
            <v>100</v>
          </cell>
        </row>
        <row r="13">
          <cell r="C13">
            <v>4</v>
          </cell>
        </row>
        <row r="14">
          <cell r="B14">
            <v>100</v>
          </cell>
        </row>
        <row r="15">
          <cell r="C15">
            <v>3</v>
          </cell>
        </row>
        <row r="16">
          <cell r="B16">
            <v>100</v>
          </cell>
        </row>
        <row r="17">
          <cell r="C17">
            <v>4</v>
          </cell>
        </row>
        <row r="18">
          <cell r="C18">
            <v>4</v>
          </cell>
        </row>
        <row r="19">
          <cell r="B19">
            <v>100</v>
          </cell>
        </row>
        <row r="20">
          <cell r="C20">
            <v>3</v>
          </cell>
        </row>
        <row r="21">
          <cell r="C21">
            <v>3</v>
          </cell>
        </row>
        <row r="22">
          <cell r="B22">
            <v>100</v>
          </cell>
        </row>
        <row r="23">
          <cell r="C23">
            <v>3</v>
          </cell>
        </row>
        <row r="24">
          <cell r="B24">
            <v>100</v>
          </cell>
        </row>
        <row r="25">
          <cell r="C25">
            <v>3</v>
          </cell>
        </row>
        <row r="26">
          <cell r="B26">
            <v>100</v>
          </cell>
        </row>
        <row r="27">
          <cell r="C27">
            <v>4</v>
          </cell>
        </row>
        <row r="28">
          <cell r="B28">
            <v>100</v>
          </cell>
        </row>
        <row r="29">
          <cell r="C29">
            <v>3</v>
          </cell>
        </row>
        <row r="30">
          <cell r="C30">
            <v>4</v>
          </cell>
        </row>
        <row r="31">
          <cell r="B31">
            <v>100</v>
          </cell>
        </row>
        <row r="32">
          <cell r="C32">
            <v>3</v>
          </cell>
        </row>
        <row r="33">
          <cell r="B33">
            <v>100</v>
          </cell>
        </row>
        <row r="34">
          <cell r="C34">
            <v>2</v>
          </cell>
        </row>
        <row r="35">
          <cell r="B35">
            <v>100</v>
          </cell>
        </row>
        <row r="36">
          <cell r="C36">
            <v>2</v>
          </cell>
        </row>
        <row r="37">
          <cell r="B37">
            <v>100</v>
          </cell>
        </row>
        <row r="38">
          <cell r="C38">
            <v>3</v>
          </cell>
        </row>
        <row r="39">
          <cell r="B39">
            <v>100</v>
          </cell>
        </row>
        <row r="40">
          <cell r="C40">
            <v>2</v>
          </cell>
        </row>
        <row r="41">
          <cell r="C41">
            <v>2</v>
          </cell>
        </row>
        <row r="42">
          <cell r="C42">
            <v>2</v>
          </cell>
        </row>
        <row r="43">
          <cell r="B43">
            <v>100</v>
          </cell>
        </row>
        <row r="44">
          <cell r="C44">
            <v>4</v>
          </cell>
        </row>
        <row r="45">
          <cell r="C45">
            <v>3</v>
          </cell>
        </row>
        <row r="47">
          <cell r="B47">
            <v>100</v>
          </cell>
        </row>
        <row r="48">
          <cell r="C48">
            <v>3</v>
          </cell>
        </row>
        <row r="49">
          <cell r="C49">
            <v>3</v>
          </cell>
        </row>
        <row r="50">
          <cell r="B50">
            <v>100</v>
          </cell>
        </row>
        <row r="51">
          <cell r="C51">
            <v>3</v>
          </cell>
        </row>
        <row r="52">
          <cell r="C52">
            <v>3</v>
          </cell>
        </row>
        <row r="53">
          <cell r="B53">
            <v>100</v>
          </cell>
        </row>
        <row r="54">
          <cell r="C54">
            <v>3</v>
          </cell>
        </row>
        <row r="55">
          <cell r="C55">
            <v>3</v>
          </cell>
        </row>
        <row r="56">
          <cell r="B56">
            <v>100</v>
          </cell>
        </row>
        <row r="57">
          <cell r="C57">
            <v>3</v>
          </cell>
        </row>
        <row r="58">
          <cell r="C58">
            <v>3</v>
          </cell>
        </row>
        <row r="59">
          <cell r="B59">
            <v>100</v>
          </cell>
        </row>
        <row r="60">
          <cell r="C60">
            <v>3</v>
          </cell>
        </row>
        <row r="61">
          <cell r="C61">
            <v>3</v>
          </cell>
        </row>
        <row r="63">
          <cell r="B63">
            <v>100</v>
          </cell>
        </row>
        <row r="64">
          <cell r="C64">
            <v>2</v>
          </cell>
        </row>
        <row r="65">
          <cell r="B65">
            <v>100</v>
          </cell>
        </row>
        <row r="66">
          <cell r="C66">
            <v>2</v>
          </cell>
        </row>
        <row r="67">
          <cell r="B67">
            <v>100</v>
          </cell>
        </row>
        <row r="68">
          <cell r="C68">
            <v>2</v>
          </cell>
        </row>
        <row r="69">
          <cell r="B69">
            <v>100</v>
          </cell>
        </row>
        <row r="70">
          <cell r="C70">
            <v>2</v>
          </cell>
        </row>
        <row r="71">
          <cell r="B71">
            <v>100</v>
          </cell>
        </row>
        <row r="72">
          <cell r="C72">
            <v>2</v>
          </cell>
        </row>
        <row r="75">
          <cell r="B75">
            <v>100</v>
          </cell>
        </row>
        <row r="76">
          <cell r="C76">
            <v>2</v>
          </cell>
        </row>
        <row r="77">
          <cell r="C77">
            <v>3</v>
          </cell>
        </row>
        <row r="78">
          <cell r="C78">
            <v>2</v>
          </cell>
        </row>
        <row r="79">
          <cell r="C79">
            <v>2</v>
          </cell>
        </row>
        <row r="80">
          <cell r="C80">
            <v>3</v>
          </cell>
        </row>
        <row r="81">
          <cell r="B81">
            <v>100</v>
          </cell>
        </row>
        <row r="82">
          <cell r="C82">
            <v>2</v>
          </cell>
        </row>
        <row r="83">
          <cell r="B83">
            <v>100</v>
          </cell>
        </row>
        <row r="84">
          <cell r="C84">
            <v>3</v>
          </cell>
        </row>
        <row r="85">
          <cell r="B85">
            <v>100</v>
          </cell>
        </row>
        <row r="86">
          <cell r="C86">
            <v>3</v>
          </cell>
        </row>
        <row r="87">
          <cell r="B87">
            <v>100</v>
          </cell>
        </row>
        <row r="88">
          <cell r="C88">
            <v>3</v>
          </cell>
        </row>
        <row r="89">
          <cell r="B89">
            <v>100</v>
          </cell>
        </row>
        <row r="90">
          <cell r="C90">
            <v>2</v>
          </cell>
        </row>
        <row r="91">
          <cell r="B91">
            <v>100</v>
          </cell>
        </row>
        <row r="92">
          <cell r="C92">
            <v>3</v>
          </cell>
        </row>
        <row r="93">
          <cell r="B93">
            <v>100</v>
          </cell>
        </row>
        <row r="94">
          <cell r="C94">
            <v>3</v>
          </cell>
        </row>
        <row r="95">
          <cell r="B95">
            <v>100</v>
          </cell>
        </row>
        <row r="96">
          <cell r="C96">
            <v>2</v>
          </cell>
        </row>
        <row r="97">
          <cell r="C97">
            <v>2</v>
          </cell>
        </row>
        <row r="98">
          <cell r="B98">
            <v>100</v>
          </cell>
        </row>
        <row r="99">
          <cell r="C99">
            <v>2</v>
          </cell>
        </row>
        <row r="100">
          <cell r="B100">
            <v>100</v>
          </cell>
        </row>
        <row r="101">
          <cell r="C101">
            <v>2</v>
          </cell>
        </row>
        <row r="106">
          <cell r="B106">
            <v>100</v>
          </cell>
        </row>
        <row r="107">
          <cell r="C107">
            <v>3</v>
          </cell>
        </row>
        <row r="108">
          <cell r="B108">
            <v>100</v>
          </cell>
        </row>
        <row r="109">
          <cell r="C109">
            <v>2</v>
          </cell>
        </row>
        <row r="110">
          <cell r="B110">
            <v>100</v>
          </cell>
        </row>
        <row r="111">
          <cell r="C111">
            <v>2</v>
          </cell>
        </row>
        <row r="112">
          <cell r="B112">
            <v>100</v>
          </cell>
        </row>
        <row r="113">
          <cell r="C113">
            <v>3</v>
          </cell>
        </row>
        <row r="114">
          <cell r="B114">
            <v>100</v>
          </cell>
        </row>
        <row r="115">
          <cell r="C115">
            <v>2</v>
          </cell>
        </row>
        <row r="116">
          <cell r="C116">
            <v>2</v>
          </cell>
        </row>
        <row r="117">
          <cell r="B117">
            <v>100</v>
          </cell>
        </row>
        <row r="118">
          <cell r="C118">
            <v>2</v>
          </cell>
        </row>
        <row r="119">
          <cell r="C119">
            <v>2</v>
          </cell>
        </row>
        <row r="120">
          <cell r="B120">
            <v>100</v>
          </cell>
        </row>
        <row r="121">
          <cell r="C121">
            <v>1</v>
          </cell>
        </row>
        <row r="122">
          <cell r="B122">
            <v>100</v>
          </cell>
        </row>
        <row r="123">
          <cell r="C123">
            <v>2</v>
          </cell>
        </row>
        <row r="124">
          <cell r="B124">
            <v>100</v>
          </cell>
        </row>
        <row r="125">
          <cell r="C125">
            <v>2</v>
          </cell>
        </row>
        <row r="126">
          <cell r="B126">
            <v>100</v>
          </cell>
        </row>
        <row r="127">
          <cell r="C127">
            <v>3</v>
          </cell>
        </row>
        <row r="128">
          <cell r="B128">
            <v>100</v>
          </cell>
        </row>
        <row r="129">
          <cell r="C129">
            <v>4</v>
          </cell>
        </row>
        <row r="130">
          <cell r="B130">
            <v>100</v>
          </cell>
        </row>
        <row r="131">
          <cell r="C131">
            <v>3</v>
          </cell>
        </row>
        <row r="132">
          <cell r="B132">
            <v>100</v>
          </cell>
        </row>
        <row r="133">
          <cell r="C133">
            <v>2</v>
          </cell>
        </row>
        <row r="134">
          <cell r="B134">
            <v>100</v>
          </cell>
        </row>
        <row r="135">
          <cell r="C135">
            <v>3</v>
          </cell>
        </row>
        <row r="136">
          <cell r="B136">
            <v>100</v>
          </cell>
        </row>
        <row r="137">
          <cell r="C137">
            <v>2</v>
          </cell>
        </row>
        <row r="138">
          <cell r="B138">
            <v>100</v>
          </cell>
        </row>
        <row r="139">
          <cell r="C139">
            <v>2</v>
          </cell>
        </row>
        <row r="140">
          <cell r="B140">
            <v>100</v>
          </cell>
        </row>
        <row r="141">
          <cell r="C141">
            <v>2</v>
          </cell>
        </row>
        <row r="142">
          <cell r="B142">
            <v>100</v>
          </cell>
        </row>
        <row r="143">
          <cell r="C143">
            <v>2</v>
          </cell>
        </row>
        <row r="144">
          <cell r="B144">
            <v>100</v>
          </cell>
        </row>
        <row r="145">
          <cell r="C145">
            <v>2</v>
          </cell>
        </row>
        <row r="146">
          <cell r="B146">
            <v>100</v>
          </cell>
        </row>
        <row r="147">
          <cell r="C147">
            <v>2</v>
          </cell>
        </row>
        <row r="148">
          <cell r="B148">
            <v>100</v>
          </cell>
        </row>
        <row r="149">
          <cell r="C149">
            <v>1</v>
          </cell>
        </row>
        <row r="150">
          <cell r="B150">
            <v>100</v>
          </cell>
        </row>
        <row r="151">
          <cell r="C151">
            <v>3</v>
          </cell>
        </row>
        <row r="152">
          <cell r="B152">
            <v>100</v>
          </cell>
        </row>
        <row r="153">
          <cell r="C153">
            <v>3</v>
          </cell>
        </row>
        <row r="154">
          <cell r="B154">
            <v>100</v>
          </cell>
        </row>
        <row r="155">
          <cell r="C155">
            <v>2</v>
          </cell>
        </row>
        <row r="156">
          <cell r="B156">
            <v>100</v>
          </cell>
        </row>
        <row r="157">
          <cell r="C157">
            <v>2</v>
          </cell>
        </row>
        <row r="158">
          <cell r="B158">
            <v>100</v>
          </cell>
        </row>
        <row r="159">
          <cell r="C159">
            <v>3</v>
          </cell>
        </row>
        <row r="160">
          <cell r="B160">
            <v>100</v>
          </cell>
        </row>
        <row r="161">
          <cell r="C161">
            <v>3</v>
          </cell>
        </row>
        <row r="166">
          <cell r="B166">
            <v>100</v>
          </cell>
        </row>
        <row r="167">
          <cell r="C167">
            <v>1</v>
          </cell>
        </row>
        <row r="168">
          <cell r="B168">
            <v>100</v>
          </cell>
        </row>
        <row r="169">
          <cell r="C169">
            <v>2</v>
          </cell>
        </row>
        <row r="170">
          <cell r="B170">
            <v>100</v>
          </cell>
        </row>
        <row r="171">
          <cell r="C171">
            <v>3</v>
          </cell>
        </row>
        <row r="172">
          <cell r="B172">
            <v>100</v>
          </cell>
        </row>
        <row r="173">
          <cell r="C173">
            <v>3</v>
          </cell>
        </row>
        <row r="174">
          <cell r="B174">
            <v>100</v>
          </cell>
        </row>
        <row r="175">
          <cell r="C175">
            <v>3</v>
          </cell>
        </row>
        <row r="176">
          <cell r="B176">
            <v>100</v>
          </cell>
        </row>
        <row r="177">
          <cell r="C177">
            <v>3</v>
          </cell>
        </row>
        <row r="178">
          <cell r="B178">
            <v>100</v>
          </cell>
        </row>
        <row r="179">
          <cell r="C179">
            <v>3</v>
          </cell>
        </row>
        <row r="180">
          <cell r="B180">
            <v>100</v>
          </cell>
        </row>
        <row r="181">
          <cell r="C181">
            <v>3</v>
          </cell>
        </row>
        <row r="182">
          <cell r="B182">
            <v>100</v>
          </cell>
        </row>
        <row r="183">
          <cell r="C183">
            <v>3</v>
          </cell>
        </row>
        <row r="184">
          <cell r="B184">
            <v>100</v>
          </cell>
        </row>
        <row r="185">
          <cell r="C185">
            <v>3</v>
          </cell>
        </row>
        <row r="186">
          <cell r="B186">
            <v>100</v>
          </cell>
        </row>
        <row r="187">
          <cell r="C187">
            <v>3</v>
          </cell>
        </row>
        <row r="188">
          <cell r="B188">
            <v>100</v>
          </cell>
        </row>
        <row r="189">
          <cell r="C189">
            <v>3</v>
          </cell>
        </row>
        <row r="190">
          <cell r="B190">
            <v>100</v>
          </cell>
        </row>
        <row r="191">
          <cell r="C191">
            <v>3</v>
          </cell>
        </row>
        <row r="192">
          <cell r="B192">
            <v>100</v>
          </cell>
        </row>
        <row r="193">
          <cell r="C193">
            <v>3</v>
          </cell>
        </row>
        <row r="194">
          <cell r="B194">
            <v>100</v>
          </cell>
        </row>
        <row r="195">
          <cell r="C195">
            <v>3</v>
          </cell>
        </row>
        <row r="196">
          <cell r="B196">
            <v>100</v>
          </cell>
        </row>
        <row r="197">
          <cell r="C197">
            <v>3</v>
          </cell>
        </row>
        <row r="198">
          <cell r="B198">
            <v>100</v>
          </cell>
        </row>
        <row r="199">
          <cell r="C199">
            <v>3</v>
          </cell>
        </row>
        <row r="200">
          <cell r="B200">
            <v>100</v>
          </cell>
        </row>
        <row r="201">
          <cell r="C201">
            <v>3</v>
          </cell>
        </row>
        <row r="202">
          <cell r="B202">
            <v>100</v>
          </cell>
        </row>
        <row r="203">
          <cell r="C203">
            <v>2</v>
          </cell>
        </row>
        <row r="204">
          <cell r="B204">
            <v>100</v>
          </cell>
        </row>
        <row r="205">
          <cell r="C205">
            <v>4</v>
          </cell>
        </row>
      </sheetData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82942-1F69-4FBB-9401-58C697852092}">
  <dimension ref="A1:AG17"/>
  <sheetViews>
    <sheetView showZeros="0" view="pageBreakPreview" zoomScaleNormal="100" zoomScaleSheetLayoutView="100" workbookViewId="0">
      <selection activeCell="K6" sqref="K6"/>
    </sheetView>
  </sheetViews>
  <sheetFormatPr defaultRowHeight="13.5"/>
  <cols>
    <col min="1" max="5" width="22.25" style="1" customWidth="1"/>
    <col min="6" max="6" width="15.875" style="1" customWidth="1"/>
    <col min="7" max="16384" width="9" style="1"/>
  </cols>
  <sheetData>
    <row r="1" spans="1:33" ht="37.5">
      <c r="A1" s="545" t="s">
        <v>0</v>
      </c>
      <c r="B1" s="545"/>
      <c r="C1" s="545"/>
      <c r="D1" s="545"/>
      <c r="E1" s="545"/>
      <c r="F1" s="545"/>
    </row>
    <row r="2" spans="1:33" ht="14.25">
      <c r="A2" s="2"/>
      <c r="B2" s="2"/>
      <c r="C2" s="2"/>
      <c r="D2" s="2"/>
      <c r="E2" s="2"/>
      <c r="F2" s="2"/>
    </row>
    <row r="3" spans="1:33" ht="39" customHeight="1">
      <c r="A3" s="3" t="s">
        <v>1</v>
      </c>
      <c r="B3" s="3"/>
      <c r="C3" s="3"/>
      <c r="D3" s="3"/>
      <c r="E3" s="4"/>
      <c r="F3" s="5" t="s">
        <v>2</v>
      </c>
    </row>
    <row r="4" spans="1:33" ht="68.099999999999994" customHeight="1" thickBot="1">
      <c r="A4" s="6" t="s">
        <v>3</v>
      </c>
      <c r="B4" s="7" t="s">
        <v>4</v>
      </c>
      <c r="C4" s="8" t="s">
        <v>5</v>
      </c>
      <c r="D4" s="9" t="s">
        <v>6</v>
      </c>
      <c r="E4" s="8" t="s">
        <v>7</v>
      </c>
      <c r="F4" s="10" t="s">
        <v>8</v>
      </c>
    </row>
    <row r="5" spans="1:33" ht="68.099999999999994" customHeight="1" thickTop="1">
      <c r="A5" s="11" t="s">
        <v>9</v>
      </c>
      <c r="B5" s="12">
        <f ca="1">원가계산!E38</f>
        <v>541330384.77199996</v>
      </c>
      <c r="C5" s="13">
        <f ca="1">원가계산!F38</f>
        <v>505108626.77200001</v>
      </c>
      <c r="D5" s="14">
        <f ca="1">B5-C5</f>
        <v>36221757.99999994</v>
      </c>
      <c r="E5" s="15"/>
      <c r="F5" s="16" t="s">
        <v>10</v>
      </c>
    </row>
    <row r="6" spans="1:33" ht="68.099999999999994" customHeight="1">
      <c r="A6" s="17" t="s">
        <v>11</v>
      </c>
      <c r="B6" s="18">
        <f ca="1">원가계산!E29</f>
        <v>240025200</v>
      </c>
      <c r="C6" s="19">
        <f ca="1">원가계산!F29</f>
        <v>260900000</v>
      </c>
      <c r="D6" s="14">
        <f ca="1">C6-B6</f>
        <v>20874800</v>
      </c>
      <c r="E6" s="20"/>
      <c r="F6" s="21"/>
    </row>
    <row r="7" spans="1:33" ht="68.099999999999994" customHeight="1">
      <c r="A7" s="17" t="s">
        <v>12</v>
      </c>
      <c r="B7" s="18">
        <f>원가계산!E33</f>
        <v>180667661</v>
      </c>
      <c r="C7" s="19">
        <f>원가계산!F33</f>
        <v>99053574</v>
      </c>
      <c r="D7" s="14"/>
      <c r="E7" s="20">
        <f>C7-B7</f>
        <v>-81614087</v>
      </c>
      <c r="F7" s="21"/>
    </row>
    <row r="8" spans="1:33" ht="68.099999999999994" customHeight="1">
      <c r="A8" s="17" t="s">
        <v>13</v>
      </c>
      <c r="B8" s="18">
        <f>원가계산!E34</f>
        <v>99053574</v>
      </c>
      <c r="C8" s="19">
        <f ca="1">원가계산!F34</f>
        <v>117459903</v>
      </c>
      <c r="D8" s="14">
        <f ca="1">C8-B8</f>
        <v>18406329</v>
      </c>
      <c r="E8" s="14"/>
      <c r="F8" s="21"/>
    </row>
    <row r="9" spans="1:33" ht="68.099999999999994" customHeight="1">
      <c r="A9" s="22" t="s">
        <v>14</v>
      </c>
      <c r="B9" s="23">
        <f>원가계산!E36</f>
        <v>21183800</v>
      </c>
      <c r="C9" s="24">
        <f>원가계산!F36</f>
        <v>27295000</v>
      </c>
      <c r="D9" s="14">
        <f>C9-B9</f>
        <v>6111200</v>
      </c>
      <c r="E9" s="25"/>
      <c r="F9" s="26"/>
    </row>
    <row r="16" spans="1:33" ht="16.5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</row>
    <row r="17" spans="1:33" ht="16.5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</row>
  </sheetData>
  <mergeCells count="1">
    <mergeCell ref="A1:F1"/>
  </mergeCells>
  <phoneticPr fontId="1" type="noConversion"/>
  <printOptions horizontalCentered="1" verticalCentered="1"/>
  <pageMargins left="0.74803149606299213" right="0.19685039370078741" top="0.59055118110236227" bottom="0.19685039370078741" header="0.19685039370078741" footer="0.19685039370078741"/>
  <pageSetup paperSize="9" scale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BA889-7480-435F-B92E-8829B5F4A286}">
  <dimension ref="A1:AS23"/>
  <sheetViews>
    <sheetView showZeros="0" view="pageBreakPreview" zoomScaleNormal="100" zoomScaleSheetLayoutView="100" workbookViewId="0">
      <selection activeCell="AT12" sqref="AT12"/>
    </sheetView>
  </sheetViews>
  <sheetFormatPr defaultColWidth="3.75" defaultRowHeight="27.95" customHeight="1"/>
  <cols>
    <col min="1" max="1" width="2.25" style="29" customWidth="1"/>
    <col min="2" max="4" width="3.625" style="29" customWidth="1"/>
    <col min="5" max="5" width="4.875" style="29" customWidth="1"/>
    <col min="6" max="12" width="3.625" style="29" customWidth="1"/>
    <col min="13" max="13" width="2.625" style="29" customWidth="1"/>
    <col min="14" max="14" width="3.625" style="29" customWidth="1"/>
    <col min="15" max="15" width="5" style="29" customWidth="1"/>
    <col min="16" max="29" width="3.625" style="29" customWidth="1"/>
    <col min="30" max="30" width="4.875" style="29" customWidth="1"/>
    <col min="31" max="33" width="3.625" style="29" customWidth="1"/>
    <col min="34" max="16384" width="3.75" style="29"/>
  </cols>
  <sheetData>
    <row r="1" spans="1:45" ht="16.5">
      <c r="A1" s="28"/>
      <c r="AE1" s="30"/>
      <c r="AF1" s="30"/>
      <c r="AG1" s="30"/>
    </row>
    <row r="2" spans="1:45" ht="16.5">
      <c r="A2" s="28"/>
      <c r="B2" s="549" t="s">
        <v>15</v>
      </c>
      <c r="C2" s="550"/>
      <c r="D2" s="550"/>
      <c r="E2" s="550"/>
      <c r="F2" s="551"/>
      <c r="AA2" s="552" t="s">
        <v>16</v>
      </c>
      <c r="AB2" s="552"/>
      <c r="AC2" s="552"/>
      <c r="AD2" s="552"/>
      <c r="AE2" s="552"/>
      <c r="AF2" s="30"/>
      <c r="AG2" s="30"/>
    </row>
    <row r="3" spans="1:45" ht="38.25" customHeight="1">
      <c r="A3" s="28"/>
      <c r="B3" s="553"/>
      <c r="C3" s="554"/>
      <c r="D3" s="554"/>
      <c r="E3" s="554"/>
      <c r="F3" s="555"/>
      <c r="AA3" s="556"/>
      <c r="AB3" s="556"/>
      <c r="AC3" s="556"/>
      <c r="AD3" s="556"/>
      <c r="AE3" s="556"/>
      <c r="AF3" s="30"/>
      <c r="AG3" s="30"/>
    </row>
    <row r="4" spans="1:45" ht="33.75" customHeight="1">
      <c r="A4" s="28"/>
      <c r="B4" s="31"/>
      <c r="C4" s="31"/>
      <c r="D4" s="31"/>
      <c r="E4" s="31"/>
      <c r="Z4" s="31"/>
      <c r="AA4" s="31"/>
      <c r="AB4" s="31"/>
      <c r="AC4" s="31"/>
      <c r="AD4" s="31"/>
      <c r="AE4" s="30"/>
      <c r="AF4" s="30"/>
      <c r="AG4" s="30"/>
    </row>
    <row r="5" spans="1:45" ht="33.75" customHeight="1">
      <c r="B5" s="32"/>
    </row>
    <row r="6" spans="1:45" ht="33.75" customHeight="1">
      <c r="B6" s="33"/>
    </row>
    <row r="7" spans="1:45" ht="33.75" customHeight="1">
      <c r="A7" s="557" t="s">
        <v>17</v>
      </c>
      <c r="B7" s="557"/>
      <c r="C7" s="557"/>
      <c r="D7" s="557"/>
      <c r="E7" s="557"/>
      <c r="F7" s="557"/>
      <c r="G7" s="557"/>
      <c r="H7" s="557"/>
      <c r="I7" s="557"/>
      <c r="J7" s="557"/>
      <c r="K7" s="557"/>
      <c r="L7" s="557"/>
      <c r="M7" s="557"/>
      <c r="N7" s="557"/>
      <c r="O7" s="557"/>
      <c r="P7" s="557"/>
      <c r="Q7" s="557"/>
      <c r="R7" s="557"/>
      <c r="S7" s="557"/>
      <c r="T7" s="557"/>
      <c r="U7" s="557"/>
      <c r="V7" s="557"/>
      <c r="W7" s="557"/>
      <c r="X7" s="557"/>
      <c r="Y7" s="557"/>
      <c r="Z7" s="557"/>
      <c r="AA7" s="557"/>
      <c r="AB7" s="557"/>
      <c r="AC7" s="557"/>
      <c r="AD7" s="557"/>
      <c r="AE7" s="557"/>
      <c r="AF7" s="557"/>
      <c r="AG7" s="557"/>
    </row>
    <row r="8" spans="1:45" ht="33.75" customHeight="1">
      <c r="E8" s="34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4"/>
      <c r="AD8" s="34"/>
      <c r="AS8" s="30"/>
    </row>
    <row r="9" spans="1:45" ht="33.75" customHeight="1">
      <c r="A9" s="558" t="s">
        <v>18</v>
      </c>
      <c r="B9" s="558"/>
      <c r="C9" s="558"/>
      <c r="D9" s="558"/>
      <c r="E9" s="558"/>
      <c r="F9" s="558"/>
      <c r="G9" s="558"/>
      <c r="H9" s="558"/>
      <c r="I9" s="558"/>
      <c r="J9" s="558"/>
      <c r="K9" s="558"/>
      <c r="L9" s="558"/>
      <c r="M9" s="558"/>
      <c r="N9" s="558"/>
      <c r="O9" s="558"/>
      <c r="P9" s="558"/>
      <c r="Q9" s="558"/>
      <c r="R9" s="558"/>
      <c r="S9" s="558"/>
      <c r="T9" s="558"/>
      <c r="U9" s="558"/>
      <c r="V9" s="558"/>
      <c r="W9" s="558"/>
      <c r="X9" s="558"/>
      <c r="Y9" s="558"/>
      <c r="Z9" s="558"/>
      <c r="AA9" s="558"/>
      <c r="AB9" s="558"/>
      <c r="AC9" s="558"/>
      <c r="AD9" s="558"/>
      <c r="AE9" s="558"/>
      <c r="AF9" s="558"/>
      <c r="AG9" s="558"/>
    </row>
    <row r="10" spans="1:45" ht="33.75" customHeight="1">
      <c r="AP10" s="29" t="s">
        <v>19</v>
      </c>
    </row>
    <row r="11" spans="1:45" ht="54.75" customHeight="1">
      <c r="O11" s="546" t="s">
        <v>20</v>
      </c>
      <c r="P11" s="546"/>
      <c r="Q11" s="546"/>
      <c r="R11" s="546"/>
      <c r="S11" s="546"/>
    </row>
    <row r="12" spans="1:45" ht="13.5"/>
    <row r="13" spans="1:45" ht="14.25">
      <c r="A13" s="36"/>
      <c r="B13" s="36"/>
      <c r="C13" s="36"/>
      <c r="D13" s="36"/>
      <c r="E13" s="36"/>
      <c r="F13" s="36"/>
      <c r="G13" s="36"/>
    </row>
    <row r="14" spans="1:45" ht="14.25">
      <c r="A14" s="36"/>
      <c r="B14" s="36"/>
      <c r="C14" s="36"/>
      <c r="D14" s="36"/>
      <c r="E14" s="36"/>
      <c r="F14" s="36"/>
      <c r="G14" s="36"/>
      <c r="AA14" s="37"/>
    </row>
    <row r="15" spans="1:45" ht="13.5">
      <c r="A15" s="547" t="s">
        <v>21</v>
      </c>
      <c r="B15" s="547"/>
      <c r="C15" s="547"/>
      <c r="D15" s="547"/>
      <c r="E15" s="547"/>
      <c r="F15" s="547"/>
      <c r="G15" s="547"/>
      <c r="H15" s="547"/>
      <c r="I15" s="547"/>
      <c r="J15" s="547"/>
      <c r="K15" s="547"/>
      <c r="L15" s="547"/>
      <c r="M15" s="547"/>
      <c r="N15" s="547"/>
      <c r="O15" s="547"/>
      <c r="P15" s="547"/>
      <c r="Q15" s="547"/>
      <c r="R15" s="547"/>
      <c r="S15" s="547"/>
      <c r="T15" s="547"/>
      <c r="U15" s="547"/>
      <c r="V15" s="547"/>
      <c r="W15" s="547"/>
      <c r="X15" s="547"/>
      <c r="Y15" s="547"/>
      <c r="Z15" s="547"/>
      <c r="AA15" s="547"/>
      <c r="AB15" s="547"/>
      <c r="AC15" s="547"/>
      <c r="AD15" s="547"/>
      <c r="AE15" s="547"/>
      <c r="AF15" s="547"/>
      <c r="AG15" s="547"/>
    </row>
    <row r="16" spans="1:45" ht="13.5">
      <c r="A16" s="547"/>
      <c r="B16" s="547"/>
      <c r="C16" s="547"/>
      <c r="D16" s="547"/>
      <c r="E16" s="547"/>
      <c r="F16" s="547"/>
      <c r="G16" s="547"/>
      <c r="H16" s="547"/>
      <c r="I16" s="547"/>
      <c r="J16" s="547"/>
      <c r="K16" s="547"/>
      <c r="L16" s="547"/>
      <c r="M16" s="547"/>
      <c r="N16" s="547"/>
      <c r="O16" s="547"/>
      <c r="P16" s="547"/>
      <c r="Q16" s="547"/>
      <c r="R16" s="547"/>
      <c r="S16" s="547"/>
      <c r="T16" s="547"/>
      <c r="U16" s="547"/>
      <c r="V16" s="547"/>
      <c r="W16" s="547"/>
      <c r="X16" s="547"/>
      <c r="Y16" s="547"/>
      <c r="Z16" s="547"/>
      <c r="AA16" s="547"/>
      <c r="AB16" s="547"/>
      <c r="AC16" s="547"/>
      <c r="AD16" s="547"/>
      <c r="AE16" s="547"/>
      <c r="AF16" s="547"/>
      <c r="AG16" s="547"/>
    </row>
    <row r="17" spans="1:7" ht="13.5"/>
    <row r="22" spans="1:7" ht="27">
      <c r="A22" s="548"/>
      <c r="B22" s="548"/>
      <c r="C22" s="548"/>
      <c r="D22" s="548"/>
      <c r="E22" s="548"/>
      <c r="F22" s="548"/>
      <c r="G22" s="548"/>
    </row>
    <row r="23" spans="1:7" ht="27">
      <c r="A23" s="548"/>
      <c r="B23" s="548"/>
      <c r="C23" s="548"/>
      <c r="D23" s="548"/>
      <c r="E23" s="548"/>
      <c r="F23" s="548"/>
      <c r="G23" s="548"/>
    </row>
  </sheetData>
  <mergeCells count="10">
    <mergeCell ref="O11:S11"/>
    <mergeCell ref="A15:AG16"/>
    <mergeCell ref="A22:G22"/>
    <mergeCell ref="A23:G23"/>
    <mergeCell ref="B2:F2"/>
    <mergeCell ref="AA2:AE2"/>
    <mergeCell ref="B3:F3"/>
    <mergeCell ref="AA3:AE3"/>
    <mergeCell ref="A7:AG7"/>
    <mergeCell ref="A9:AG9"/>
  </mergeCells>
  <phoneticPr fontId="1" type="noConversion"/>
  <pageMargins left="0.98425196850393704" right="0.39370078740157483" top="0.74803149606299213" bottom="0.74803149606299213" header="0.31496062992125984" footer="0.31496062992125984"/>
  <pageSetup paperSize="9" scale="99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DE450-97FB-41BD-A247-1960BB453219}">
  <dimension ref="A1:AT17"/>
  <sheetViews>
    <sheetView showZeros="0" view="pageBreakPreview" zoomScaleNormal="100" zoomScaleSheetLayoutView="100" workbookViewId="0">
      <selection activeCell="AO9" sqref="AO9"/>
    </sheetView>
  </sheetViews>
  <sheetFormatPr defaultColWidth="3.625" defaultRowHeight="24.95" customHeight="1"/>
  <cols>
    <col min="1" max="1" width="3.5" style="60" customWidth="1"/>
    <col min="2" max="2" width="7.25" style="60" customWidth="1"/>
    <col min="3" max="4" width="3.5" style="60" customWidth="1"/>
    <col min="5" max="6" width="3.875" style="60" customWidth="1"/>
    <col min="7" max="7" width="4" style="60" customWidth="1"/>
    <col min="8" max="8" width="3.375" style="60" customWidth="1"/>
    <col min="9" max="35" width="3.25" style="60" customWidth="1"/>
    <col min="36" max="37" width="3.625" style="60"/>
    <col min="38" max="38" width="3.375" style="60" customWidth="1"/>
    <col min="39" max="40" width="4.625" style="60" customWidth="1"/>
    <col min="41" max="63" width="3.375" style="60" customWidth="1"/>
    <col min="64" max="16384" width="3.625" style="60"/>
  </cols>
  <sheetData>
    <row r="1" spans="1:46" s="38" customFormat="1" ht="18.75">
      <c r="A1" s="570" t="s">
        <v>3744</v>
      </c>
      <c r="B1" s="571"/>
      <c r="C1" s="571"/>
      <c r="D1" s="571"/>
      <c r="E1" s="571"/>
      <c r="F1" s="571"/>
      <c r="G1" s="571"/>
      <c r="H1" s="571"/>
      <c r="I1" s="571"/>
      <c r="J1" s="571"/>
      <c r="K1" s="572"/>
      <c r="L1" s="579" t="s">
        <v>22</v>
      </c>
      <c r="M1" s="579"/>
      <c r="N1" s="579"/>
      <c r="O1" s="579"/>
      <c r="P1" s="579"/>
      <c r="Q1" s="579"/>
      <c r="R1" s="579"/>
      <c r="S1" s="579"/>
      <c r="T1" s="579"/>
      <c r="U1" s="579"/>
      <c r="V1" s="579"/>
      <c r="W1" s="579"/>
      <c r="X1" s="579"/>
      <c r="Y1" s="579"/>
      <c r="Z1" s="579"/>
      <c r="AA1" s="579"/>
      <c r="AB1" s="579"/>
      <c r="AC1" s="579"/>
      <c r="AD1" s="579"/>
      <c r="AE1" s="579"/>
      <c r="AF1" s="579"/>
      <c r="AG1" s="579"/>
      <c r="AH1" s="579"/>
      <c r="AI1" s="579"/>
    </row>
    <row r="2" spans="1:46" s="40" customFormat="1" ht="18.75">
      <c r="A2" s="573"/>
      <c r="B2" s="574"/>
      <c r="C2" s="574"/>
      <c r="D2" s="574"/>
      <c r="E2" s="574"/>
      <c r="F2" s="574"/>
      <c r="G2" s="574"/>
      <c r="H2" s="574"/>
      <c r="I2" s="574"/>
      <c r="J2" s="574"/>
      <c r="K2" s="575"/>
      <c r="L2" s="580" t="s">
        <v>23</v>
      </c>
      <c r="M2" s="580"/>
      <c r="N2" s="580"/>
      <c r="O2" s="580"/>
      <c r="P2" s="580"/>
      <c r="Q2" s="580"/>
      <c r="R2" s="580"/>
      <c r="S2" s="580"/>
      <c r="T2" s="581" t="s">
        <v>24</v>
      </c>
      <c r="U2" s="582"/>
      <c r="V2" s="582"/>
      <c r="W2" s="582"/>
      <c r="X2" s="582"/>
      <c r="Y2" s="582"/>
      <c r="Z2" s="582"/>
      <c r="AA2" s="583"/>
      <c r="AB2" s="584" t="s">
        <v>25</v>
      </c>
      <c r="AC2" s="585"/>
      <c r="AD2" s="585"/>
      <c r="AE2" s="585"/>
      <c r="AF2" s="585"/>
      <c r="AG2" s="585"/>
      <c r="AH2" s="585"/>
      <c r="AI2" s="586"/>
      <c r="AJ2" s="39"/>
    </row>
    <row r="3" spans="1:46" s="40" customFormat="1" ht="69" customHeight="1">
      <c r="A3" s="576"/>
      <c r="B3" s="577"/>
      <c r="C3" s="577"/>
      <c r="D3" s="577"/>
      <c r="E3" s="577"/>
      <c r="F3" s="577"/>
      <c r="G3" s="577"/>
      <c r="H3" s="577"/>
      <c r="I3" s="577"/>
      <c r="J3" s="577"/>
      <c r="K3" s="578"/>
      <c r="L3" s="587"/>
      <c r="M3" s="587"/>
      <c r="N3" s="587"/>
      <c r="O3" s="587"/>
      <c r="P3" s="587"/>
      <c r="Q3" s="587"/>
      <c r="R3" s="587"/>
      <c r="S3" s="587"/>
      <c r="T3" s="588"/>
      <c r="U3" s="589"/>
      <c r="V3" s="589"/>
      <c r="W3" s="589"/>
      <c r="X3" s="589"/>
      <c r="Y3" s="589"/>
      <c r="Z3" s="589"/>
      <c r="AA3" s="590"/>
      <c r="AB3" s="588"/>
      <c r="AC3" s="589"/>
      <c r="AD3" s="589"/>
      <c r="AE3" s="589"/>
      <c r="AF3" s="589"/>
      <c r="AG3" s="589"/>
      <c r="AH3" s="589"/>
      <c r="AI3" s="590"/>
      <c r="AJ3" s="39"/>
    </row>
    <row r="4" spans="1:46" s="43" customFormat="1" ht="22.5">
      <c r="A4" s="41"/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42"/>
    </row>
    <row r="5" spans="1:46" s="45" customFormat="1" ht="27">
      <c r="A5" s="44"/>
      <c r="B5" s="32"/>
      <c r="C5" s="29"/>
      <c r="D5" s="29"/>
      <c r="E5" s="29"/>
      <c r="F5" s="29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42"/>
    </row>
    <row r="6" spans="1:46" s="45" customFormat="1" ht="22.5">
      <c r="A6" s="41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42"/>
    </row>
    <row r="7" spans="1:46" s="29" customFormat="1" ht="44.25" customHeight="1">
      <c r="A7" s="561" t="str">
        <f>'표지(설계서)'!A7:AG7</f>
        <v>평창군 에코랜드 조성사업(전기)</v>
      </c>
      <c r="B7" s="557"/>
      <c r="C7" s="557"/>
      <c r="D7" s="557"/>
      <c r="E7" s="557"/>
      <c r="F7" s="557"/>
      <c r="G7" s="557"/>
      <c r="H7" s="557"/>
      <c r="I7" s="557"/>
      <c r="J7" s="557"/>
      <c r="K7" s="557"/>
      <c r="L7" s="557"/>
      <c r="M7" s="557"/>
      <c r="N7" s="557"/>
      <c r="O7" s="557"/>
      <c r="P7" s="557"/>
      <c r="Q7" s="557"/>
      <c r="R7" s="557"/>
      <c r="S7" s="557"/>
      <c r="T7" s="557"/>
      <c r="U7" s="557"/>
      <c r="V7" s="557"/>
      <c r="W7" s="557"/>
      <c r="X7" s="557"/>
      <c r="Y7" s="557"/>
      <c r="Z7" s="557"/>
      <c r="AA7" s="557"/>
      <c r="AB7" s="557"/>
      <c r="AC7" s="557"/>
      <c r="AD7" s="557"/>
      <c r="AE7" s="557"/>
      <c r="AF7" s="557"/>
      <c r="AG7" s="557"/>
      <c r="AH7" s="557"/>
      <c r="AI7" s="46"/>
    </row>
    <row r="8" spans="1:46" s="29" customFormat="1" ht="60.75" customHeight="1">
      <c r="A8" s="44"/>
      <c r="E8" s="34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4"/>
      <c r="AD8" s="34"/>
      <c r="AI8" s="46"/>
      <c r="AT8" s="28"/>
    </row>
    <row r="9" spans="1:46" s="29" customFormat="1" ht="53.25" customHeight="1">
      <c r="A9" s="562" t="s">
        <v>26</v>
      </c>
      <c r="B9" s="563"/>
      <c r="C9" s="563"/>
      <c r="D9" s="563"/>
      <c r="E9" s="563"/>
      <c r="F9" s="563"/>
      <c r="G9" s="563"/>
      <c r="H9" s="563"/>
      <c r="I9" s="563"/>
      <c r="J9" s="563"/>
      <c r="K9" s="563"/>
      <c r="L9" s="563"/>
      <c r="M9" s="563"/>
      <c r="N9" s="563"/>
      <c r="O9" s="563"/>
      <c r="P9" s="563"/>
      <c r="Q9" s="563"/>
      <c r="R9" s="563"/>
      <c r="S9" s="563"/>
      <c r="T9" s="563"/>
      <c r="U9" s="563"/>
      <c r="V9" s="563"/>
      <c r="W9" s="563"/>
      <c r="X9" s="563"/>
      <c r="Y9" s="563"/>
      <c r="Z9" s="563"/>
      <c r="AA9" s="563"/>
      <c r="AB9" s="563"/>
      <c r="AC9" s="563"/>
      <c r="AD9" s="563"/>
      <c r="AE9" s="563"/>
      <c r="AF9" s="563"/>
      <c r="AG9" s="563"/>
      <c r="AH9" s="563"/>
      <c r="AI9" s="46"/>
    </row>
    <row r="10" spans="1:46" s="45" customFormat="1" ht="13.5">
      <c r="A10" s="47"/>
      <c r="AI10" s="48"/>
    </row>
    <row r="11" spans="1:46" s="45" customFormat="1" ht="18.75">
      <c r="A11" s="47"/>
      <c r="F11" s="564"/>
      <c r="G11" s="565" t="s">
        <v>27</v>
      </c>
      <c r="H11" s="567" t="s">
        <v>28</v>
      </c>
      <c r="I11" s="569" t="s">
        <v>29</v>
      </c>
      <c r="J11" s="559"/>
      <c r="K11" s="559"/>
      <c r="L11" s="559"/>
      <c r="M11" s="559"/>
      <c r="N11" s="559" t="s">
        <v>30</v>
      </c>
      <c r="O11" s="559"/>
      <c r="P11" s="559"/>
      <c r="Q11" s="559"/>
      <c r="R11" s="559"/>
      <c r="S11" s="559" t="s">
        <v>31</v>
      </c>
      <c r="T11" s="559"/>
      <c r="U11" s="559"/>
      <c r="V11" s="559"/>
      <c r="W11" s="559"/>
      <c r="X11" s="559" t="s">
        <v>32</v>
      </c>
      <c r="Y11" s="559"/>
      <c r="Z11" s="559"/>
      <c r="AA11" s="559"/>
      <c r="AB11" s="559"/>
      <c r="AI11" s="48"/>
    </row>
    <row r="12" spans="1:46" s="45" customFormat="1" ht="65.25" customHeight="1">
      <c r="A12" s="41"/>
      <c r="B12" s="33"/>
      <c r="C12" s="33"/>
      <c r="D12" s="33"/>
      <c r="E12" s="33"/>
      <c r="F12" s="564"/>
      <c r="G12" s="566"/>
      <c r="H12" s="568"/>
      <c r="I12" s="559"/>
      <c r="J12" s="559"/>
      <c r="K12" s="559"/>
      <c r="L12" s="559"/>
      <c r="M12" s="559"/>
      <c r="N12" s="559"/>
      <c r="O12" s="559"/>
      <c r="P12" s="559"/>
      <c r="Q12" s="559"/>
      <c r="R12" s="559"/>
      <c r="S12" s="559"/>
      <c r="T12" s="559"/>
      <c r="U12" s="559"/>
      <c r="V12" s="559"/>
      <c r="W12" s="559"/>
      <c r="X12" s="559"/>
      <c r="Y12" s="559"/>
      <c r="Z12" s="559"/>
      <c r="AA12" s="559"/>
      <c r="AB12" s="559"/>
      <c r="AE12" s="33"/>
      <c r="AF12" s="33"/>
      <c r="AG12" s="33"/>
      <c r="AH12" s="33"/>
      <c r="AI12" s="42"/>
    </row>
    <row r="13" spans="1:46" s="45" customFormat="1" ht="22.5">
      <c r="A13" s="41"/>
      <c r="B13" s="33"/>
      <c r="C13" s="33"/>
      <c r="D13" s="33"/>
      <c r="E13" s="33"/>
      <c r="F13" s="33"/>
      <c r="G13" s="33"/>
      <c r="H13" s="33"/>
      <c r="I13" s="33"/>
      <c r="J13" s="33"/>
      <c r="Z13" s="33"/>
      <c r="AA13" s="33"/>
      <c r="AB13" s="33"/>
      <c r="AC13" s="33"/>
      <c r="AD13" s="33"/>
      <c r="AE13" s="33"/>
      <c r="AF13" s="33"/>
      <c r="AG13" s="33"/>
      <c r="AH13" s="33"/>
      <c r="AI13" s="42"/>
    </row>
    <row r="14" spans="1:46" s="29" customFormat="1" ht="25.5">
      <c r="A14" s="49"/>
      <c r="B14" s="36"/>
      <c r="C14" s="36"/>
      <c r="D14" s="36"/>
      <c r="E14" s="36"/>
      <c r="F14" s="36"/>
      <c r="G14" s="36"/>
      <c r="I14" s="31"/>
      <c r="M14" s="560"/>
      <c r="N14" s="560"/>
      <c r="O14" s="560"/>
      <c r="P14" s="560"/>
      <c r="Q14" s="560"/>
      <c r="R14" s="560"/>
      <c r="S14" s="560"/>
      <c r="T14" s="560"/>
      <c r="U14" s="560"/>
      <c r="V14" s="560"/>
      <c r="W14" s="560"/>
      <c r="X14" s="560"/>
      <c r="Y14" s="50"/>
      <c r="AI14" s="46"/>
    </row>
    <row r="15" spans="1:46" s="29" customFormat="1" ht="31.5">
      <c r="A15" s="51"/>
      <c r="B15" s="52"/>
      <c r="C15" s="52"/>
      <c r="D15" s="52"/>
      <c r="E15" s="52"/>
      <c r="F15" s="52"/>
      <c r="G15" s="52"/>
      <c r="H15" s="52"/>
      <c r="I15" s="53"/>
      <c r="J15" s="52"/>
      <c r="K15" s="52"/>
      <c r="L15" s="52"/>
      <c r="M15" s="547"/>
      <c r="N15" s="547"/>
      <c r="O15" s="547"/>
      <c r="P15" s="547"/>
      <c r="Q15" s="547"/>
      <c r="R15" s="547"/>
      <c r="S15" s="547"/>
      <c r="T15" s="547"/>
      <c r="U15" s="547"/>
      <c r="V15" s="547"/>
      <c r="W15" s="547"/>
      <c r="X15" s="547"/>
      <c r="Y15" s="54"/>
      <c r="Z15" s="52"/>
      <c r="AA15" s="52"/>
      <c r="AB15" s="52"/>
      <c r="AC15" s="52"/>
      <c r="AD15" s="52"/>
      <c r="AE15" s="52"/>
      <c r="AF15" s="52"/>
      <c r="AG15" s="52"/>
      <c r="AI15" s="46"/>
    </row>
    <row r="16" spans="1:46" s="45" customFormat="1" ht="99" hidden="1" customHeight="1">
      <c r="A16" s="55"/>
      <c r="B16" s="56"/>
      <c r="C16" s="56"/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7"/>
      <c r="AI16" s="58"/>
    </row>
    <row r="17" spans="1:35" ht="22.5">
      <c r="A17" s="59"/>
      <c r="B17" s="59"/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59"/>
      <c r="P17" s="59"/>
      <c r="Q17" s="59"/>
      <c r="R17" s="59"/>
      <c r="S17" s="59"/>
      <c r="T17" s="59"/>
      <c r="U17" s="59"/>
      <c r="V17" s="59"/>
      <c r="W17" s="59"/>
      <c r="X17" s="59"/>
      <c r="Y17" s="59"/>
      <c r="Z17" s="59"/>
      <c r="AA17" s="59"/>
      <c r="AB17" s="59"/>
      <c r="AC17" s="59"/>
      <c r="AD17" s="59"/>
      <c r="AE17" s="59"/>
      <c r="AF17" s="59"/>
      <c r="AG17" s="59"/>
      <c r="AH17" s="59"/>
      <c r="AI17" s="59"/>
    </row>
  </sheetData>
  <mergeCells count="22">
    <mergeCell ref="A1:K3"/>
    <mergeCell ref="L1:AI1"/>
    <mergeCell ref="L2:S2"/>
    <mergeCell ref="T2:AA2"/>
    <mergeCell ref="AB2:AI2"/>
    <mergeCell ref="L3:S3"/>
    <mergeCell ref="T3:AA3"/>
    <mergeCell ref="AB3:AI3"/>
    <mergeCell ref="N12:R12"/>
    <mergeCell ref="S12:W12"/>
    <mergeCell ref="X12:AB12"/>
    <mergeCell ref="M14:X15"/>
    <mergeCell ref="A7:AH7"/>
    <mergeCell ref="A9:AH9"/>
    <mergeCell ref="F11:F12"/>
    <mergeCell ref="G11:G12"/>
    <mergeCell ref="H11:H12"/>
    <mergeCell ref="I11:M11"/>
    <mergeCell ref="N11:R11"/>
    <mergeCell ref="S11:W11"/>
    <mergeCell ref="X11:AB11"/>
    <mergeCell ref="I12:M12"/>
  </mergeCells>
  <phoneticPr fontId="1" type="noConversion"/>
  <pageMargins left="0.98425196850393704" right="0.39370078740157483" top="0.6692913385826772" bottom="0.51" header="0.31496062992125984" footer="0.31496062992125984"/>
  <pageSetup paperSize="9" scale="9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54C7B-A1E7-4CE3-B649-AFCF83B05F8F}">
  <dimension ref="A1:AG16"/>
  <sheetViews>
    <sheetView showZeros="0" view="pageBreakPreview" zoomScaleNormal="100" zoomScaleSheetLayoutView="100" workbookViewId="0">
      <selection activeCell="W15" sqref="W15:AD15"/>
    </sheetView>
  </sheetViews>
  <sheetFormatPr defaultRowHeight="17.25"/>
  <cols>
    <col min="1" max="31" width="4" style="61" customWidth="1"/>
    <col min="32" max="16384" width="9" style="71"/>
  </cols>
  <sheetData>
    <row r="1" spans="1:33" s="61" customFormat="1"/>
    <row r="2" spans="1:33" s="61" customFormat="1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 spans="1:33" s="64" customFormat="1" ht="39">
      <c r="A3" s="597" t="s">
        <v>33</v>
      </c>
      <c r="B3" s="597"/>
      <c r="C3" s="597"/>
      <c r="D3" s="597"/>
      <c r="E3" s="597"/>
      <c r="F3" s="597"/>
      <c r="G3" s="597"/>
      <c r="H3" s="597"/>
      <c r="I3" s="597"/>
      <c r="J3" s="597"/>
      <c r="K3" s="597"/>
      <c r="L3" s="597"/>
      <c r="M3" s="597"/>
      <c r="N3" s="597"/>
      <c r="O3" s="597"/>
      <c r="P3" s="597"/>
      <c r="Q3" s="597"/>
      <c r="R3" s="597"/>
      <c r="S3" s="597"/>
      <c r="T3" s="597"/>
      <c r="U3" s="597"/>
      <c r="V3" s="597"/>
      <c r="W3" s="597"/>
      <c r="X3" s="597"/>
      <c r="Y3" s="597"/>
      <c r="Z3" s="597"/>
      <c r="AA3" s="597"/>
      <c r="AB3" s="597"/>
      <c r="AC3" s="597"/>
      <c r="AD3" s="597"/>
      <c r="AE3" s="63"/>
    </row>
    <row r="4" spans="1:33" s="64" customFormat="1" ht="39">
      <c r="A4" s="597"/>
      <c r="B4" s="597"/>
      <c r="C4" s="597"/>
      <c r="D4" s="597"/>
      <c r="E4" s="597"/>
      <c r="F4" s="597"/>
      <c r="G4" s="597"/>
      <c r="H4" s="597"/>
      <c r="I4" s="597"/>
      <c r="J4" s="597"/>
      <c r="K4" s="597"/>
      <c r="L4" s="597"/>
      <c r="M4" s="597"/>
      <c r="N4" s="597"/>
      <c r="O4" s="597"/>
      <c r="P4" s="597"/>
      <c r="Q4" s="597"/>
      <c r="R4" s="597"/>
      <c r="S4" s="597"/>
      <c r="T4" s="597"/>
      <c r="U4" s="597"/>
      <c r="V4" s="597"/>
      <c r="W4" s="597"/>
      <c r="X4" s="597"/>
      <c r="Y4" s="597"/>
      <c r="Z4" s="597"/>
      <c r="AA4" s="597"/>
      <c r="AB4" s="597"/>
      <c r="AC4" s="597"/>
      <c r="AD4" s="597"/>
      <c r="AE4" s="63"/>
    </row>
    <row r="5" spans="1:33" s="64" customFormat="1" ht="16.5"/>
    <row r="6" spans="1:33" s="64" customFormat="1" ht="42.75" customHeight="1">
      <c r="G6" s="591" t="s">
        <v>34</v>
      </c>
      <c r="H6" s="591"/>
      <c r="I6" s="592" t="s">
        <v>35</v>
      </c>
      <c r="J6" s="592"/>
      <c r="K6" s="592"/>
      <c r="L6" s="592"/>
      <c r="M6" s="592"/>
      <c r="N6" s="592"/>
      <c r="O6" s="592"/>
      <c r="P6" s="592"/>
      <c r="Q6" s="592"/>
      <c r="R6" s="592"/>
      <c r="S6" s="66"/>
      <c r="T6" s="66"/>
      <c r="U6" s="66"/>
      <c r="V6" s="66"/>
      <c r="W6" s="593"/>
      <c r="X6" s="591"/>
      <c r="Y6" s="591"/>
      <c r="Z6" s="591"/>
      <c r="AA6" s="591"/>
      <c r="AB6" s="591"/>
      <c r="AC6" s="591"/>
      <c r="AD6" s="591"/>
    </row>
    <row r="7" spans="1:33" s="67" customFormat="1" ht="42.75" customHeight="1">
      <c r="G7" s="591" t="s">
        <v>36</v>
      </c>
      <c r="H7" s="591"/>
      <c r="I7" s="592" t="s">
        <v>37</v>
      </c>
      <c r="J7" s="592"/>
      <c r="K7" s="592"/>
      <c r="L7" s="592"/>
      <c r="M7" s="592"/>
      <c r="N7" s="592"/>
      <c r="O7" s="592"/>
      <c r="P7" s="592"/>
      <c r="Q7" s="592"/>
      <c r="R7" s="592"/>
      <c r="S7" s="592" t="s">
        <v>38</v>
      </c>
      <c r="T7" s="592"/>
      <c r="U7" s="592"/>
      <c r="V7" s="592"/>
      <c r="W7" s="593"/>
      <c r="X7" s="591"/>
      <c r="Y7" s="591"/>
      <c r="Z7" s="591"/>
      <c r="AA7" s="591"/>
      <c r="AB7" s="591"/>
      <c r="AC7" s="591"/>
      <c r="AD7" s="591"/>
      <c r="AE7" s="65"/>
    </row>
    <row r="8" spans="1:33" s="67" customFormat="1" ht="42.75" customHeight="1">
      <c r="G8" s="591" t="s">
        <v>39</v>
      </c>
      <c r="H8" s="591"/>
      <c r="I8" s="592" t="s">
        <v>40</v>
      </c>
      <c r="J8" s="592"/>
      <c r="K8" s="592"/>
      <c r="L8" s="592"/>
      <c r="M8" s="592"/>
      <c r="N8" s="592"/>
      <c r="O8" s="592"/>
      <c r="P8" s="592"/>
      <c r="Q8" s="592"/>
      <c r="R8" s="592"/>
      <c r="S8" s="592" t="s">
        <v>41</v>
      </c>
      <c r="T8" s="592"/>
      <c r="U8" s="592"/>
      <c r="V8" s="592"/>
      <c r="W8" s="593"/>
      <c r="X8" s="591"/>
      <c r="Y8" s="591"/>
      <c r="Z8" s="591"/>
      <c r="AA8" s="591"/>
      <c r="AB8" s="591"/>
      <c r="AC8" s="591"/>
      <c r="AD8" s="591"/>
      <c r="AE8" s="65"/>
    </row>
    <row r="9" spans="1:33" s="67" customFormat="1" ht="42.75" customHeight="1">
      <c r="G9" s="591" t="s">
        <v>42</v>
      </c>
      <c r="H9" s="591"/>
      <c r="I9" s="592" t="s">
        <v>43</v>
      </c>
      <c r="J9" s="592"/>
      <c r="K9" s="592"/>
      <c r="L9" s="592"/>
      <c r="M9" s="592"/>
      <c r="N9" s="592"/>
      <c r="O9" s="592"/>
      <c r="P9" s="592"/>
      <c r="Q9" s="592"/>
      <c r="R9" s="592"/>
      <c r="S9" s="592" t="s">
        <v>41</v>
      </c>
      <c r="T9" s="592"/>
      <c r="U9" s="592"/>
      <c r="V9" s="592"/>
      <c r="W9" s="593"/>
      <c r="X9" s="591"/>
      <c r="Y9" s="591"/>
      <c r="Z9" s="591"/>
      <c r="AA9" s="591"/>
      <c r="AB9" s="591"/>
      <c r="AC9" s="591"/>
      <c r="AD9" s="591"/>
      <c r="AE9" s="65"/>
    </row>
    <row r="10" spans="1:33" s="67" customFormat="1" ht="42.75" customHeight="1">
      <c r="G10" s="591" t="s">
        <v>44</v>
      </c>
      <c r="H10" s="591"/>
      <c r="I10" s="592" t="s">
        <v>45</v>
      </c>
      <c r="J10" s="592"/>
      <c r="K10" s="592"/>
      <c r="L10" s="592"/>
      <c r="M10" s="592"/>
      <c r="N10" s="592"/>
      <c r="O10" s="592"/>
      <c r="P10" s="592"/>
      <c r="Q10" s="592"/>
      <c r="R10" s="592"/>
      <c r="S10" s="592" t="s">
        <v>41</v>
      </c>
      <c r="T10" s="592"/>
      <c r="U10" s="592"/>
      <c r="V10" s="592"/>
      <c r="W10" s="593"/>
      <c r="X10" s="591"/>
      <c r="Y10" s="591"/>
      <c r="Z10" s="591"/>
      <c r="AA10" s="591"/>
      <c r="AB10" s="591"/>
      <c r="AC10" s="591"/>
      <c r="AD10" s="591"/>
      <c r="AE10" s="65"/>
    </row>
    <row r="11" spans="1:33" s="67" customFormat="1" ht="42.75" customHeight="1">
      <c r="G11" s="591" t="s">
        <v>46</v>
      </c>
      <c r="H11" s="591"/>
      <c r="I11" s="592" t="s">
        <v>47</v>
      </c>
      <c r="J11" s="592"/>
      <c r="K11" s="592"/>
      <c r="L11" s="592"/>
      <c r="M11" s="592"/>
      <c r="N11" s="592"/>
      <c r="O11" s="592"/>
      <c r="P11" s="592"/>
      <c r="Q11" s="592"/>
      <c r="R11" s="592"/>
      <c r="S11" s="592" t="s">
        <v>38</v>
      </c>
      <c r="T11" s="592"/>
      <c r="U11" s="592"/>
      <c r="V11" s="592"/>
      <c r="W11" s="593"/>
      <c r="X11" s="591"/>
      <c r="Y11" s="591"/>
      <c r="Z11" s="591"/>
      <c r="AA11" s="591"/>
      <c r="AB11" s="591"/>
      <c r="AC11" s="591"/>
      <c r="AD11" s="591"/>
      <c r="AE11" s="65"/>
    </row>
    <row r="12" spans="1:33" s="67" customFormat="1" ht="42.75" customHeight="1">
      <c r="G12" s="591" t="s">
        <v>48</v>
      </c>
      <c r="H12" s="591"/>
      <c r="I12" s="592" t="s">
        <v>49</v>
      </c>
      <c r="J12" s="592"/>
      <c r="K12" s="592"/>
      <c r="L12" s="592"/>
      <c r="M12" s="592"/>
      <c r="N12" s="592"/>
      <c r="O12" s="592"/>
      <c r="P12" s="592"/>
      <c r="Q12" s="592"/>
      <c r="R12" s="592"/>
      <c r="S12" s="592"/>
      <c r="T12" s="592"/>
      <c r="U12" s="592"/>
      <c r="V12" s="592"/>
      <c r="W12" s="593"/>
      <c r="X12" s="591"/>
      <c r="Y12" s="591"/>
      <c r="Z12" s="591"/>
      <c r="AA12" s="591"/>
      <c r="AB12" s="591"/>
      <c r="AC12" s="591"/>
      <c r="AD12" s="591"/>
      <c r="AE12" s="65"/>
    </row>
    <row r="13" spans="1:33" s="68" customFormat="1" ht="42.75" customHeight="1">
      <c r="G13" s="591"/>
      <c r="H13" s="591"/>
      <c r="I13" s="592"/>
      <c r="J13" s="592"/>
      <c r="K13" s="592"/>
      <c r="L13" s="592"/>
      <c r="M13" s="592"/>
      <c r="N13" s="592"/>
      <c r="O13" s="592"/>
      <c r="P13" s="592"/>
      <c r="Q13" s="592"/>
      <c r="R13" s="592"/>
      <c r="S13" s="592"/>
      <c r="T13" s="592"/>
      <c r="U13" s="592"/>
      <c r="V13" s="592"/>
      <c r="W13" s="593"/>
      <c r="X13" s="591"/>
      <c r="Y13" s="591"/>
      <c r="Z13" s="591"/>
      <c r="AA13" s="591"/>
      <c r="AB13" s="591"/>
      <c r="AC13" s="591"/>
      <c r="AD13" s="591"/>
    </row>
    <row r="14" spans="1:33" s="68" customFormat="1" ht="42.75" customHeight="1">
      <c r="G14" s="591"/>
      <c r="H14" s="591"/>
      <c r="I14" s="592"/>
      <c r="J14" s="592"/>
      <c r="K14" s="592"/>
      <c r="L14" s="592"/>
      <c r="M14" s="592"/>
      <c r="N14" s="592"/>
      <c r="O14" s="592"/>
      <c r="P14" s="592"/>
      <c r="Q14" s="592"/>
      <c r="R14" s="592"/>
      <c r="S14" s="592"/>
      <c r="T14" s="592"/>
      <c r="U14" s="592"/>
      <c r="V14" s="592"/>
      <c r="W14" s="593"/>
      <c r="X14" s="591"/>
      <c r="Y14" s="591"/>
      <c r="Z14" s="591"/>
      <c r="AA14" s="591"/>
      <c r="AB14" s="591"/>
      <c r="AC14" s="591"/>
      <c r="AD14" s="591"/>
    </row>
    <row r="15" spans="1:33" s="68" customFormat="1" ht="42.75" customHeight="1">
      <c r="A15" s="69"/>
      <c r="B15" s="69"/>
      <c r="C15" s="69"/>
      <c r="D15" s="69"/>
      <c r="E15" s="69"/>
      <c r="F15" s="69"/>
      <c r="G15" s="594"/>
      <c r="H15" s="594"/>
      <c r="I15" s="595"/>
      <c r="J15" s="595"/>
      <c r="K15" s="595"/>
      <c r="L15" s="595"/>
      <c r="M15" s="595"/>
      <c r="N15" s="595"/>
      <c r="O15" s="595"/>
      <c r="P15" s="595"/>
      <c r="Q15" s="595"/>
      <c r="R15" s="595"/>
      <c r="S15" s="594"/>
      <c r="T15" s="594"/>
      <c r="U15" s="594"/>
      <c r="V15" s="594"/>
      <c r="W15" s="596"/>
      <c r="X15" s="594"/>
      <c r="Y15" s="594"/>
      <c r="Z15" s="594"/>
      <c r="AA15" s="594"/>
      <c r="AB15" s="594"/>
      <c r="AC15" s="594"/>
      <c r="AD15" s="594"/>
      <c r="AE15" s="69"/>
      <c r="AF15" s="69"/>
      <c r="AG15" s="69"/>
    </row>
    <row r="16" spans="1:33">
      <c r="A16" s="70"/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28"/>
      <c r="AG16" s="28"/>
    </row>
  </sheetData>
  <mergeCells count="38">
    <mergeCell ref="A3:AD4"/>
    <mergeCell ref="G6:H6"/>
    <mergeCell ref="I6:R6"/>
    <mergeCell ref="W6:AD6"/>
    <mergeCell ref="G7:H7"/>
    <mergeCell ref="I7:R7"/>
    <mergeCell ref="S7:V7"/>
    <mergeCell ref="W7:AD7"/>
    <mergeCell ref="G8:H8"/>
    <mergeCell ref="I8:R8"/>
    <mergeCell ref="S8:V8"/>
    <mergeCell ref="W8:AD8"/>
    <mergeCell ref="G9:H9"/>
    <mergeCell ref="I9:R9"/>
    <mergeCell ref="S9:V9"/>
    <mergeCell ref="W9:AD9"/>
    <mergeCell ref="G10:H10"/>
    <mergeCell ref="I10:R10"/>
    <mergeCell ref="S10:V10"/>
    <mergeCell ref="W10:AD10"/>
    <mergeCell ref="G11:H11"/>
    <mergeCell ref="I11:R11"/>
    <mergeCell ref="S11:V11"/>
    <mergeCell ref="W11:AD11"/>
    <mergeCell ref="G12:H12"/>
    <mergeCell ref="I12:V12"/>
    <mergeCell ref="W12:AD12"/>
    <mergeCell ref="G13:H13"/>
    <mergeCell ref="I13:R13"/>
    <mergeCell ref="S13:V13"/>
    <mergeCell ref="W13:AD13"/>
    <mergeCell ref="G14:H14"/>
    <mergeCell ref="I14:V14"/>
    <mergeCell ref="W14:AD14"/>
    <mergeCell ref="G15:H15"/>
    <mergeCell ref="I15:R15"/>
    <mergeCell ref="S15:V15"/>
    <mergeCell ref="W15:AD15"/>
  </mergeCells>
  <phoneticPr fontId="1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EED7A-BF66-4919-A243-C15FA91E8FFA}">
  <dimension ref="A1:AG16"/>
  <sheetViews>
    <sheetView showZeros="0" view="pageBreakPreview" zoomScaleNormal="100" zoomScaleSheetLayoutView="100" workbookViewId="0">
      <selection activeCell="J12" sqref="J12"/>
    </sheetView>
  </sheetViews>
  <sheetFormatPr defaultRowHeight="16.5"/>
  <cols>
    <col min="1" max="1" width="3.375" style="76" customWidth="1"/>
    <col min="2" max="2" width="9" style="76"/>
    <col min="3" max="3" width="10.125" style="76" bestFit="1" customWidth="1"/>
    <col min="4" max="13" width="9" style="76"/>
    <col min="14" max="16" width="3.375" style="76" customWidth="1"/>
    <col min="17" max="21" width="9" style="76"/>
    <col min="22" max="22" width="3.375" style="76" customWidth="1"/>
    <col min="23" max="24" width="9" style="76"/>
    <col min="25" max="25" width="3.375" style="76" customWidth="1"/>
    <col min="26" max="28" width="9" style="76"/>
    <col min="29" max="29" width="3.375" style="76" customWidth="1"/>
    <col min="30" max="32" width="9" style="76"/>
    <col min="33" max="33" width="3" style="76" customWidth="1"/>
    <col min="34" max="16384" width="9" style="71"/>
  </cols>
  <sheetData>
    <row r="1" spans="1:33" s="73" customFormat="1" ht="39">
      <c r="A1" s="72" t="s">
        <v>50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</row>
    <row r="2" spans="1:33" s="73" customFormat="1" ht="38.25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</row>
    <row r="3" spans="1:33" s="73" customFormat="1" ht="20.25">
      <c r="A3" s="68"/>
      <c r="B3" s="68" t="s">
        <v>51</v>
      </c>
    </row>
    <row r="4" spans="1:33" s="73" customFormat="1" ht="20.25">
      <c r="A4" s="68"/>
      <c r="B4" s="68"/>
      <c r="C4" s="75" t="s">
        <v>52</v>
      </c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</row>
    <row r="5" spans="1:33" s="76" customFormat="1" ht="55.5" customHeight="1">
      <c r="B5" s="77"/>
      <c r="C5" s="78" t="s">
        <v>53</v>
      </c>
      <c r="D5" s="79"/>
      <c r="E5" s="79"/>
      <c r="F5" s="79"/>
      <c r="G5" s="79"/>
      <c r="H5" s="538" t="s">
        <v>3752</v>
      </c>
      <c r="I5" s="539"/>
      <c r="J5" s="539"/>
      <c r="K5" s="539"/>
      <c r="L5" s="79"/>
      <c r="M5" s="79"/>
      <c r="N5" s="79"/>
      <c r="O5" s="79"/>
      <c r="P5" s="79"/>
      <c r="Q5" s="79"/>
      <c r="R5" s="79"/>
      <c r="S5" s="79"/>
      <c r="T5" s="79"/>
      <c r="U5" s="79"/>
      <c r="V5" s="79"/>
      <c r="W5" s="79"/>
      <c r="X5" s="79"/>
      <c r="Y5" s="79"/>
      <c r="Z5" s="79"/>
      <c r="AA5" s="79"/>
      <c r="AB5" s="77"/>
      <c r="AC5" s="77"/>
      <c r="AD5" s="77"/>
      <c r="AE5" s="77"/>
    </row>
    <row r="6" spans="1:33" s="76" customFormat="1" ht="55.5" customHeight="1">
      <c r="B6" s="77"/>
      <c r="C6" s="78" t="s">
        <v>54</v>
      </c>
      <c r="D6" s="78"/>
      <c r="E6" s="78"/>
      <c r="F6" s="78"/>
      <c r="G6" s="78"/>
      <c r="H6" s="538" t="s">
        <v>3750</v>
      </c>
      <c r="I6" s="538"/>
      <c r="J6" s="538"/>
      <c r="K6" s="53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7"/>
      <c r="AE6" s="77"/>
    </row>
    <row r="7" spans="1:33" s="76" customFormat="1" ht="55.5" customHeight="1">
      <c r="B7" s="77"/>
      <c r="C7" s="78" t="s">
        <v>55</v>
      </c>
      <c r="D7" s="78"/>
      <c r="E7" s="78"/>
      <c r="F7" s="78"/>
      <c r="G7" s="78"/>
      <c r="H7" s="538" t="s">
        <v>3751</v>
      </c>
      <c r="I7" s="538"/>
      <c r="J7" s="538"/>
      <c r="K7" s="53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7"/>
      <c r="AE7" s="77"/>
    </row>
    <row r="8" spans="1:33" s="76" customFormat="1" ht="55.5" customHeight="1">
      <c r="B8" s="77"/>
      <c r="C8" s="78" t="s">
        <v>56</v>
      </c>
      <c r="D8" s="78"/>
      <c r="E8" s="78"/>
      <c r="F8" s="78"/>
      <c r="G8" s="78"/>
      <c r="H8" s="538"/>
      <c r="I8" s="538"/>
      <c r="J8" s="538"/>
      <c r="K8" s="53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7"/>
      <c r="AE8" s="77"/>
    </row>
    <row r="9" spans="1:33" s="76" customFormat="1" ht="55.5" customHeight="1">
      <c r="B9" s="77"/>
      <c r="C9" s="78" t="s">
        <v>57</v>
      </c>
      <c r="D9" s="78"/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7"/>
      <c r="AE9" s="77"/>
    </row>
    <row r="10" spans="1:33" s="76" customFormat="1" ht="55.5" customHeight="1">
      <c r="B10" s="77"/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7"/>
      <c r="AE10" s="77"/>
    </row>
    <row r="11" spans="1:33" s="76" customFormat="1" ht="55.5" customHeight="1">
      <c r="B11" s="77"/>
      <c r="C11" s="78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7"/>
      <c r="AC11" s="77"/>
      <c r="AD11" s="77"/>
      <c r="AE11" s="77"/>
    </row>
    <row r="12" spans="1:33" s="76" customFormat="1" ht="55.5" customHeight="1">
      <c r="C12" s="78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</row>
    <row r="13" spans="1:33" ht="55.5" customHeight="1"/>
    <row r="14" spans="1:33" ht="55.5" customHeight="1"/>
    <row r="15" spans="1:33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</row>
    <row r="16" spans="1:33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</row>
  </sheetData>
  <phoneticPr fontId="1" type="noConversion"/>
  <pageMargins left="0.7" right="0.7" top="0.75" bottom="0.75" header="0.3" footer="0.3"/>
  <pageSetup paperSize="9" scale="9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845FF-EBFF-4261-B2EB-14EADFAA2812}">
  <dimension ref="A1:AJ16"/>
  <sheetViews>
    <sheetView showZeros="0" view="pageBreakPreview" zoomScaleNormal="100" zoomScaleSheetLayoutView="100" workbookViewId="0">
      <selection activeCell="R15" sqref="R15"/>
    </sheetView>
  </sheetViews>
  <sheetFormatPr defaultRowHeight="16.5"/>
  <cols>
    <col min="1" max="1" width="3.375" style="83" customWidth="1"/>
    <col min="2" max="13" width="9" style="83"/>
    <col min="14" max="16" width="3.375" style="83" customWidth="1"/>
    <col min="17" max="21" width="9" style="83"/>
    <col min="22" max="22" width="3.375" style="83" customWidth="1"/>
    <col min="23" max="24" width="9" style="83"/>
    <col min="25" max="25" width="3.375" style="83" customWidth="1"/>
    <col min="26" max="28" width="9" style="83"/>
    <col min="29" max="29" width="3.375" style="83" customWidth="1"/>
    <col min="30" max="31" width="9" style="83"/>
    <col min="32" max="32" width="3.375" style="83" customWidth="1"/>
    <col min="33" max="35" width="9" style="83"/>
    <col min="36" max="36" width="3" style="83" customWidth="1"/>
    <col min="37" max="16384" width="9" style="28"/>
  </cols>
  <sheetData>
    <row r="1" spans="1:36" s="81" customFormat="1" ht="18.75"/>
    <row r="2" spans="1:36" s="81" customFormat="1" ht="31.5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</row>
    <row r="3" spans="1:36" s="83" customFormat="1" ht="13.5"/>
    <row r="4" spans="1:36" s="83" customFormat="1" ht="13.5"/>
    <row r="5" spans="1:36" s="83" customFormat="1" ht="13.5"/>
    <row r="6" spans="1:36" s="83" customFormat="1" ht="13.5"/>
    <row r="7" spans="1:36" s="83" customFormat="1" ht="33.75">
      <c r="A7" s="598" t="s">
        <v>58</v>
      </c>
      <c r="B7" s="598"/>
      <c r="C7" s="598"/>
      <c r="D7" s="598"/>
      <c r="E7" s="598"/>
      <c r="F7" s="598"/>
      <c r="G7" s="598"/>
      <c r="H7" s="598"/>
      <c r="I7" s="598"/>
      <c r="J7" s="598"/>
      <c r="K7" s="598"/>
      <c r="L7" s="598"/>
      <c r="M7" s="598"/>
      <c r="N7" s="598"/>
      <c r="O7" s="598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</row>
    <row r="8" spans="1:36" s="83" customFormat="1" ht="33.75">
      <c r="A8" s="598"/>
      <c r="B8" s="598"/>
      <c r="C8" s="598"/>
      <c r="D8" s="598"/>
      <c r="E8" s="598"/>
      <c r="F8" s="598"/>
      <c r="G8" s="598"/>
      <c r="H8" s="598"/>
      <c r="I8" s="598"/>
      <c r="J8" s="598"/>
      <c r="K8" s="598"/>
      <c r="L8" s="598"/>
      <c r="M8" s="598"/>
      <c r="N8" s="598"/>
      <c r="O8" s="598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</row>
    <row r="9" spans="1:36" s="83" customFormat="1" ht="33.75">
      <c r="A9" s="598"/>
      <c r="B9" s="598"/>
      <c r="C9" s="598"/>
      <c r="D9" s="598"/>
      <c r="E9" s="598"/>
      <c r="F9" s="598"/>
      <c r="G9" s="598"/>
      <c r="H9" s="598"/>
      <c r="I9" s="598"/>
      <c r="J9" s="598"/>
      <c r="K9" s="598"/>
      <c r="L9" s="598"/>
      <c r="M9" s="598"/>
      <c r="N9" s="598"/>
      <c r="O9" s="598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</row>
    <row r="10" spans="1:36" s="83" customFormat="1" ht="25.5">
      <c r="A10" s="599" t="s">
        <v>59</v>
      </c>
      <c r="B10" s="599"/>
      <c r="C10" s="599"/>
      <c r="D10" s="599"/>
      <c r="E10" s="599"/>
      <c r="F10" s="599"/>
      <c r="G10" s="599"/>
      <c r="H10" s="599"/>
      <c r="I10" s="599"/>
      <c r="J10" s="599"/>
      <c r="K10" s="599"/>
      <c r="L10" s="599"/>
      <c r="M10" s="599"/>
      <c r="N10" s="599"/>
      <c r="O10" s="599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</row>
    <row r="15" spans="1:36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</row>
    <row r="16" spans="1:36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</row>
  </sheetData>
  <mergeCells count="2">
    <mergeCell ref="A7:O9"/>
    <mergeCell ref="A10:O10"/>
  </mergeCells>
  <phoneticPr fontId="1" type="noConversion"/>
  <pageMargins left="0.7" right="0.7" top="0.75" bottom="0.75" header="0.3" footer="0.3"/>
  <pageSetup paperSize="9" scale="98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E7731-533A-48EC-8B41-7F4AA7696B3B}">
  <dimension ref="A1:AG24"/>
  <sheetViews>
    <sheetView showZeros="0" view="pageBreakPreview" zoomScaleNormal="100" zoomScaleSheetLayoutView="100" workbookViewId="0">
      <selection activeCell="R12" sqref="R12"/>
    </sheetView>
  </sheetViews>
  <sheetFormatPr defaultRowHeight="16.5"/>
  <cols>
    <col min="1" max="1" width="3.125" style="86" customWidth="1"/>
    <col min="2" max="11" width="9" style="86"/>
    <col min="12" max="12" width="29.75" style="86" customWidth="1"/>
    <col min="13" max="13" width="9.75" style="28" customWidth="1"/>
    <col min="14" max="16384" width="9" style="28"/>
  </cols>
  <sheetData>
    <row r="1" spans="1:33" s="86" customFormat="1" ht="33.75">
      <c r="A1" s="600" t="s">
        <v>60</v>
      </c>
      <c r="B1" s="600"/>
      <c r="C1" s="600"/>
      <c r="D1" s="600"/>
      <c r="E1" s="600"/>
      <c r="F1" s="600"/>
      <c r="G1" s="600"/>
      <c r="H1" s="600"/>
      <c r="I1" s="600"/>
      <c r="J1" s="600"/>
      <c r="K1" s="600"/>
      <c r="L1" s="600"/>
    </row>
    <row r="2" spans="1:33" s="86" customFormat="1" ht="14.25" customHeight="1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</row>
    <row r="3" spans="1:33" s="88" customFormat="1" ht="24.75" customHeight="1">
      <c r="B3" s="88" t="s">
        <v>61</v>
      </c>
    </row>
    <row r="4" spans="1:33" s="88" customFormat="1" ht="24.75" customHeight="1">
      <c r="B4" s="88" t="s">
        <v>62</v>
      </c>
    </row>
    <row r="5" spans="1:33" s="88" customFormat="1" ht="24.75" customHeight="1">
      <c r="B5" s="88" t="s">
        <v>63</v>
      </c>
    </row>
    <row r="6" spans="1:33" s="88" customFormat="1" ht="24.75" customHeight="1">
      <c r="B6" s="88" t="s">
        <v>64</v>
      </c>
    </row>
    <row r="7" spans="1:33" s="88" customFormat="1" ht="24.75" customHeight="1">
      <c r="B7" s="88" t="s">
        <v>65</v>
      </c>
    </row>
    <row r="8" spans="1:33" s="88" customFormat="1" ht="24.75" customHeight="1">
      <c r="B8" s="88" t="s">
        <v>66</v>
      </c>
    </row>
    <row r="9" spans="1:33" s="88" customFormat="1" ht="24.75" customHeight="1">
      <c r="B9" s="88" t="s">
        <v>67</v>
      </c>
    </row>
    <row r="10" spans="1:33" s="88" customFormat="1" ht="24.75" customHeight="1">
      <c r="B10" s="88" t="s">
        <v>68</v>
      </c>
    </row>
    <row r="11" spans="1:33" s="88" customFormat="1" ht="24.75" customHeight="1">
      <c r="B11" s="88" t="s">
        <v>69</v>
      </c>
    </row>
    <row r="12" spans="1:33" s="88" customFormat="1" ht="24.75" customHeight="1">
      <c r="B12" s="88" t="s">
        <v>70</v>
      </c>
    </row>
    <row r="13" spans="1:33" s="88" customFormat="1" ht="24.75" customHeight="1">
      <c r="B13" s="88" t="s">
        <v>71</v>
      </c>
    </row>
    <row r="14" spans="1:33" s="88" customFormat="1" ht="24.75" customHeight="1">
      <c r="B14" s="88" t="s">
        <v>72</v>
      </c>
    </row>
    <row r="15" spans="1:33" s="88" customFormat="1" ht="24.75" customHeight="1">
      <c r="A15" s="89"/>
      <c r="B15" s="89" t="s">
        <v>73</v>
      </c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</row>
    <row r="16" spans="1:33" s="88" customFormat="1" ht="24.75" customHeight="1">
      <c r="A16" s="89"/>
      <c r="B16" s="89" t="s">
        <v>74</v>
      </c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  <c r="AD16" s="89"/>
      <c r="AE16" s="89"/>
      <c r="AF16" s="89"/>
      <c r="AG16" s="89"/>
    </row>
    <row r="17" spans="1:12" s="88" customFormat="1" ht="24.75" customHeight="1">
      <c r="B17" s="88" t="s">
        <v>75</v>
      </c>
    </row>
    <row r="18" spans="1:12" s="88" customFormat="1" ht="24.75" customHeight="1">
      <c r="B18" s="88" t="s">
        <v>76</v>
      </c>
    </row>
    <row r="19" spans="1:12" ht="31.5">
      <c r="A19" s="90"/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0"/>
    </row>
    <row r="20" spans="1:12" ht="31.5">
      <c r="A20" s="90"/>
      <c r="B20" s="90"/>
      <c r="C20" s="90"/>
      <c r="D20" s="90"/>
      <c r="E20" s="90"/>
      <c r="F20" s="90"/>
      <c r="G20" s="90"/>
      <c r="H20" s="90"/>
      <c r="I20" s="90"/>
      <c r="J20" s="90"/>
      <c r="K20" s="90"/>
      <c r="L20" s="90"/>
    </row>
    <row r="21" spans="1:12" ht="31.5">
      <c r="A21" s="90"/>
      <c r="B21" s="90"/>
      <c r="C21" s="90"/>
      <c r="D21" s="90"/>
      <c r="E21" s="90"/>
      <c r="F21" s="90"/>
      <c r="G21" s="90"/>
      <c r="H21" s="90"/>
      <c r="I21" s="90"/>
      <c r="J21" s="90"/>
      <c r="K21" s="90"/>
      <c r="L21" s="90"/>
    </row>
    <row r="22" spans="1:12" ht="31.5">
      <c r="A22" s="90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</row>
    <row r="23" spans="1:12" ht="31.5">
      <c r="A23" s="90"/>
      <c r="B23" s="90"/>
      <c r="C23" s="90"/>
      <c r="D23" s="90"/>
      <c r="E23" s="90"/>
      <c r="F23" s="90"/>
      <c r="G23" s="90"/>
      <c r="H23" s="90"/>
      <c r="I23" s="90"/>
      <c r="J23" s="90"/>
      <c r="K23" s="90"/>
      <c r="L23" s="90"/>
    </row>
    <row r="24" spans="1:12" ht="31.5">
      <c r="A24" s="90"/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</row>
  </sheetData>
  <mergeCells count="1">
    <mergeCell ref="A1:L1"/>
  </mergeCells>
  <phoneticPr fontId="1" type="noConversion"/>
  <pageMargins left="0.70866141732283472" right="0.39370078740157483" top="0.74803149606299213" bottom="0.74803149606299213" header="0.31496062992125984" footer="0.31496062992125984"/>
  <pageSetup paperSize="9" scale="9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1FEF6-953B-4B46-AE79-FA2CFB31F9CD}">
  <dimension ref="A1:AJ16"/>
  <sheetViews>
    <sheetView showZeros="0" view="pageBreakPreview" zoomScaleNormal="100" zoomScaleSheetLayoutView="100" workbookViewId="0">
      <selection activeCell="Q29" sqref="Q29"/>
    </sheetView>
  </sheetViews>
  <sheetFormatPr defaultRowHeight="16.5"/>
  <cols>
    <col min="1" max="1" width="3.375" style="83" customWidth="1"/>
    <col min="2" max="13" width="9" style="83"/>
    <col min="14" max="16" width="3.375" style="83" customWidth="1"/>
    <col min="17" max="21" width="9" style="83"/>
    <col min="22" max="22" width="3.375" style="83" customWidth="1"/>
    <col min="23" max="24" width="9" style="83"/>
    <col min="25" max="25" width="3.375" style="83" customWidth="1"/>
    <col min="26" max="28" width="9" style="83"/>
    <col min="29" max="29" width="3.375" style="83" customWidth="1"/>
    <col min="30" max="31" width="9" style="83"/>
    <col min="32" max="32" width="3.375" style="83" customWidth="1"/>
    <col min="33" max="35" width="9" style="83"/>
    <col min="36" max="36" width="3" style="83" customWidth="1"/>
    <col min="37" max="16384" width="9" style="28"/>
  </cols>
  <sheetData>
    <row r="1" spans="1:36" s="81" customFormat="1" ht="18.75"/>
    <row r="2" spans="1:36" s="81" customFormat="1" ht="31.5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</row>
    <row r="3" spans="1:36" s="83" customFormat="1" ht="13.5"/>
    <row r="4" spans="1:36" s="83" customFormat="1" ht="13.5"/>
    <row r="5" spans="1:36" s="83" customFormat="1" ht="13.5"/>
    <row r="6" spans="1:36" s="83" customFormat="1" ht="13.5"/>
    <row r="7" spans="1:36" s="83" customFormat="1" ht="33.75">
      <c r="A7" s="598" t="s">
        <v>77</v>
      </c>
      <c r="B7" s="598"/>
      <c r="C7" s="598"/>
      <c r="D7" s="598"/>
      <c r="E7" s="598"/>
      <c r="F7" s="598"/>
      <c r="G7" s="598"/>
      <c r="H7" s="598"/>
      <c r="I7" s="598"/>
      <c r="J7" s="598"/>
      <c r="K7" s="598"/>
      <c r="L7" s="598"/>
      <c r="M7" s="598"/>
      <c r="N7" s="598"/>
      <c r="O7" s="598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</row>
    <row r="8" spans="1:36" s="83" customFormat="1" ht="33.75">
      <c r="A8" s="598"/>
      <c r="B8" s="598"/>
      <c r="C8" s="598"/>
      <c r="D8" s="598"/>
      <c r="E8" s="598"/>
      <c r="F8" s="598"/>
      <c r="G8" s="598"/>
      <c r="H8" s="598"/>
      <c r="I8" s="598"/>
      <c r="J8" s="598"/>
      <c r="K8" s="598"/>
      <c r="L8" s="598"/>
      <c r="M8" s="598"/>
      <c r="N8" s="598"/>
      <c r="O8" s="598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</row>
    <row r="9" spans="1:36" s="83" customFormat="1" ht="33.75">
      <c r="A9" s="598"/>
      <c r="B9" s="598"/>
      <c r="C9" s="598"/>
      <c r="D9" s="598"/>
      <c r="E9" s="598"/>
      <c r="F9" s="598"/>
      <c r="G9" s="598"/>
      <c r="H9" s="598"/>
      <c r="I9" s="598"/>
      <c r="J9" s="598"/>
      <c r="K9" s="598"/>
      <c r="L9" s="598"/>
      <c r="M9" s="598"/>
      <c r="N9" s="598"/>
      <c r="O9" s="598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</row>
    <row r="10" spans="1:36" s="83" customFormat="1" ht="25.5">
      <c r="A10" s="599"/>
      <c r="B10" s="599"/>
      <c r="C10" s="599"/>
      <c r="D10" s="599"/>
      <c r="E10" s="599"/>
      <c r="F10" s="599"/>
      <c r="G10" s="599"/>
      <c r="H10" s="599"/>
      <c r="I10" s="599"/>
      <c r="J10" s="599"/>
      <c r="K10" s="599"/>
      <c r="L10" s="599"/>
      <c r="M10" s="599"/>
      <c r="N10" s="599"/>
      <c r="O10" s="599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</row>
    <row r="15" spans="1:36">
      <c r="A15" s="52"/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</row>
    <row r="16" spans="1:36">
      <c r="A16" s="52"/>
      <c r="B16" s="52"/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</row>
  </sheetData>
  <mergeCells count="2">
    <mergeCell ref="A7:O9"/>
    <mergeCell ref="A10:O10"/>
  </mergeCells>
  <phoneticPr fontId="1" type="noConversion"/>
  <pageMargins left="0.7" right="0.7" top="0.75" bottom="0.75" header="0.3" footer="0.3"/>
  <pageSetup paperSize="9" scale="98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82ED4-1F0D-4850-871D-1793DC41DE14}">
  <dimension ref="A1:AJ10"/>
  <sheetViews>
    <sheetView showZeros="0" view="pageBreakPreview" zoomScaleNormal="100" zoomScaleSheetLayoutView="100" workbookViewId="0">
      <selection activeCell="K13" sqref="K13"/>
    </sheetView>
  </sheetViews>
  <sheetFormatPr defaultRowHeight="16.5"/>
  <cols>
    <col min="1" max="1" width="3.375" style="83" customWidth="1"/>
    <col min="2" max="13" width="9" style="83"/>
    <col min="14" max="16" width="3.375" style="83" customWidth="1"/>
    <col min="17" max="21" width="9" style="83"/>
    <col min="22" max="22" width="3.375" style="83" customWidth="1"/>
    <col min="23" max="24" width="9" style="83"/>
    <col min="25" max="25" width="3.375" style="83" customWidth="1"/>
    <col min="26" max="28" width="9" style="83"/>
    <col min="29" max="29" width="3.375" style="83" customWidth="1"/>
    <col min="30" max="31" width="9" style="83"/>
    <col min="32" max="32" width="3.375" style="83" customWidth="1"/>
    <col min="33" max="35" width="9" style="83"/>
    <col min="36" max="36" width="3" style="83" customWidth="1"/>
    <col min="37" max="16384" width="9" style="28"/>
  </cols>
  <sheetData>
    <row r="1" spans="1:36" s="81" customFormat="1" ht="18.75"/>
    <row r="2" spans="1:36" s="81" customFormat="1" ht="31.5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2"/>
      <c r="AI2" s="82"/>
    </row>
    <row r="3" spans="1:36" s="83" customFormat="1" ht="13.5"/>
    <row r="4" spans="1:36" s="83" customFormat="1" ht="13.5"/>
    <row r="5" spans="1:36" s="83" customFormat="1" ht="13.5"/>
    <row r="6" spans="1:36" s="83" customFormat="1" ht="13.5"/>
    <row r="7" spans="1:36" s="83" customFormat="1" ht="33.75">
      <c r="A7" s="598" t="s">
        <v>78</v>
      </c>
      <c r="B7" s="598"/>
      <c r="C7" s="598"/>
      <c r="D7" s="598"/>
      <c r="E7" s="598"/>
      <c r="F7" s="598"/>
      <c r="G7" s="598"/>
      <c r="H7" s="598"/>
      <c r="I7" s="598"/>
      <c r="J7" s="598"/>
      <c r="K7" s="598"/>
      <c r="L7" s="598"/>
      <c r="M7" s="598"/>
      <c r="N7" s="598"/>
      <c r="O7" s="598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</row>
    <row r="8" spans="1:36" s="83" customFormat="1" ht="33.75">
      <c r="A8" s="598"/>
      <c r="B8" s="598"/>
      <c r="C8" s="598"/>
      <c r="D8" s="598"/>
      <c r="E8" s="598"/>
      <c r="F8" s="598"/>
      <c r="G8" s="598"/>
      <c r="H8" s="598"/>
      <c r="I8" s="598"/>
      <c r="J8" s="598"/>
      <c r="K8" s="598"/>
      <c r="L8" s="598"/>
      <c r="M8" s="598"/>
      <c r="N8" s="598"/>
      <c r="O8" s="598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</row>
    <row r="9" spans="1:36" s="83" customFormat="1" ht="33.75">
      <c r="A9" s="598"/>
      <c r="B9" s="598"/>
      <c r="C9" s="598"/>
      <c r="D9" s="598"/>
      <c r="E9" s="598"/>
      <c r="F9" s="598"/>
      <c r="G9" s="598"/>
      <c r="H9" s="598"/>
      <c r="I9" s="598"/>
      <c r="J9" s="598"/>
      <c r="K9" s="598"/>
      <c r="L9" s="598"/>
      <c r="M9" s="598"/>
      <c r="N9" s="598"/>
      <c r="O9" s="598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</row>
    <row r="10" spans="1:36" s="83" customFormat="1" ht="25.5">
      <c r="A10" s="599"/>
      <c r="B10" s="599"/>
      <c r="C10" s="599"/>
      <c r="D10" s="599"/>
      <c r="E10" s="599"/>
      <c r="F10" s="599"/>
      <c r="G10" s="599"/>
      <c r="H10" s="599"/>
      <c r="I10" s="599"/>
      <c r="J10" s="599"/>
      <c r="K10" s="599"/>
      <c r="L10" s="599"/>
      <c r="M10" s="599"/>
      <c r="N10" s="599"/>
      <c r="O10" s="599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  <c r="AA10" s="85"/>
      <c r="AB10" s="85"/>
      <c r="AC10" s="85"/>
      <c r="AD10" s="85"/>
      <c r="AE10" s="85"/>
      <c r="AF10" s="85"/>
      <c r="AG10" s="85"/>
      <c r="AH10" s="85"/>
      <c r="AI10" s="85"/>
      <c r="AJ10" s="85"/>
    </row>
  </sheetData>
  <mergeCells count="2">
    <mergeCell ref="A7:O9"/>
    <mergeCell ref="A10:O10"/>
  </mergeCells>
  <phoneticPr fontId="1" type="noConversion"/>
  <pageMargins left="0.7" right="0.7" top="0.75" bottom="0.75" header="0.3" footer="0.3"/>
  <pageSetup paperSize="9" scale="9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6ECFF-7B5B-44F4-BCF9-9E0C39AC6720}">
  <dimension ref="B1:BC52"/>
  <sheetViews>
    <sheetView showZeros="0" view="pageBreakPreview" topLeftCell="A4" zoomScaleNormal="100" zoomScaleSheetLayoutView="100" workbookViewId="0">
      <selection activeCell="E7" sqref="E7:AH7"/>
    </sheetView>
  </sheetViews>
  <sheetFormatPr defaultColWidth="5.75" defaultRowHeight="20.25"/>
  <cols>
    <col min="1" max="1" width="11.25" style="139" customWidth="1"/>
    <col min="2" max="11" width="4.625" style="139" customWidth="1"/>
    <col min="12" max="12" width="6.25" style="139" customWidth="1"/>
    <col min="13" max="38" width="4.625" style="139" customWidth="1"/>
    <col min="39" max="16384" width="5.75" style="139"/>
  </cols>
  <sheetData>
    <row r="1" spans="2:55" ht="30" customHeight="1" thickBot="1"/>
    <row r="2" spans="2:55" ht="30.95" customHeight="1">
      <c r="B2" s="140"/>
      <c r="C2" s="141"/>
      <c r="D2" s="141"/>
      <c r="E2" s="141"/>
      <c r="F2" s="141"/>
      <c r="G2" s="141"/>
      <c r="H2" s="141"/>
      <c r="I2" s="142"/>
      <c r="J2" s="618" t="s">
        <v>107</v>
      </c>
      <c r="K2" s="619"/>
      <c r="L2" s="143"/>
      <c r="M2" s="143"/>
      <c r="N2" s="143"/>
      <c r="O2" s="143"/>
      <c r="P2" s="143"/>
      <c r="Q2" s="618" t="s">
        <v>108</v>
      </c>
      <c r="R2" s="619"/>
      <c r="S2" s="143"/>
      <c r="T2" s="143"/>
      <c r="U2" s="143"/>
      <c r="V2" s="143"/>
      <c r="W2" s="143"/>
      <c r="X2" s="618" t="s">
        <v>109</v>
      </c>
      <c r="Y2" s="619"/>
      <c r="Z2" s="143"/>
      <c r="AA2" s="143"/>
      <c r="AB2" s="143"/>
      <c r="AC2" s="143"/>
      <c r="AD2" s="143"/>
      <c r="AE2" s="618" t="s">
        <v>110</v>
      </c>
      <c r="AF2" s="619"/>
      <c r="AG2" s="143"/>
      <c r="AH2" s="143"/>
      <c r="AI2" s="141"/>
      <c r="AJ2" s="141"/>
      <c r="AK2" s="144"/>
      <c r="AL2" s="145"/>
    </row>
    <row r="3" spans="2:55" ht="30.95" customHeight="1">
      <c r="B3" s="620" t="s">
        <v>3753</v>
      </c>
      <c r="C3" s="621"/>
      <c r="D3" s="621"/>
      <c r="E3" s="621"/>
      <c r="F3" s="621"/>
      <c r="G3" s="621"/>
      <c r="H3" s="621"/>
      <c r="I3" s="622"/>
      <c r="J3" s="623" t="s">
        <v>111</v>
      </c>
      <c r="K3" s="624"/>
      <c r="L3" s="146"/>
      <c r="M3" s="146"/>
      <c r="N3" s="146"/>
      <c r="O3" s="146"/>
      <c r="P3" s="146"/>
      <c r="Q3" s="623" t="s">
        <v>112</v>
      </c>
      <c r="R3" s="624"/>
      <c r="S3" s="147"/>
      <c r="T3" s="147"/>
      <c r="U3" s="147"/>
      <c r="V3" s="146"/>
      <c r="W3" s="146"/>
      <c r="X3" s="623"/>
      <c r="Y3" s="624"/>
      <c r="Z3" s="146"/>
      <c r="AA3" s="146"/>
      <c r="AB3" s="146"/>
      <c r="AC3" s="146"/>
      <c r="AD3" s="146"/>
      <c r="AE3" s="623"/>
      <c r="AF3" s="624"/>
      <c r="AG3" s="146"/>
      <c r="AH3" s="146"/>
      <c r="AI3" s="148"/>
      <c r="AJ3" s="148"/>
      <c r="AK3" s="149"/>
      <c r="AL3" s="145"/>
    </row>
    <row r="4" spans="2:55" ht="30.95" customHeight="1" thickBot="1">
      <c r="B4" s="150"/>
      <c r="C4" s="151"/>
      <c r="D4" s="151"/>
      <c r="E4" s="151"/>
      <c r="F4" s="151"/>
      <c r="G4" s="151"/>
      <c r="H4" s="151"/>
      <c r="I4" s="152"/>
      <c r="J4" s="613" t="s">
        <v>113</v>
      </c>
      <c r="K4" s="614"/>
      <c r="L4" s="153"/>
      <c r="M4" s="153"/>
      <c r="N4" s="153"/>
      <c r="O4" s="153"/>
      <c r="P4" s="153"/>
      <c r="Q4" s="613" t="s">
        <v>113</v>
      </c>
      <c r="R4" s="614"/>
      <c r="S4" s="153"/>
      <c r="T4" s="153"/>
      <c r="U4" s="153"/>
      <c r="V4" s="153"/>
      <c r="W4" s="153"/>
      <c r="X4" s="613" t="s">
        <v>114</v>
      </c>
      <c r="Y4" s="614"/>
      <c r="Z4" s="153"/>
      <c r="AA4" s="153"/>
      <c r="AB4" s="153"/>
      <c r="AC4" s="153"/>
      <c r="AD4" s="153"/>
      <c r="AE4" s="613" t="s">
        <v>115</v>
      </c>
      <c r="AF4" s="614"/>
      <c r="AG4" s="153"/>
      <c r="AH4" s="153"/>
      <c r="AI4" s="151"/>
      <c r="AJ4" s="151"/>
      <c r="AK4" s="154"/>
      <c r="AL4" s="145"/>
    </row>
    <row r="5" spans="2:55" ht="9.9499999999999993" customHeight="1">
      <c r="B5" s="155"/>
      <c r="AK5" s="156"/>
    </row>
    <row r="6" spans="2:55" ht="24.95" customHeight="1">
      <c r="B6" s="155"/>
      <c r="C6" s="157" t="s">
        <v>3754</v>
      </c>
      <c r="AK6" s="156"/>
    </row>
    <row r="7" spans="2:55" ht="10.5" customHeight="1">
      <c r="B7" s="158"/>
      <c r="C7" s="159"/>
      <c r="D7" s="159"/>
      <c r="E7" s="615"/>
      <c r="F7" s="615"/>
      <c r="G7" s="615"/>
      <c r="H7" s="615"/>
      <c r="I7" s="615"/>
      <c r="J7" s="615"/>
      <c r="K7" s="615"/>
      <c r="L7" s="615"/>
      <c r="M7" s="615"/>
      <c r="N7" s="615"/>
      <c r="O7" s="615"/>
      <c r="P7" s="615"/>
      <c r="Q7" s="615"/>
      <c r="R7" s="615"/>
      <c r="S7" s="615"/>
      <c r="T7" s="615"/>
      <c r="U7" s="615"/>
      <c r="V7" s="615"/>
      <c r="W7" s="615"/>
      <c r="X7" s="615"/>
      <c r="Y7" s="615"/>
      <c r="Z7" s="615"/>
      <c r="AA7" s="615"/>
      <c r="AB7" s="615"/>
      <c r="AC7" s="615"/>
      <c r="AD7" s="615"/>
      <c r="AE7" s="615"/>
      <c r="AF7" s="615"/>
      <c r="AG7" s="615"/>
      <c r="AH7" s="615"/>
      <c r="AI7" s="159"/>
      <c r="AJ7" s="159"/>
      <c r="AK7" s="160"/>
      <c r="AL7" s="161"/>
    </row>
    <row r="8" spans="2:55" s="163" customFormat="1" ht="16.5" customHeight="1">
      <c r="B8" s="162"/>
      <c r="F8" s="164"/>
      <c r="G8" s="165"/>
      <c r="I8" s="166"/>
      <c r="J8" s="603"/>
      <c r="K8" s="603"/>
      <c r="L8" s="603"/>
      <c r="M8" s="603"/>
      <c r="N8" s="168"/>
      <c r="O8" s="165"/>
      <c r="Q8" s="165"/>
      <c r="R8" s="165"/>
      <c r="S8" s="165"/>
      <c r="T8" s="165"/>
      <c r="U8" s="165"/>
      <c r="V8" s="165"/>
      <c r="W8" s="165"/>
      <c r="X8" s="165"/>
      <c r="Y8" s="165"/>
      <c r="Z8" s="604"/>
      <c r="AA8" s="604"/>
      <c r="AB8" s="604"/>
      <c r="AC8" s="604"/>
      <c r="AD8" s="604"/>
      <c r="AE8" s="604"/>
      <c r="AF8" s="604"/>
      <c r="AG8" s="604"/>
      <c r="AI8" s="169"/>
      <c r="AK8" s="170"/>
      <c r="AL8" s="605"/>
      <c r="AM8" s="605"/>
      <c r="AN8" s="605"/>
      <c r="AO8" s="605"/>
      <c r="AP8" s="605"/>
    </row>
    <row r="9" spans="2:55" ht="39.950000000000003" customHeight="1">
      <c r="B9" s="171"/>
      <c r="C9" s="172"/>
      <c r="D9" s="172"/>
      <c r="F9" s="616" t="s">
        <v>17</v>
      </c>
      <c r="G9" s="616"/>
      <c r="H9" s="616"/>
      <c r="I9" s="616"/>
      <c r="J9" s="616"/>
      <c r="K9" s="616"/>
      <c r="L9" s="616"/>
      <c r="M9" s="616"/>
      <c r="N9" s="616"/>
      <c r="O9" s="616"/>
      <c r="P9" s="616"/>
      <c r="Q9" s="616"/>
      <c r="R9" s="616"/>
      <c r="S9" s="616"/>
      <c r="T9" s="616"/>
      <c r="U9" s="616"/>
      <c r="V9" s="616"/>
      <c r="W9" s="616"/>
      <c r="X9" s="616"/>
      <c r="Y9" s="616"/>
      <c r="Z9" s="616"/>
      <c r="AA9" s="616"/>
      <c r="AB9" s="616"/>
      <c r="AC9" s="616"/>
      <c r="AD9" s="616"/>
      <c r="AE9" s="616"/>
      <c r="AF9" s="616"/>
      <c r="AG9" s="616"/>
      <c r="AH9" s="173"/>
      <c r="AI9" s="172"/>
      <c r="AJ9" s="172"/>
      <c r="AK9" s="174"/>
      <c r="AL9" s="161"/>
    </row>
    <row r="10" spans="2:55" s="176" customFormat="1" ht="3.75" customHeight="1">
      <c r="B10" s="175"/>
      <c r="D10" s="165"/>
      <c r="E10" s="177"/>
      <c r="F10" s="616"/>
      <c r="G10" s="616"/>
      <c r="H10" s="616"/>
      <c r="I10" s="616"/>
      <c r="J10" s="616"/>
      <c r="K10" s="616"/>
      <c r="L10" s="616"/>
      <c r="M10" s="616"/>
      <c r="N10" s="616"/>
      <c r="O10" s="616"/>
      <c r="P10" s="616"/>
      <c r="Q10" s="616"/>
      <c r="R10" s="616"/>
      <c r="S10" s="616"/>
      <c r="T10" s="616"/>
      <c r="U10" s="616"/>
      <c r="V10" s="616"/>
      <c r="W10" s="616"/>
      <c r="X10" s="616"/>
      <c r="Y10" s="616"/>
      <c r="Z10" s="616"/>
      <c r="AA10" s="616"/>
      <c r="AB10" s="616"/>
      <c r="AC10" s="616"/>
      <c r="AD10" s="616"/>
      <c r="AE10" s="616"/>
      <c r="AF10" s="616"/>
      <c r="AG10" s="616"/>
      <c r="AH10" s="165"/>
      <c r="AI10" s="165"/>
      <c r="AJ10" s="165"/>
      <c r="AK10" s="178"/>
    </row>
    <row r="11" spans="2:55" s="176" customFormat="1" ht="33" customHeight="1">
      <c r="B11" s="175"/>
      <c r="D11" s="165"/>
      <c r="E11" s="177"/>
      <c r="F11" s="179"/>
      <c r="G11" s="617" t="s">
        <v>116</v>
      </c>
      <c r="H11" s="617"/>
      <c r="I11" s="617"/>
      <c r="J11" s="617"/>
      <c r="K11" s="617"/>
      <c r="L11" s="617"/>
      <c r="M11" s="617"/>
      <c r="N11" s="617"/>
      <c r="O11" s="617"/>
      <c r="P11" s="617"/>
      <c r="Q11" s="617"/>
      <c r="R11" s="617"/>
      <c r="S11" s="617"/>
      <c r="T11" s="617"/>
      <c r="U11" s="617"/>
      <c r="V11" s="617"/>
      <c r="W11" s="617"/>
      <c r="X11" s="617"/>
      <c r="Y11" s="617"/>
      <c r="Z11" s="617"/>
      <c r="AA11" s="617"/>
      <c r="AB11" s="617"/>
      <c r="AC11" s="617"/>
      <c r="AD11" s="617"/>
      <c r="AE11" s="617"/>
      <c r="AF11" s="617"/>
      <c r="AG11" s="165"/>
      <c r="AH11" s="165"/>
      <c r="AI11" s="165"/>
      <c r="AJ11" s="165"/>
      <c r="AK11" s="178"/>
    </row>
    <row r="12" spans="2:55" s="176" customFormat="1" ht="39.950000000000003" customHeight="1">
      <c r="B12" s="175"/>
      <c r="D12" s="165"/>
      <c r="F12" s="180"/>
      <c r="H12" s="181" t="s">
        <v>117</v>
      </c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65"/>
      <c r="AJ12" s="165"/>
      <c r="AK12" s="178"/>
      <c r="AQ12" s="182"/>
      <c r="AR12" s="183"/>
      <c r="AS12" s="184"/>
      <c r="AT12" s="184"/>
      <c r="AU12" s="185"/>
      <c r="AV12" s="185"/>
      <c r="AW12" s="185"/>
      <c r="AX12" s="185"/>
      <c r="AY12" s="185"/>
      <c r="AZ12" s="184"/>
      <c r="BA12" s="184"/>
      <c r="BB12" s="184"/>
      <c r="BC12" s="184"/>
    </row>
    <row r="13" spans="2:55" s="176" customFormat="1" ht="24.95" customHeight="1">
      <c r="B13" s="175"/>
      <c r="D13" s="165"/>
      <c r="E13" s="177"/>
      <c r="I13" s="608" t="s">
        <v>118</v>
      </c>
      <c r="J13" s="608" t="s">
        <v>119</v>
      </c>
      <c r="K13" s="608"/>
      <c r="L13" s="608"/>
      <c r="M13" s="608"/>
      <c r="N13" s="608"/>
      <c r="O13" s="608"/>
      <c r="P13" s="186" t="s">
        <v>120</v>
      </c>
      <c r="Q13" s="187" t="s">
        <v>17</v>
      </c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65"/>
      <c r="AF13" s="165"/>
      <c r="AG13" s="165"/>
      <c r="AH13" s="165"/>
      <c r="AI13" s="165"/>
      <c r="AJ13" s="165"/>
      <c r="AK13" s="178"/>
      <c r="AQ13" s="184"/>
      <c r="AR13" s="188"/>
      <c r="AS13" s="189"/>
      <c r="AT13" s="612"/>
      <c r="AU13" s="612"/>
      <c r="AV13" s="612"/>
      <c r="AW13" s="612"/>
      <c r="AX13" s="612"/>
      <c r="AY13" s="190"/>
      <c r="AZ13" s="190"/>
      <c r="BA13" s="182"/>
      <c r="BB13" s="182"/>
      <c r="BC13" s="182"/>
    </row>
    <row r="14" spans="2:55" s="176" customFormat="1" ht="24.95" customHeight="1">
      <c r="B14" s="175"/>
      <c r="D14" s="165"/>
      <c r="E14" s="177"/>
      <c r="I14" s="608"/>
      <c r="J14" s="608"/>
      <c r="K14" s="608"/>
      <c r="L14" s="608"/>
      <c r="M14" s="608"/>
      <c r="N14" s="608"/>
      <c r="O14" s="608"/>
      <c r="P14" s="186" t="s">
        <v>120</v>
      </c>
      <c r="Q14" s="191" t="s">
        <v>17</v>
      </c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  <c r="AE14" s="165"/>
      <c r="AF14" s="165"/>
      <c r="AG14" s="165"/>
      <c r="AH14" s="165"/>
      <c r="AI14" s="165"/>
      <c r="AJ14" s="165"/>
      <c r="AK14" s="178"/>
      <c r="AQ14" s="184"/>
      <c r="AR14" s="192"/>
      <c r="AS14" s="189"/>
      <c r="AT14" s="189"/>
      <c r="AU14" s="193"/>
      <c r="AV14" s="182"/>
      <c r="AW14" s="182"/>
      <c r="AX14" s="182"/>
      <c r="AY14" s="190"/>
      <c r="AZ14" s="190"/>
      <c r="BA14" s="182"/>
      <c r="BB14" s="182"/>
      <c r="BC14" s="182"/>
    </row>
    <row r="15" spans="2:55" s="176" customFormat="1" ht="24.95" customHeight="1">
      <c r="B15" s="175"/>
      <c r="D15" s="165"/>
      <c r="E15" s="177"/>
      <c r="I15" s="608"/>
      <c r="J15" s="608"/>
      <c r="K15" s="608"/>
      <c r="L15" s="608"/>
      <c r="M15" s="608"/>
      <c r="N15" s="608"/>
      <c r="O15" s="608"/>
      <c r="P15" s="186"/>
      <c r="Q15" s="187"/>
      <c r="T15" s="165"/>
      <c r="U15" s="165"/>
      <c r="V15" s="165"/>
      <c r="W15" s="165"/>
      <c r="X15" s="165"/>
      <c r="Y15" s="165"/>
      <c r="Z15" s="165"/>
      <c r="AA15" s="165"/>
      <c r="AB15" s="165"/>
      <c r="AC15" s="165"/>
      <c r="AD15" s="165"/>
      <c r="AE15" s="165"/>
      <c r="AF15" s="165"/>
      <c r="AG15" s="165"/>
      <c r="AH15" s="165"/>
      <c r="AI15" s="165"/>
      <c r="AJ15" s="165"/>
      <c r="AK15" s="178"/>
      <c r="AQ15" s="184"/>
      <c r="AR15" s="192"/>
      <c r="AS15" s="189"/>
      <c r="AT15" s="189"/>
      <c r="AU15" s="193"/>
      <c r="AV15" s="182"/>
      <c r="AW15" s="182"/>
      <c r="AX15" s="182"/>
      <c r="AY15" s="190"/>
      <c r="AZ15" s="190"/>
      <c r="BA15" s="182"/>
      <c r="BB15" s="182"/>
      <c r="BC15" s="182"/>
    </row>
    <row r="16" spans="2:55" s="176" customFormat="1" ht="24.95" customHeight="1">
      <c r="B16" s="175"/>
      <c r="D16" s="165"/>
      <c r="E16" s="177"/>
      <c r="I16" s="608"/>
      <c r="J16" s="608"/>
      <c r="K16" s="608"/>
      <c r="L16" s="608"/>
      <c r="M16" s="608"/>
      <c r="N16" s="608"/>
      <c r="O16" s="608"/>
      <c r="P16" s="186"/>
      <c r="Q16" s="191"/>
      <c r="T16" s="165"/>
      <c r="U16" s="165"/>
      <c r="V16" s="165"/>
      <c r="W16" s="165"/>
      <c r="X16" s="165"/>
      <c r="Y16" s="165"/>
      <c r="Z16" s="165"/>
      <c r="AA16" s="165"/>
      <c r="AB16" s="165"/>
      <c r="AC16" s="165"/>
      <c r="AD16" s="165"/>
      <c r="AE16" s="165"/>
      <c r="AF16" s="165"/>
      <c r="AG16" s="165"/>
      <c r="AH16" s="165"/>
      <c r="AI16" s="165"/>
      <c r="AJ16" s="165"/>
      <c r="AK16" s="178"/>
      <c r="AQ16" s="184"/>
      <c r="AR16" s="188"/>
      <c r="AS16" s="189"/>
      <c r="AT16" s="612"/>
      <c r="AU16" s="612"/>
      <c r="AV16" s="612"/>
      <c r="AW16" s="612"/>
      <c r="AX16" s="612"/>
      <c r="AY16" s="190"/>
      <c r="AZ16" s="190"/>
      <c r="BA16" s="182"/>
      <c r="BB16" s="182"/>
      <c r="BC16" s="182"/>
    </row>
    <row r="17" spans="2:55" s="176" customFormat="1" ht="24.95" customHeight="1">
      <c r="B17" s="175"/>
      <c r="D17" s="165"/>
      <c r="E17" s="177"/>
      <c r="I17" s="608"/>
      <c r="J17" s="608"/>
      <c r="K17" s="608"/>
      <c r="L17" s="608"/>
      <c r="M17" s="608"/>
      <c r="N17" s="168"/>
      <c r="O17" s="168"/>
      <c r="P17" s="186"/>
      <c r="Q17" s="187"/>
      <c r="T17" s="165"/>
      <c r="U17" s="165"/>
      <c r="V17" s="165"/>
      <c r="W17" s="165"/>
      <c r="X17" s="165"/>
      <c r="Y17" s="165"/>
      <c r="Z17" s="165"/>
      <c r="AA17" s="165"/>
      <c r="AB17" s="165"/>
      <c r="AC17" s="165"/>
      <c r="AD17" s="165"/>
      <c r="AE17" s="165"/>
      <c r="AF17" s="165"/>
      <c r="AG17" s="165"/>
      <c r="AH17" s="165"/>
      <c r="AI17" s="165"/>
      <c r="AJ17" s="165"/>
      <c r="AK17" s="178"/>
      <c r="AQ17" s="184"/>
      <c r="AR17" s="192"/>
      <c r="AS17" s="189"/>
      <c r="AT17" s="189"/>
      <c r="AU17" s="193"/>
      <c r="AV17" s="182"/>
      <c r="AW17" s="182"/>
      <c r="AX17" s="182"/>
      <c r="AY17" s="190"/>
      <c r="AZ17" s="190"/>
      <c r="BA17" s="182"/>
      <c r="BB17" s="182"/>
      <c r="BC17" s="182"/>
    </row>
    <row r="18" spans="2:55" s="176" customFormat="1" ht="24.95" customHeight="1">
      <c r="B18" s="175"/>
      <c r="D18" s="165"/>
      <c r="E18" s="177"/>
      <c r="I18" s="608"/>
      <c r="J18" s="608"/>
      <c r="K18" s="608"/>
      <c r="L18" s="608"/>
      <c r="M18" s="608"/>
      <c r="N18" s="168"/>
      <c r="O18" s="168"/>
      <c r="P18" s="186"/>
      <c r="Q18" s="191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165"/>
      <c r="AH18" s="165"/>
      <c r="AI18" s="165"/>
      <c r="AJ18" s="165"/>
      <c r="AK18" s="178"/>
      <c r="AQ18" s="184"/>
      <c r="AR18" s="188"/>
      <c r="AS18" s="189"/>
      <c r="AT18" s="612"/>
      <c r="AU18" s="612"/>
      <c r="AV18" s="612"/>
      <c r="AW18" s="612"/>
      <c r="AX18" s="612"/>
      <c r="AY18" s="190"/>
      <c r="AZ18" s="190"/>
      <c r="BA18" s="182"/>
      <c r="BB18" s="182"/>
      <c r="BC18" s="182"/>
    </row>
    <row r="19" spans="2:55" s="176" customFormat="1" ht="36" customHeight="1">
      <c r="B19" s="175"/>
      <c r="D19" s="165"/>
      <c r="E19" s="177"/>
      <c r="I19" s="167"/>
      <c r="J19" s="603"/>
      <c r="K19" s="603"/>
      <c r="L19" s="603"/>
      <c r="M19" s="603"/>
      <c r="N19" s="186"/>
      <c r="O19" s="191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E19" s="165"/>
      <c r="AF19" s="165"/>
      <c r="AG19" s="165"/>
      <c r="AH19" s="165"/>
      <c r="AI19" s="165"/>
      <c r="AJ19" s="165"/>
      <c r="AK19" s="178"/>
      <c r="AQ19" s="184"/>
      <c r="AR19" s="192"/>
      <c r="AS19" s="189"/>
      <c r="AT19" s="189"/>
      <c r="AU19" s="193"/>
      <c r="AV19" s="182"/>
      <c r="AW19" s="182"/>
      <c r="AX19" s="182"/>
      <c r="AY19" s="190"/>
      <c r="AZ19" s="190"/>
      <c r="BA19" s="182"/>
      <c r="BB19" s="182"/>
      <c r="BC19" s="182"/>
    </row>
    <row r="20" spans="2:55" s="176" customFormat="1" ht="39.950000000000003" customHeight="1">
      <c r="B20" s="175"/>
      <c r="D20" s="165"/>
      <c r="F20" s="179"/>
      <c r="H20" s="181" t="s">
        <v>121</v>
      </c>
      <c r="J20" s="179"/>
      <c r="N20" s="194"/>
      <c r="AK20" s="195"/>
    </row>
    <row r="21" spans="2:55" s="163" customFormat="1" ht="24.95" customHeight="1">
      <c r="B21" s="162"/>
      <c r="F21" s="164"/>
      <c r="G21" s="165"/>
      <c r="I21" s="611" t="s">
        <v>118</v>
      </c>
      <c r="J21" s="611" t="s">
        <v>122</v>
      </c>
      <c r="K21" s="611"/>
      <c r="L21" s="611"/>
      <c r="M21" s="611"/>
      <c r="N21" s="148" t="s">
        <v>120</v>
      </c>
      <c r="O21" s="196" t="str">
        <f t="shared" ref="O21:O26" ca="1" si="0">"금"&amp;NUMBERSTRING(Z21,1)&amp;"원"</f>
        <v>금오억일천구백칠십사만육천사백삼십오원</v>
      </c>
      <c r="P21" s="197"/>
      <c r="Q21" s="198"/>
      <c r="R21" s="198"/>
      <c r="S21" s="198"/>
      <c r="T21" s="198"/>
      <c r="U21" s="198"/>
      <c r="V21" s="198"/>
      <c r="W21" s="198"/>
      <c r="X21" s="198"/>
      <c r="Y21" s="198"/>
      <c r="Z21" s="609">
        <f ca="1">Z23+Z25</f>
        <v>519746435</v>
      </c>
      <c r="AA21" s="609"/>
      <c r="AB21" s="609"/>
      <c r="AC21" s="609"/>
      <c r="AD21" s="609"/>
      <c r="AE21" s="609"/>
      <c r="AF21" s="609"/>
      <c r="AG21" s="609"/>
      <c r="AI21" s="169"/>
      <c r="AK21" s="170"/>
      <c r="AL21" s="605"/>
      <c r="AM21" s="605"/>
      <c r="AN21" s="605"/>
      <c r="AO21" s="605"/>
      <c r="AP21" s="605"/>
    </row>
    <row r="22" spans="2:55" s="163" customFormat="1" ht="24.95" customHeight="1">
      <c r="B22" s="162"/>
      <c r="F22" s="164"/>
      <c r="G22" s="165"/>
      <c r="I22" s="611"/>
      <c r="J22" s="611"/>
      <c r="K22" s="611"/>
      <c r="L22" s="611"/>
      <c r="M22" s="611"/>
      <c r="N22" s="148" t="s">
        <v>120</v>
      </c>
      <c r="O22" s="199" t="str">
        <f t="shared" ca="1" si="0"/>
        <v>금사억칠천칠백사십일만삼천사백칠십칠원</v>
      </c>
      <c r="P22" s="197"/>
      <c r="Q22" s="198"/>
      <c r="R22" s="198"/>
      <c r="S22" s="198"/>
      <c r="T22" s="198"/>
      <c r="U22" s="198"/>
      <c r="V22" s="198"/>
      <c r="W22" s="198"/>
      <c r="X22" s="198"/>
      <c r="Y22" s="198"/>
      <c r="Z22" s="610">
        <f ca="1">Z24+Z26</f>
        <v>477413477</v>
      </c>
      <c r="AA22" s="610"/>
      <c r="AB22" s="610"/>
      <c r="AC22" s="610"/>
      <c r="AD22" s="610"/>
      <c r="AE22" s="610"/>
      <c r="AF22" s="610"/>
      <c r="AG22" s="610"/>
      <c r="AI22" s="169"/>
      <c r="AK22" s="170"/>
      <c r="AL22" s="605"/>
      <c r="AM22" s="605"/>
      <c r="AN22" s="605"/>
      <c r="AO22" s="605"/>
      <c r="AP22" s="605"/>
    </row>
    <row r="23" spans="2:55" s="163" customFormat="1" ht="24.95" customHeight="1">
      <c r="B23" s="162"/>
      <c r="F23" s="164"/>
      <c r="G23" s="165"/>
      <c r="I23" s="608" t="s">
        <v>118</v>
      </c>
      <c r="J23" s="608" t="s">
        <v>123</v>
      </c>
      <c r="K23" s="608"/>
      <c r="L23" s="608"/>
      <c r="M23" s="608"/>
      <c r="N23" s="168" t="s">
        <v>120</v>
      </c>
      <c r="O23" s="196" t="str">
        <f t="shared" ca="1" si="0"/>
        <v>금이억사천이만오천이백원</v>
      </c>
      <c r="P23" s="197"/>
      <c r="Q23" s="198"/>
      <c r="R23" s="198"/>
      <c r="S23" s="198"/>
      <c r="T23" s="198"/>
      <c r="U23" s="198"/>
      <c r="V23" s="198"/>
      <c r="W23" s="198"/>
      <c r="X23" s="198"/>
      <c r="Y23" s="198"/>
      <c r="Z23" s="609">
        <f ca="1">원가계산!E29</f>
        <v>240025200</v>
      </c>
      <c r="AA23" s="609"/>
      <c r="AB23" s="609"/>
      <c r="AC23" s="609"/>
      <c r="AD23" s="609"/>
      <c r="AE23" s="609"/>
      <c r="AF23" s="609"/>
      <c r="AG23" s="609"/>
      <c r="AI23" s="169"/>
      <c r="AK23" s="170"/>
      <c r="AL23" s="605"/>
      <c r="AM23" s="605"/>
      <c r="AN23" s="605"/>
      <c r="AO23" s="605"/>
      <c r="AP23" s="605"/>
    </row>
    <row r="24" spans="2:55" s="163" customFormat="1" ht="24.95" customHeight="1">
      <c r="B24" s="162"/>
      <c r="F24" s="164"/>
      <c r="G24" s="165"/>
      <c r="I24" s="608"/>
      <c r="J24" s="608"/>
      <c r="K24" s="608"/>
      <c r="L24" s="608"/>
      <c r="M24" s="608"/>
      <c r="N24" s="168" t="s">
        <v>120</v>
      </c>
      <c r="O24" s="199" t="str">
        <f t="shared" ca="1" si="0"/>
        <v>금이억육천구십만원</v>
      </c>
      <c r="P24" s="197"/>
      <c r="Q24" s="198"/>
      <c r="R24" s="198"/>
      <c r="S24" s="198"/>
      <c r="T24" s="198"/>
      <c r="U24" s="198"/>
      <c r="V24" s="198"/>
      <c r="W24" s="198"/>
      <c r="X24" s="198"/>
      <c r="Y24" s="198"/>
      <c r="Z24" s="610">
        <f ca="1">원가계산!F29</f>
        <v>260900000</v>
      </c>
      <c r="AA24" s="610"/>
      <c r="AB24" s="610"/>
      <c r="AC24" s="610"/>
      <c r="AD24" s="610"/>
      <c r="AE24" s="610"/>
      <c r="AF24" s="610"/>
      <c r="AG24" s="610"/>
      <c r="AI24" s="169"/>
      <c r="AK24" s="170"/>
      <c r="AL24" s="605"/>
      <c r="AM24" s="605"/>
      <c r="AN24" s="605"/>
      <c r="AO24" s="605"/>
      <c r="AP24" s="605"/>
    </row>
    <row r="25" spans="2:55" s="163" customFormat="1" ht="24.95" customHeight="1">
      <c r="B25" s="162"/>
      <c r="F25" s="164"/>
      <c r="G25" s="165"/>
      <c r="I25" s="608" t="s">
        <v>118</v>
      </c>
      <c r="J25" s="608" t="s">
        <v>124</v>
      </c>
      <c r="K25" s="608"/>
      <c r="L25" s="608"/>
      <c r="M25" s="608"/>
      <c r="N25" s="168" t="s">
        <v>120</v>
      </c>
      <c r="O25" s="196" t="str">
        <f t="shared" si="0"/>
        <v>금이억칠천구백칠십이만일천이백삼십오원</v>
      </c>
      <c r="P25" s="197"/>
      <c r="Q25" s="198"/>
      <c r="R25" s="198"/>
      <c r="S25" s="198"/>
      <c r="T25" s="198"/>
      <c r="U25" s="198"/>
      <c r="V25" s="198"/>
      <c r="W25" s="198"/>
      <c r="X25" s="198"/>
      <c r="Y25" s="198"/>
      <c r="Z25" s="609">
        <f>원가계산!E35</f>
        <v>279721235</v>
      </c>
      <c r="AA25" s="609"/>
      <c r="AB25" s="609"/>
      <c r="AC25" s="609"/>
      <c r="AD25" s="609"/>
      <c r="AE25" s="609"/>
      <c r="AF25" s="609"/>
      <c r="AG25" s="609"/>
      <c r="AI25" s="169"/>
      <c r="AK25" s="170"/>
      <c r="AL25" s="605"/>
      <c r="AM25" s="605"/>
      <c r="AN25" s="605"/>
      <c r="AO25" s="605"/>
      <c r="AP25" s="605"/>
    </row>
    <row r="26" spans="2:55" s="163" customFormat="1" ht="24.95" customHeight="1">
      <c r="B26" s="162"/>
      <c r="F26" s="164"/>
      <c r="G26" s="165"/>
      <c r="I26" s="608"/>
      <c r="J26" s="608"/>
      <c r="K26" s="608"/>
      <c r="L26" s="608"/>
      <c r="M26" s="608"/>
      <c r="N26" s="168" t="s">
        <v>120</v>
      </c>
      <c r="O26" s="199" t="str">
        <f t="shared" ca="1" si="0"/>
        <v>금이억일천육백오십일만삼천사백칠십칠원</v>
      </c>
      <c r="P26" s="197"/>
      <c r="Q26" s="198"/>
      <c r="R26" s="198"/>
      <c r="S26" s="198"/>
      <c r="T26" s="198"/>
      <c r="U26" s="198"/>
      <c r="V26" s="198"/>
      <c r="W26" s="198"/>
      <c r="X26" s="198"/>
      <c r="Y26" s="198"/>
      <c r="Z26" s="610">
        <f ca="1">원가계산!F35</f>
        <v>216513477</v>
      </c>
      <c r="AA26" s="610"/>
      <c r="AB26" s="610"/>
      <c r="AC26" s="610"/>
      <c r="AD26" s="610"/>
      <c r="AE26" s="610"/>
      <c r="AF26" s="610"/>
      <c r="AG26" s="610"/>
      <c r="AI26" s="169"/>
      <c r="AK26" s="170"/>
      <c r="AL26" s="605"/>
      <c r="AM26" s="605"/>
      <c r="AN26" s="605"/>
      <c r="AO26" s="605"/>
      <c r="AP26" s="605"/>
    </row>
    <row r="27" spans="2:55" s="163" customFormat="1" ht="36.950000000000003" customHeight="1">
      <c r="B27" s="162"/>
      <c r="F27" s="164"/>
      <c r="G27" s="165"/>
      <c r="I27" s="166"/>
      <c r="J27" s="603"/>
      <c r="K27" s="603"/>
      <c r="L27" s="603"/>
      <c r="M27" s="603"/>
      <c r="N27" s="168"/>
      <c r="O27" s="165"/>
      <c r="Q27" s="165"/>
      <c r="R27" s="165"/>
      <c r="S27" s="165"/>
      <c r="T27" s="165"/>
      <c r="U27" s="165"/>
      <c r="V27" s="165"/>
      <c r="W27" s="165"/>
      <c r="X27" s="165"/>
      <c r="Y27" s="165"/>
      <c r="Z27" s="604"/>
      <c r="AA27" s="604"/>
      <c r="AB27" s="604"/>
      <c r="AC27" s="604"/>
      <c r="AD27" s="604"/>
      <c r="AE27" s="604"/>
      <c r="AF27" s="604"/>
      <c r="AG27" s="604"/>
      <c r="AI27" s="169"/>
      <c r="AK27" s="170"/>
      <c r="AL27" s="605"/>
      <c r="AM27" s="605"/>
      <c r="AN27" s="605"/>
      <c r="AO27" s="605"/>
      <c r="AP27" s="605"/>
    </row>
    <row r="28" spans="2:55" ht="7.5" customHeight="1" thickBot="1">
      <c r="B28" s="200"/>
      <c r="C28" s="201"/>
      <c r="D28" s="201"/>
      <c r="E28" s="201"/>
      <c r="F28" s="201"/>
      <c r="G28" s="201"/>
      <c r="H28" s="201"/>
      <c r="I28" s="201"/>
      <c r="J28" s="201"/>
      <c r="K28" s="201"/>
      <c r="L28" s="201"/>
      <c r="M28" s="201"/>
      <c r="N28" s="201"/>
      <c r="O28" s="201"/>
      <c r="P28" s="201"/>
      <c r="Q28" s="201"/>
      <c r="R28" s="201"/>
      <c r="S28" s="201"/>
      <c r="T28" s="201"/>
      <c r="U28" s="201"/>
      <c r="V28" s="201"/>
      <c r="W28" s="201"/>
      <c r="X28" s="201"/>
      <c r="Y28" s="201"/>
      <c r="Z28" s="201"/>
      <c r="AA28" s="201"/>
      <c r="AB28" s="201"/>
      <c r="AC28" s="201"/>
      <c r="AD28" s="201"/>
      <c r="AE28" s="201"/>
      <c r="AF28" s="201"/>
      <c r="AG28" s="201"/>
      <c r="AH28" s="201"/>
      <c r="AI28" s="201"/>
      <c r="AJ28" s="201"/>
      <c r="AK28" s="202"/>
      <c r="AL28" s="203"/>
    </row>
    <row r="29" spans="2:55" ht="30" customHeight="1">
      <c r="B29" s="203"/>
      <c r="C29" s="203"/>
      <c r="K29" s="203"/>
      <c r="L29" s="203"/>
      <c r="M29" s="203"/>
      <c r="N29" s="203"/>
      <c r="O29" s="203"/>
      <c r="P29" s="203"/>
      <c r="Q29" s="203"/>
      <c r="R29" s="203"/>
      <c r="S29" s="203"/>
      <c r="T29" s="203"/>
      <c r="U29" s="203"/>
      <c r="V29" s="203"/>
      <c r="W29" s="203"/>
      <c r="X29" s="203"/>
      <c r="Y29" s="606"/>
      <c r="Z29" s="606"/>
      <c r="AA29" s="606"/>
      <c r="AB29" s="606"/>
      <c r="AC29" s="606"/>
      <c r="AD29" s="606"/>
      <c r="AE29" s="606"/>
      <c r="AF29" s="606"/>
      <c r="AG29" s="606"/>
      <c r="AH29" s="606"/>
      <c r="AI29" s="606"/>
      <c r="AJ29" s="203"/>
      <c r="AK29" s="203"/>
      <c r="AL29" s="203"/>
    </row>
    <row r="30" spans="2:55" ht="30" customHeight="1">
      <c r="B30" s="203"/>
      <c r="C30" s="204"/>
      <c r="D30" s="203"/>
      <c r="E30" s="203"/>
      <c r="F30" s="203"/>
      <c r="G30" s="203"/>
      <c r="H30" s="203"/>
      <c r="I30" s="203"/>
      <c r="J30" s="203"/>
      <c r="K30" s="203"/>
      <c r="L30" s="203"/>
      <c r="M30" s="203"/>
      <c r="N30" s="203"/>
      <c r="O30" s="203"/>
      <c r="P30" s="203"/>
      <c r="Q30" s="203"/>
      <c r="R30" s="203"/>
      <c r="S30" s="203"/>
      <c r="T30" s="203"/>
      <c r="U30" s="203"/>
      <c r="V30" s="203"/>
      <c r="W30" s="203"/>
      <c r="X30" s="203"/>
      <c r="Y30" s="203"/>
      <c r="Z30" s="607"/>
      <c r="AA30" s="607"/>
      <c r="AB30" s="607"/>
      <c r="AC30" s="607"/>
      <c r="AD30" s="607"/>
      <c r="AE30" s="607"/>
      <c r="AF30" s="607"/>
      <c r="AG30" s="607"/>
      <c r="AH30" s="203"/>
      <c r="AI30" s="203"/>
      <c r="AJ30" s="203"/>
      <c r="AK30" s="203"/>
      <c r="AL30" s="203"/>
    </row>
    <row r="31" spans="2:55" ht="30" customHeight="1">
      <c r="B31" s="203"/>
      <c r="C31" s="203"/>
      <c r="D31" s="203"/>
      <c r="E31" s="203"/>
      <c r="F31" s="203"/>
      <c r="G31" s="203"/>
      <c r="H31" s="203"/>
      <c r="I31" s="203"/>
      <c r="J31" s="203"/>
      <c r="K31" s="203"/>
      <c r="L31" s="203"/>
      <c r="M31" s="203"/>
      <c r="N31" s="203"/>
      <c r="O31" s="203"/>
      <c r="P31" s="203"/>
      <c r="Q31" s="203"/>
      <c r="R31" s="203"/>
      <c r="S31" s="203"/>
      <c r="T31" s="203"/>
      <c r="U31" s="203"/>
      <c r="V31" s="203"/>
      <c r="W31" s="203"/>
      <c r="X31" s="203"/>
      <c r="Y31" s="203"/>
      <c r="Z31" s="607"/>
      <c r="AA31" s="607"/>
      <c r="AB31" s="607"/>
      <c r="AC31" s="607"/>
      <c r="AD31" s="607"/>
      <c r="AE31" s="607"/>
      <c r="AF31" s="607"/>
      <c r="AG31" s="607"/>
      <c r="AH31" s="203"/>
      <c r="AI31" s="203"/>
      <c r="AJ31" s="203"/>
      <c r="AK31" s="203"/>
      <c r="AL31" s="203"/>
    </row>
    <row r="32" spans="2:55" ht="30" customHeight="1">
      <c r="B32" s="203"/>
      <c r="C32" s="204"/>
      <c r="D32" s="205"/>
      <c r="E32" s="205"/>
      <c r="F32" s="205"/>
      <c r="G32" s="205"/>
      <c r="H32" s="205"/>
      <c r="I32" s="601"/>
      <c r="J32" s="601"/>
      <c r="K32" s="601"/>
      <c r="L32" s="601"/>
      <c r="M32" s="601"/>
      <c r="N32" s="601"/>
      <c r="O32" s="601"/>
      <c r="P32" s="601"/>
      <c r="Q32" s="601"/>
      <c r="R32" s="601"/>
      <c r="S32" s="601"/>
      <c r="T32" s="601"/>
      <c r="U32" s="601"/>
      <c r="V32" s="601"/>
      <c r="W32" s="601"/>
      <c r="X32" s="601"/>
      <c r="Y32" s="601"/>
      <c r="Z32" s="601"/>
      <c r="AA32" s="206"/>
      <c r="AB32" s="206"/>
      <c r="AC32" s="203"/>
      <c r="AD32" s="203"/>
      <c r="AE32" s="203"/>
      <c r="AF32" s="203"/>
      <c r="AG32" s="203"/>
      <c r="AH32" s="203"/>
      <c r="AI32" s="203"/>
      <c r="AJ32" s="203"/>
      <c r="AK32" s="203"/>
      <c r="AL32" s="203"/>
    </row>
    <row r="33" spans="2:38" ht="30" customHeight="1">
      <c r="B33" s="204"/>
      <c r="C33" s="203"/>
      <c r="D33" s="205"/>
      <c r="E33" s="205"/>
      <c r="F33" s="205"/>
      <c r="G33" s="602"/>
      <c r="H33" s="602"/>
      <c r="I33" s="602"/>
      <c r="J33" s="602"/>
      <c r="K33" s="602"/>
      <c r="L33" s="602"/>
      <c r="M33" s="602"/>
      <c r="N33" s="602"/>
      <c r="O33" s="602"/>
      <c r="P33" s="602"/>
      <c r="Q33" s="602"/>
      <c r="R33" s="602"/>
      <c r="S33" s="602"/>
      <c r="T33" s="602"/>
      <c r="U33" s="602"/>
      <c r="V33" s="602"/>
      <c r="W33" s="602"/>
      <c r="X33" s="602"/>
      <c r="Y33" s="602"/>
      <c r="Z33" s="602"/>
      <c r="AA33" s="602"/>
      <c r="AB33" s="602"/>
      <c r="AC33" s="602"/>
      <c r="AD33" s="602"/>
      <c r="AE33" s="602"/>
      <c r="AF33" s="602"/>
      <c r="AG33" s="207"/>
      <c r="AH33" s="207"/>
      <c r="AI33" s="203"/>
      <c r="AJ33" s="203"/>
      <c r="AK33" s="203"/>
      <c r="AL33" s="203"/>
    </row>
    <row r="34" spans="2:38" ht="30" customHeight="1">
      <c r="B34" s="203"/>
      <c r="C34" s="203"/>
      <c r="D34" s="203"/>
      <c r="E34" s="203"/>
      <c r="F34" s="203"/>
      <c r="G34" s="203"/>
      <c r="H34" s="203"/>
      <c r="I34" s="203"/>
      <c r="J34" s="203"/>
      <c r="K34" s="203"/>
      <c r="L34" s="203"/>
      <c r="M34" s="203"/>
      <c r="N34" s="203"/>
      <c r="O34" s="203"/>
      <c r="P34" s="203"/>
      <c r="Q34" s="203"/>
      <c r="R34" s="203"/>
      <c r="S34" s="203"/>
      <c r="T34" s="203"/>
      <c r="U34" s="203"/>
      <c r="V34" s="203"/>
      <c r="W34" s="203"/>
      <c r="X34" s="203"/>
      <c r="Y34" s="203"/>
      <c r="Z34" s="203"/>
      <c r="AA34" s="203"/>
      <c r="AB34" s="203"/>
      <c r="AC34" s="203"/>
      <c r="AD34" s="203"/>
      <c r="AE34" s="203"/>
      <c r="AF34" s="203"/>
      <c r="AG34" s="203"/>
      <c r="AH34" s="203"/>
      <c r="AI34" s="203"/>
      <c r="AJ34" s="203"/>
      <c r="AK34" s="203"/>
      <c r="AL34" s="203"/>
    </row>
    <row r="35" spans="2:38" ht="30" customHeight="1">
      <c r="B35" s="203"/>
      <c r="C35" s="203"/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3"/>
      <c r="X35" s="203"/>
      <c r="Y35" s="203"/>
      <c r="Z35" s="203"/>
      <c r="AA35" s="203"/>
      <c r="AB35" s="203"/>
      <c r="AC35" s="203"/>
      <c r="AD35" s="203"/>
      <c r="AE35" s="203"/>
      <c r="AF35" s="203"/>
      <c r="AG35" s="203"/>
      <c r="AH35" s="203"/>
      <c r="AI35" s="203"/>
      <c r="AJ35" s="203"/>
      <c r="AK35" s="203"/>
      <c r="AL35" s="203"/>
    </row>
    <row r="36" spans="2:38" ht="30" customHeight="1">
      <c r="B36" s="203"/>
      <c r="C36" s="203"/>
      <c r="D36" s="203"/>
      <c r="E36" s="203"/>
      <c r="F36" s="203"/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3"/>
      <c r="S36" s="203"/>
      <c r="T36" s="203"/>
      <c r="U36" s="203"/>
      <c r="V36" s="203"/>
      <c r="W36" s="203"/>
      <c r="X36" s="203"/>
      <c r="Y36" s="203"/>
      <c r="Z36" s="203"/>
      <c r="AA36" s="203"/>
      <c r="AB36" s="203"/>
      <c r="AC36" s="203"/>
      <c r="AD36" s="203"/>
      <c r="AE36" s="203"/>
      <c r="AF36" s="203"/>
      <c r="AG36" s="203"/>
      <c r="AH36" s="203"/>
      <c r="AI36" s="203"/>
      <c r="AJ36" s="203"/>
      <c r="AK36" s="203"/>
      <c r="AL36" s="203"/>
    </row>
    <row r="37" spans="2:38" ht="30" customHeight="1">
      <c r="B37" s="203"/>
      <c r="C37" s="203"/>
      <c r="D37" s="203"/>
      <c r="E37" s="203"/>
      <c r="F37" s="203"/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203"/>
      <c r="R37" s="203"/>
      <c r="S37" s="203"/>
      <c r="T37" s="203"/>
      <c r="U37" s="203"/>
      <c r="V37" s="203"/>
      <c r="W37" s="203"/>
      <c r="X37" s="203"/>
      <c r="Y37" s="203"/>
      <c r="Z37" s="203"/>
      <c r="AA37" s="203"/>
      <c r="AB37" s="203"/>
      <c r="AC37" s="203"/>
      <c r="AD37" s="203"/>
      <c r="AE37" s="203"/>
      <c r="AF37" s="203"/>
      <c r="AG37" s="203"/>
      <c r="AH37" s="203"/>
      <c r="AI37" s="203"/>
      <c r="AJ37" s="203"/>
      <c r="AK37" s="203"/>
      <c r="AL37" s="203"/>
    </row>
    <row r="38" spans="2:38" ht="30" customHeight="1">
      <c r="B38" s="203"/>
      <c r="C38" s="203"/>
      <c r="D38" s="203"/>
      <c r="E38" s="203"/>
      <c r="F38" s="203"/>
      <c r="G38" s="203"/>
      <c r="H38" s="203"/>
      <c r="I38" s="203"/>
      <c r="J38" s="203"/>
      <c r="K38" s="203"/>
      <c r="L38" s="203"/>
      <c r="M38" s="203"/>
      <c r="N38" s="203"/>
      <c r="O38" s="203"/>
      <c r="P38" s="203"/>
      <c r="Q38" s="203"/>
      <c r="R38" s="203"/>
      <c r="S38" s="203"/>
      <c r="T38" s="203"/>
      <c r="U38" s="203"/>
      <c r="V38" s="203"/>
      <c r="W38" s="203"/>
      <c r="X38" s="203"/>
      <c r="Y38" s="203"/>
      <c r="Z38" s="203"/>
      <c r="AA38" s="203"/>
      <c r="AB38" s="203"/>
      <c r="AC38" s="203"/>
      <c r="AD38" s="203"/>
      <c r="AE38" s="203"/>
      <c r="AF38" s="203"/>
      <c r="AG38" s="203"/>
      <c r="AH38" s="203"/>
      <c r="AI38" s="203"/>
      <c r="AJ38" s="203"/>
      <c r="AK38" s="203"/>
      <c r="AL38" s="203"/>
    </row>
    <row r="39" spans="2:38" ht="30" customHeight="1">
      <c r="B39" s="203"/>
      <c r="C39" s="203"/>
      <c r="D39" s="203"/>
      <c r="E39" s="203"/>
      <c r="F39" s="203"/>
      <c r="G39" s="203"/>
      <c r="H39" s="203"/>
      <c r="I39" s="203"/>
      <c r="J39" s="203"/>
      <c r="K39" s="203"/>
      <c r="L39" s="203"/>
      <c r="M39" s="203"/>
      <c r="N39" s="203"/>
      <c r="O39" s="203"/>
      <c r="P39" s="203"/>
      <c r="Q39" s="203"/>
      <c r="R39" s="203"/>
      <c r="S39" s="203"/>
      <c r="T39" s="203"/>
      <c r="U39" s="203"/>
      <c r="V39" s="203"/>
      <c r="W39" s="203"/>
      <c r="X39" s="203"/>
      <c r="Y39" s="203"/>
      <c r="Z39" s="203"/>
      <c r="AA39" s="203"/>
      <c r="AB39" s="203"/>
      <c r="AC39" s="203"/>
      <c r="AD39" s="203"/>
      <c r="AE39" s="203"/>
      <c r="AF39" s="203"/>
      <c r="AG39" s="203"/>
      <c r="AH39" s="203"/>
      <c r="AI39" s="203"/>
      <c r="AJ39" s="203"/>
      <c r="AK39" s="203"/>
      <c r="AL39" s="203"/>
    </row>
    <row r="40" spans="2:38" ht="30" customHeight="1">
      <c r="B40" s="203"/>
      <c r="C40" s="203"/>
      <c r="D40" s="203"/>
      <c r="E40" s="203"/>
      <c r="F40" s="203"/>
      <c r="G40" s="203"/>
      <c r="H40" s="203"/>
      <c r="I40" s="203"/>
      <c r="J40" s="203"/>
      <c r="K40" s="602"/>
      <c r="L40" s="602"/>
      <c r="M40" s="602"/>
      <c r="N40" s="602"/>
      <c r="O40" s="602"/>
      <c r="P40" s="602"/>
      <c r="Q40" s="602"/>
      <c r="R40" s="602"/>
      <c r="S40" s="602"/>
      <c r="T40" s="602"/>
      <c r="U40" s="602"/>
      <c r="V40" s="602"/>
      <c r="W40" s="602"/>
      <c r="X40" s="602"/>
      <c r="Y40" s="203"/>
      <c r="Z40" s="203"/>
      <c r="AA40" s="203"/>
      <c r="AB40" s="203"/>
      <c r="AC40" s="203"/>
      <c r="AD40" s="203"/>
      <c r="AE40" s="203"/>
      <c r="AF40" s="203"/>
      <c r="AG40" s="203"/>
      <c r="AH40" s="203"/>
      <c r="AI40" s="203"/>
      <c r="AJ40" s="203"/>
      <c r="AK40" s="203"/>
      <c r="AL40" s="203"/>
    </row>
    <row r="41" spans="2:38" ht="30" customHeight="1">
      <c r="B41" s="203"/>
      <c r="C41" s="203"/>
      <c r="D41" s="205"/>
      <c r="E41" s="205"/>
      <c r="F41" s="205"/>
      <c r="G41" s="205"/>
      <c r="H41" s="205"/>
      <c r="I41" s="203"/>
      <c r="J41" s="203"/>
      <c r="Y41" s="203"/>
      <c r="Z41" s="203"/>
      <c r="AA41" s="203"/>
      <c r="AB41" s="203"/>
      <c r="AC41" s="203"/>
      <c r="AD41" s="203"/>
      <c r="AE41" s="203"/>
      <c r="AF41" s="203"/>
      <c r="AG41" s="203"/>
      <c r="AH41" s="203"/>
      <c r="AI41" s="203"/>
      <c r="AJ41" s="203"/>
      <c r="AK41" s="203"/>
      <c r="AL41" s="203"/>
    </row>
    <row r="42" spans="2:38" ht="30" customHeight="1">
      <c r="B42" s="203"/>
      <c r="C42" s="203"/>
      <c r="D42" s="203"/>
      <c r="E42" s="203"/>
      <c r="F42" s="203"/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 s="203"/>
      <c r="S42" s="203"/>
      <c r="T42" s="203"/>
      <c r="U42" s="203"/>
      <c r="V42" s="203"/>
      <c r="W42" s="203"/>
      <c r="X42" s="203"/>
      <c r="Y42" s="203"/>
      <c r="Z42" s="203"/>
      <c r="AA42" s="203"/>
      <c r="AB42" s="203"/>
      <c r="AC42" s="203"/>
      <c r="AD42" s="203"/>
      <c r="AE42" s="203"/>
      <c r="AF42" s="203"/>
      <c r="AG42" s="203"/>
      <c r="AH42" s="203"/>
      <c r="AI42" s="203"/>
      <c r="AJ42" s="203"/>
      <c r="AK42" s="203"/>
      <c r="AL42" s="203"/>
    </row>
    <row r="43" spans="2:38" ht="30" customHeight="1">
      <c r="B43" s="203"/>
      <c r="C43" s="203"/>
      <c r="D43" s="203"/>
      <c r="E43" s="203"/>
      <c r="F43" s="203"/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3"/>
      <c r="S43" s="203"/>
      <c r="T43" s="203"/>
      <c r="U43" s="203"/>
      <c r="V43" s="203"/>
      <c r="W43" s="203"/>
      <c r="X43" s="203"/>
      <c r="Y43" s="203"/>
      <c r="Z43" s="203"/>
      <c r="AA43" s="203"/>
      <c r="AB43" s="203"/>
      <c r="AC43" s="203"/>
      <c r="AD43" s="203"/>
      <c r="AE43" s="203"/>
      <c r="AF43" s="203"/>
      <c r="AG43" s="203"/>
      <c r="AH43" s="203"/>
      <c r="AI43" s="203"/>
      <c r="AJ43" s="203"/>
      <c r="AK43" s="203"/>
      <c r="AL43" s="203"/>
    </row>
    <row r="44" spans="2:38" ht="30" customHeight="1">
      <c r="B44" s="203"/>
      <c r="C44" s="203"/>
      <c r="D44" s="203"/>
      <c r="E44" s="203"/>
      <c r="F44" s="203"/>
      <c r="G44" s="203"/>
      <c r="H44" s="203"/>
      <c r="I44" s="203"/>
      <c r="J44" s="203"/>
      <c r="K44" s="203"/>
      <c r="L44" s="203"/>
      <c r="M44" s="203"/>
      <c r="N44" s="203"/>
      <c r="O44" s="203"/>
      <c r="P44" s="203"/>
      <c r="Q44" s="203"/>
      <c r="R44" s="203"/>
      <c r="S44" s="203"/>
      <c r="T44" s="203"/>
      <c r="U44" s="203"/>
      <c r="V44" s="203"/>
      <c r="W44" s="203"/>
      <c r="X44" s="203"/>
      <c r="Y44" s="203"/>
      <c r="Z44" s="203"/>
      <c r="AA44" s="203"/>
      <c r="AB44" s="203"/>
      <c r="AC44" s="203"/>
      <c r="AD44" s="203"/>
      <c r="AE44" s="203"/>
      <c r="AF44" s="203"/>
      <c r="AG44" s="203"/>
      <c r="AH44" s="203"/>
      <c r="AI44" s="203"/>
      <c r="AJ44" s="203"/>
      <c r="AK44" s="203"/>
      <c r="AL44" s="203"/>
    </row>
    <row r="45" spans="2:38" ht="30" customHeight="1">
      <c r="B45" s="203"/>
      <c r="C45" s="204"/>
      <c r="D45" s="203"/>
      <c r="E45" s="203"/>
      <c r="F45" s="203"/>
      <c r="G45" s="203"/>
      <c r="H45" s="203"/>
      <c r="I45" s="203"/>
      <c r="J45" s="203"/>
      <c r="K45" s="203"/>
      <c r="L45" s="203"/>
      <c r="M45" s="203"/>
      <c r="N45" s="203"/>
      <c r="O45" s="203"/>
      <c r="P45" s="203"/>
      <c r="Q45" s="203"/>
      <c r="R45" s="203"/>
      <c r="S45" s="203"/>
      <c r="T45" s="203"/>
      <c r="U45" s="203"/>
      <c r="V45" s="203"/>
      <c r="W45" s="203"/>
      <c r="X45" s="203"/>
      <c r="Y45" s="203"/>
      <c r="Z45" s="203"/>
      <c r="AA45" s="203"/>
      <c r="AB45" s="203"/>
      <c r="AC45" s="203"/>
      <c r="AD45" s="203"/>
      <c r="AE45" s="203"/>
      <c r="AF45" s="203"/>
      <c r="AG45" s="203"/>
      <c r="AH45" s="203"/>
      <c r="AI45" s="203"/>
      <c r="AJ45" s="203"/>
      <c r="AK45" s="203"/>
      <c r="AL45" s="203"/>
    </row>
    <row r="46" spans="2:38" ht="30" customHeight="1">
      <c r="B46" s="203"/>
      <c r="C46" s="203"/>
      <c r="D46" s="203"/>
      <c r="E46" s="203"/>
      <c r="F46" s="203"/>
      <c r="G46" s="203"/>
      <c r="H46" s="203"/>
      <c r="I46" s="203"/>
      <c r="J46" s="203"/>
      <c r="K46" s="203"/>
      <c r="L46" s="203"/>
      <c r="M46" s="203"/>
      <c r="N46" s="203"/>
      <c r="O46" s="203"/>
      <c r="P46" s="203"/>
      <c r="Q46" s="203"/>
      <c r="R46" s="203"/>
      <c r="S46" s="203"/>
      <c r="T46" s="203"/>
      <c r="U46" s="203"/>
      <c r="V46" s="203"/>
      <c r="W46" s="203"/>
      <c r="X46" s="203"/>
      <c r="Y46" s="203"/>
      <c r="Z46" s="203"/>
      <c r="AA46" s="203"/>
      <c r="AB46" s="203"/>
      <c r="AC46" s="203"/>
      <c r="AD46" s="203"/>
      <c r="AE46" s="203"/>
      <c r="AF46" s="203"/>
      <c r="AG46" s="203"/>
      <c r="AH46" s="203"/>
      <c r="AI46" s="203"/>
      <c r="AJ46" s="203"/>
      <c r="AK46" s="203"/>
      <c r="AL46" s="203"/>
    </row>
    <row r="47" spans="2:38" ht="30" customHeight="1">
      <c r="B47" s="203"/>
      <c r="C47" s="203"/>
      <c r="D47" s="203"/>
      <c r="E47" s="203"/>
      <c r="F47" s="203"/>
      <c r="G47" s="203"/>
      <c r="H47" s="203"/>
      <c r="I47" s="203"/>
      <c r="J47" s="203"/>
      <c r="K47" s="203"/>
      <c r="L47" s="203"/>
      <c r="M47" s="203"/>
      <c r="N47" s="203"/>
      <c r="O47" s="203"/>
      <c r="P47" s="203"/>
      <c r="Q47" s="203"/>
      <c r="R47" s="203"/>
      <c r="S47" s="203"/>
      <c r="T47" s="203"/>
      <c r="U47" s="203"/>
      <c r="V47" s="203"/>
      <c r="W47" s="203"/>
      <c r="X47" s="203"/>
      <c r="Y47" s="203"/>
      <c r="Z47" s="203"/>
      <c r="AA47" s="203"/>
      <c r="AB47" s="203"/>
      <c r="AC47" s="203"/>
      <c r="AD47" s="203"/>
      <c r="AE47" s="203"/>
      <c r="AF47" s="203"/>
      <c r="AG47" s="203"/>
      <c r="AH47" s="203"/>
      <c r="AI47" s="203"/>
      <c r="AJ47" s="203"/>
      <c r="AK47" s="203"/>
      <c r="AL47" s="203"/>
    </row>
    <row r="48" spans="2:38" ht="30" customHeight="1">
      <c r="B48" s="203"/>
      <c r="C48" s="203"/>
      <c r="D48" s="203"/>
      <c r="E48" s="203"/>
      <c r="F48" s="203"/>
      <c r="G48" s="203"/>
      <c r="H48" s="203"/>
      <c r="I48" s="203"/>
      <c r="J48" s="203"/>
      <c r="K48" s="203"/>
      <c r="L48" s="203"/>
      <c r="M48" s="203"/>
      <c r="N48" s="203"/>
      <c r="O48" s="203"/>
      <c r="P48" s="203"/>
      <c r="Q48" s="203"/>
      <c r="R48" s="203"/>
      <c r="S48" s="203"/>
      <c r="T48" s="203"/>
      <c r="U48" s="203"/>
      <c r="V48" s="203"/>
      <c r="W48" s="203"/>
      <c r="X48" s="203"/>
      <c r="Y48" s="203"/>
      <c r="Z48" s="203"/>
      <c r="AA48" s="203"/>
      <c r="AB48" s="203"/>
      <c r="AC48" s="203"/>
      <c r="AD48" s="203"/>
      <c r="AE48" s="203"/>
      <c r="AF48" s="203"/>
      <c r="AG48" s="203"/>
      <c r="AH48" s="203"/>
      <c r="AI48" s="203"/>
      <c r="AJ48" s="203"/>
      <c r="AK48" s="203"/>
      <c r="AL48" s="203"/>
    </row>
    <row r="49" spans="2:38" ht="30" customHeight="1">
      <c r="B49" s="203"/>
      <c r="C49" s="203"/>
      <c r="D49" s="203"/>
      <c r="E49" s="203"/>
      <c r="F49" s="203"/>
      <c r="G49" s="203"/>
      <c r="H49" s="203"/>
      <c r="I49" s="203"/>
      <c r="J49" s="203"/>
      <c r="K49" s="203"/>
      <c r="L49" s="203"/>
      <c r="M49" s="203"/>
      <c r="N49" s="203"/>
      <c r="O49" s="203"/>
      <c r="P49" s="203"/>
      <c r="Q49" s="203"/>
      <c r="R49" s="203"/>
      <c r="S49" s="203"/>
      <c r="T49" s="203"/>
      <c r="U49" s="203"/>
      <c r="V49" s="203"/>
      <c r="W49" s="203"/>
      <c r="X49" s="203"/>
      <c r="Y49" s="203"/>
      <c r="Z49" s="203"/>
      <c r="AA49" s="203"/>
      <c r="AB49" s="203"/>
      <c r="AC49" s="203"/>
      <c r="AD49" s="203"/>
      <c r="AE49" s="203"/>
      <c r="AF49" s="203"/>
      <c r="AG49" s="203"/>
      <c r="AH49" s="203"/>
      <c r="AI49" s="203"/>
      <c r="AJ49" s="203"/>
      <c r="AK49" s="203"/>
      <c r="AL49" s="203"/>
    </row>
    <row r="50" spans="2:38" ht="30" customHeight="1">
      <c r="B50" s="203"/>
      <c r="C50" s="203"/>
      <c r="D50" s="203"/>
      <c r="E50" s="203"/>
      <c r="F50" s="203"/>
      <c r="G50" s="203"/>
      <c r="H50" s="203"/>
      <c r="I50" s="203"/>
      <c r="J50" s="203"/>
      <c r="K50" s="203"/>
      <c r="L50" s="203"/>
      <c r="M50" s="203"/>
      <c r="N50" s="203"/>
      <c r="O50" s="203"/>
      <c r="P50" s="203"/>
      <c r="Q50" s="203"/>
      <c r="R50" s="203"/>
      <c r="S50" s="203"/>
      <c r="T50" s="203"/>
      <c r="U50" s="203"/>
      <c r="V50" s="203"/>
      <c r="W50" s="203"/>
      <c r="X50" s="203"/>
      <c r="Y50" s="203"/>
      <c r="Z50" s="203"/>
      <c r="AA50" s="203"/>
      <c r="AB50" s="203"/>
      <c r="AC50" s="203"/>
      <c r="AD50" s="203"/>
      <c r="AE50" s="203"/>
      <c r="AF50" s="203"/>
      <c r="AG50" s="203"/>
      <c r="AH50" s="203"/>
      <c r="AI50" s="203"/>
      <c r="AJ50" s="203"/>
      <c r="AK50" s="203"/>
      <c r="AL50" s="203"/>
    </row>
    <row r="51" spans="2:38" ht="30" customHeight="1">
      <c r="B51" s="203"/>
      <c r="C51" s="203"/>
      <c r="D51" s="203"/>
      <c r="E51" s="203"/>
      <c r="F51" s="203"/>
      <c r="G51" s="203"/>
      <c r="H51" s="203"/>
      <c r="I51" s="203"/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  <c r="U51" s="203"/>
      <c r="V51" s="203"/>
      <c r="W51" s="203"/>
      <c r="X51" s="203"/>
      <c r="Y51" s="203"/>
      <c r="Z51" s="203"/>
      <c r="AA51" s="203"/>
      <c r="AB51" s="203"/>
      <c r="AC51" s="203"/>
      <c r="AD51" s="203"/>
      <c r="AE51" s="203"/>
      <c r="AF51" s="203"/>
      <c r="AG51" s="203"/>
      <c r="AH51" s="203"/>
      <c r="AI51" s="203"/>
      <c r="AJ51" s="203"/>
      <c r="AK51" s="203"/>
      <c r="AL51" s="203"/>
    </row>
    <row r="52" spans="2:38" ht="30" customHeight="1">
      <c r="B52" s="203"/>
      <c r="C52" s="203"/>
      <c r="D52" s="203"/>
      <c r="E52" s="203"/>
      <c r="F52" s="203"/>
      <c r="G52" s="203"/>
      <c r="H52" s="203"/>
      <c r="I52" s="203"/>
      <c r="J52" s="203"/>
      <c r="K52" s="203"/>
      <c r="L52" s="203"/>
      <c r="M52" s="203"/>
      <c r="N52" s="203"/>
      <c r="O52" s="203"/>
      <c r="P52" s="203"/>
      <c r="Q52" s="203"/>
      <c r="R52" s="203"/>
      <c r="S52" s="203"/>
      <c r="T52" s="203"/>
      <c r="U52" s="203"/>
      <c r="V52" s="203"/>
      <c r="W52" s="203"/>
      <c r="X52" s="203"/>
      <c r="Y52" s="203"/>
      <c r="Z52" s="203"/>
      <c r="AA52" s="203"/>
      <c r="AB52" s="203"/>
      <c r="AC52" s="203"/>
      <c r="AD52" s="203"/>
      <c r="AE52" s="203"/>
      <c r="AF52" s="203"/>
      <c r="AG52" s="203"/>
      <c r="AH52" s="203"/>
      <c r="AI52" s="203"/>
      <c r="AJ52" s="203"/>
      <c r="AK52" s="203"/>
      <c r="AL52" s="203"/>
    </row>
  </sheetData>
  <mergeCells count="56">
    <mergeCell ref="J2:K2"/>
    <mergeCell ref="Q2:R2"/>
    <mergeCell ref="X2:Y2"/>
    <mergeCell ref="AE2:AF2"/>
    <mergeCell ref="B3:I3"/>
    <mergeCell ref="J3:K3"/>
    <mergeCell ref="Q3:R3"/>
    <mergeCell ref="X3:Y3"/>
    <mergeCell ref="AE3:AF3"/>
    <mergeCell ref="AT13:AX13"/>
    <mergeCell ref="J4:K4"/>
    <mergeCell ref="Q4:R4"/>
    <mergeCell ref="X4:Y4"/>
    <mergeCell ref="AE4:AF4"/>
    <mergeCell ref="E7:AH7"/>
    <mergeCell ref="J8:M8"/>
    <mergeCell ref="Z8:AG8"/>
    <mergeCell ref="AL8:AP8"/>
    <mergeCell ref="F9:AG10"/>
    <mergeCell ref="G11:AF11"/>
    <mergeCell ref="I13:I14"/>
    <mergeCell ref="J13:O14"/>
    <mergeCell ref="I15:I16"/>
    <mergeCell ref="J15:O16"/>
    <mergeCell ref="AT16:AX16"/>
    <mergeCell ref="I17:I18"/>
    <mergeCell ref="J17:M18"/>
    <mergeCell ref="AT18:AX18"/>
    <mergeCell ref="J19:M19"/>
    <mergeCell ref="I21:I22"/>
    <mergeCell ref="J21:M22"/>
    <mergeCell ref="Z21:AG21"/>
    <mergeCell ref="AL21:AP21"/>
    <mergeCell ref="Z22:AG22"/>
    <mergeCell ref="AL22:AP22"/>
    <mergeCell ref="I23:I24"/>
    <mergeCell ref="J23:M24"/>
    <mergeCell ref="Z23:AG23"/>
    <mergeCell ref="AL23:AP23"/>
    <mergeCell ref="Z24:AG24"/>
    <mergeCell ref="AL24:AP24"/>
    <mergeCell ref="AL27:AP27"/>
    <mergeCell ref="Y29:AI29"/>
    <mergeCell ref="Z30:AG30"/>
    <mergeCell ref="Z31:AG31"/>
    <mergeCell ref="I25:I26"/>
    <mergeCell ref="J25:M26"/>
    <mergeCell ref="Z25:AG25"/>
    <mergeCell ref="AL25:AP25"/>
    <mergeCell ref="Z26:AG26"/>
    <mergeCell ref="AL26:AP26"/>
    <mergeCell ref="I32:Z32"/>
    <mergeCell ref="G33:AF33"/>
    <mergeCell ref="K40:X40"/>
    <mergeCell ref="J27:M27"/>
    <mergeCell ref="Z27:AG27"/>
  </mergeCells>
  <phoneticPr fontId="1" type="noConversion"/>
  <printOptions horizontalCentered="1" verticalCentered="1"/>
  <pageMargins left="0.78740157480314965" right="0.39370078740157483" top="0.59055118110236227" bottom="0.55000000000000004" header="0.51181102362204722" footer="0.44999999999999996"/>
  <pageSetup paperSize="9" scale="7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1FD8A-319D-42E1-B425-F9EC2964ECD6}">
  <sheetPr>
    <tabColor rgb="FFFFC000"/>
    <pageSetUpPr fitToPage="1"/>
  </sheetPr>
  <dimension ref="A1:J36"/>
  <sheetViews>
    <sheetView showZeros="0" tabSelected="1" view="pageBreakPreview" zoomScaleNormal="100" zoomScaleSheetLayoutView="100" workbookViewId="0">
      <selection activeCell="C14" sqref="C14"/>
    </sheetView>
  </sheetViews>
  <sheetFormatPr defaultRowHeight="16.5"/>
  <cols>
    <col min="1" max="1" width="40.5" style="136" customWidth="1"/>
    <col min="2" max="4" width="35" style="137" customWidth="1"/>
    <col min="5" max="5" width="21.5" style="138" customWidth="1"/>
    <col min="6" max="6" width="9" style="133"/>
    <col min="7" max="7" width="24.75" style="133" customWidth="1"/>
    <col min="8" max="16384" width="9" style="133"/>
  </cols>
  <sheetData>
    <row r="1" spans="1:6" s="91" customFormat="1" ht="39">
      <c r="A1" s="625" t="s">
        <v>79</v>
      </c>
      <c r="B1" s="625"/>
      <c r="C1" s="625"/>
      <c r="D1" s="625"/>
      <c r="E1" s="625"/>
    </row>
    <row r="2" spans="1:6" s="92" customFormat="1">
      <c r="A2" s="626" t="s">
        <v>80</v>
      </c>
      <c r="B2" s="628" t="s">
        <v>81</v>
      </c>
      <c r="C2" s="628"/>
      <c r="D2" s="629"/>
      <c r="E2" s="630" t="s">
        <v>82</v>
      </c>
    </row>
    <row r="3" spans="1:6" s="92" customFormat="1" ht="18" thickBot="1">
      <c r="A3" s="627"/>
      <c r="B3" s="93" t="s">
        <v>83</v>
      </c>
      <c r="C3" s="94" t="s">
        <v>84</v>
      </c>
      <c r="D3" s="95" t="s">
        <v>85</v>
      </c>
      <c r="E3" s="631"/>
    </row>
    <row r="4" spans="1:6" s="101" customFormat="1" ht="26.25" customHeight="1">
      <c r="A4" s="96" t="s">
        <v>86</v>
      </c>
      <c r="B4" s="97"/>
      <c r="C4" s="98"/>
      <c r="D4" s="99"/>
      <c r="E4" s="100"/>
    </row>
    <row r="5" spans="1:6" s="107" customFormat="1" ht="26.25" customHeight="1">
      <c r="A5" s="102" t="s">
        <v>87</v>
      </c>
      <c r="B5" s="103">
        <f ca="1">원가계산!E3</f>
        <v>41868228</v>
      </c>
      <c r="C5" s="104">
        <f ca="1">원가계산!F3</f>
        <v>48895473</v>
      </c>
      <c r="D5" s="105">
        <f t="shared" ref="D5:D19" ca="1" si="0">C5-B5</f>
        <v>7027245</v>
      </c>
      <c r="E5" s="106"/>
      <c r="F5" s="101"/>
    </row>
    <row r="6" spans="1:6" s="101" customFormat="1" ht="26.25" customHeight="1">
      <c r="A6" s="108" t="s">
        <v>88</v>
      </c>
      <c r="B6" s="109">
        <f ca="1">원가계산!E7</f>
        <v>98775174</v>
      </c>
      <c r="C6" s="110">
        <f ca="1">원가계산!F7</f>
        <v>106329490</v>
      </c>
      <c r="D6" s="111">
        <f t="shared" ca="1" si="0"/>
        <v>7554316</v>
      </c>
      <c r="E6" s="100"/>
    </row>
    <row r="7" spans="1:6" s="101" customFormat="1" ht="26.25" customHeight="1">
      <c r="A7" s="112" t="s">
        <v>89</v>
      </c>
      <c r="B7" s="103">
        <f ca="1">원가계산!E8</f>
        <v>12939547</v>
      </c>
      <c r="C7" s="104">
        <f ca="1">원가계산!F8</f>
        <v>13929163</v>
      </c>
      <c r="D7" s="113">
        <f t="shared" ca="1" si="0"/>
        <v>989616</v>
      </c>
      <c r="E7" s="106"/>
    </row>
    <row r="8" spans="1:6" s="101" customFormat="1" ht="26.25" customHeight="1">
      <c r="A8" s="112" t="s">
        <v>90</v>
      </c>
      <c r="B8" s="103">
        <f ca="1">원가계산!E10</f>
        <v>1540380</v>
      </c>
      <c r="C8" s="104">
        <f ca="1">원가계산!F10</f>
        <v>1281615</v>
      </c>
      <c r="D8" s="113"/>
      <c r="E8" s="106"/>
    </row>
    <row r="9" spans="1:6" s="101" customFormat="1" ht="26.25" customHeight="1">
      <c r="A9" s="112" t="s">
        <v>91</v>
      </c>
      <c r="B9" s="103">
        <f ca="1">원가계산!E11</f>
        <v>4133444</v>
      </c>
      <c r="C9" s="104">
        <f ca="1">원가계산!F11</f>
        <v>4449570</v>
      </c>
      <c r="D9" s="113">
        <f t="shared" ca="1" si="0"/>
        <v>316126</v>
      </c>
      <c r="E9" s="106"/>
    </row>
    <row r="10" spans="1:6" s="101" customFormat="1" ht="26.25" customHeight="1">
      <c r="A10" s="112" t="s">
        <v>92</v>
      </c>
      <c r="B10" s="103">
        <f ca="1">원가계산!E12</f>
        <v>1128318</v>
      </c>
      <c r="C10" s="104">
        <f ca="1">원가계산!F12</f>
        <v>1214612</v>
      </c>
      <c r="D10" s="113">
        <f t="shared" ca="1" si="0"/>
        <v>86294</v>
      </c>
      <c r="E10" s="106"/>
    </row>
    <row r="11" spans="1:6" s="101" customFormat="1" ht="26.25" customHeight="1">
      <c r="A11" s="112" t="s">
        <v>93</v>
      </c>
      <c r="B11" s="103">
        <f>원가계산!E13</f>
        <v>3899173</v>
      </c>
      <c r="C11" s="104">
        <f>원가계산!F13</f>
        <v>3899173</v>
      </c>
      <c r="D11" s="113">
        <f t="shared" si="0"/>
        <v>0</v>
      </c>
      <c r="E11" s="106" t="s">
        <v>94</v>
      </c>
    </row>
    <row r="12" spans="1:6" s="101" customFormat="1" ht="26.25" customHeight="1">
      <c r="A12" s="112" t="s">
        <v>95</v>
      </c>
      <c r="B12" s="103">
        <f>원가계산!E15</f>
        <v>5020394</v>
      </c>
      <c r="C12" s="104">
        <f>원가계산!F15</f>
        <v>5020394</v>
      </c>
      <c r="D12" s="113">
        <f>C12-B12</f>
        <v>0</v>
      </c>
      <c r="E12" s="106" t="s">
        <v>94</v>
      </c>
    </row>
    <row r="13" spans="1:6" s="101" customFormat="1" ht="26.25" customHeight="1">
      <c r="A13" s="112" t="s">
        <v>96</v>
      </c>
      <c r="B13" s="103">
        <f>원가계산!E14</f>
        <v>478428</v>
      </c>
      <c r="C13" s="104">
        <f>원가계산!F14</f>
        <v>478428</v>
      </c>
      <c r="D13" s="113">
        <f>C13-B13</f>
        <v>0</v>
      </c>
      <c r="E13" s="106" t="s">
        <v>94</v>
      </c>
    </row>
    <row r="14" spans="1:6" s="107" customFormat="1" ht="26.25" customHeight="1">
      <c r="A14" s="112" t="s">
        <v>97</v>
      </c>
      <c r="B14" s="103">
        <f>원가계산!E16</f>
        <v>2565979</v>
      </c>
      <c r="C14" s="104">
        <f>원가계산!F16</f>
        <v>2565979</v>
      </c>
      <c r="D14" s="113">
        <f>C14-B14</f>
        <v>0</v>
      </c>
      <c r="E14" s="106" t="s">
        <v>94</v>
      </c>
      <c r="F14" s="101"/>
    </row>
    <row r="15" spans="1:6" s="101" customFormat="1" ht="26.25" customHeight="1">
      <c r="A15" s="112" t="s">
        <v>98</v>
      </c>
      <c r="B15" s="103">
        <f>원가계산!E17</f>
        <v>5583192</v>
      </c>
      <c r="C15" s="104">
        <f>원가계산!F17</f>
        <v>5583192</v>
      </c>
      <c r="D15" s="113">
        <f t="shared" si="0"/>
        <v>0</v>
      </c>
      <c r="E15" s="106"/>
    </row>
    <row r="16" spans="1:6" s="101" customFormat="1" ht="26.25" customHeight="1">
      <c r="A16" s="112" t="s">
        <v>99</v>
      </c>
      <c r="B16" s="103">
        <f ca="1">원가계산!E20</f>
        <v>8907811</v>
      </c>
      <c r="C16" s="104">
        <f ca="1">원가계산!F20</f>
        <v>9810939</v>
      </c>
      <c r="D16" s="113">
        <f ca="1">C16-B16</f>
        <v>903128</v>
      </c>
      <c r="E16" s="106"/>
    </row>
    <row r="17" spans="1:10" s="101" customFormat="1" ht="26.25" customHeight="1">
      <c r="A17" s="112" t="s">
        <v>100</v>
      </c>
      <c r="B17" s="103">
        <f ca="1">원가계산!E24</f>
        <v>186840068</v>
      </c>
      <c r="C17" s="104">
        <f ca="1">원가계산!F24</f>
        <v>203458028</v>
      </c>
      <c r="D17" s="113">
        <f ca="1">C17-B17</f>
        <v>16617960</v>
      </c>
      <c r="E17" s="106"/>
    </row>
    <row r="18" spans="1:10" s="101" customFormat="1" ht="26.25" customHeight="1">
      <c r="A18" s="112" t="s">
        <v>101</v>
      </c>
      <c r="B18" s="103">
        <f ca="1">원가계산!E25</f>
        <v>11210404</v>
      </c>
      <c r="C18" s="104">
        <f ca="1">원가계산!F25</f>
        <v>12207481</v>
      </c>
      <c r="D18" s="113">
        <f t="shared" ca="1" si="0"/>
        <v>997077</v>
      </c>
      <c r="E18" s="106"/>
    </row>
    <row r="19" spans="1:10" s="101" customFormat="1" ht="26.25" customHeight="1">
      <c r="A19" s="114" t="s">
        <v>102</v>
      </c>
      <c r="B19" s="115">
        <f ca="1">원가계산!E26</f>
        <v>20154256</v>
      </c>
      <c r="C19" s="116">
        <f ca="1">원가계산!F26</f>
        <v>21516310</v>
      </c>
      <c r="D19" s="117">
        <f t="shared" ca="1" si="0"/>
        <v>1362054</v>
      </c>
      <c r="E19" s="118"/>
    </row>
    <row r="20" spans="1:10" s="101" customFormat="1" ht="26.25" customHeight="1">
      <c r="A20" s="108" t="s">
        <v>103</v>
      </c>
      <c r="B20" s="109">
        <f ca="1">+B17+B18+B19</f>
        <v>218204728</v>
      </c>
      <c r="C20" s="110">
        <f ca="1">+C17+C18+C19</f>
        <v>237181819</v>
      </c>
      <c r="D20" s="111">
        <f ca="1">+D17+D18+D19</f>
        <v>18977091</v>
      </c>
      <c r="E20" s="100"/>
    </row>
    <row r="21" spans="1:10" s="101" customFormat="1" ht="26.25" customHeight="1">
      <c r="A21" s="112" t="s">
        <v>104</v>
      </c>
      <c r="B21" s="103">
        <f ca="1">INT(B20*10%)</f>
        <v>21820472</v>
      </c>
      <c r="C21" s="104">
        <f ca="1">INT(C20*10%)</f>
        <v>23718181</v>
      </c>
      <c r="D21" s="113">
        <f ca="1">C21-B21</f>
        <v>1897709</v>
      </c>
      <c r="E21" s="106"/>
    </row>
    <row r="22" spans="1:10" s="101" customFormat="1" ht="26.25" customHeight="1">
      <c r="A22" s="102" t="s">
        <v>105</v>
      </c>
      <c r="B22" s="119">
        <f ca="1">+B20+B21</f>
        <v>240025200</v>
      </c>
      <c r="C22" s="120">
        <f ca="1">+C20+C21</f>
        <v>260900000</v>
      </c>
      <c r="D22" s="121">
        <f ca="1">C22-B22</f>
        <v>20874800</v>
      </c>
      <c r="E22" s="106"/>
      <c r="G22" s="122"/>
      <c r="H22" s="122"/>
      <c r="I22" s="123"/>
      <c r="J22" s="122"/>
    </row>
    <row r="23" spans="1:10" s="101" customFormat="1" ht="26.25" customHeight="1">
      <c r="A23" s="124" t="s">
        <v>106</v>
      </c>
      <c r="B23" s="125">
        <f ca="1">B22</f>
        <v>240025200</v>
      </c>
      <c r="C23" s="126">
        <f ca="1">C22</f>
        <v>260900000</v>
      </c>
      <c r="D23" s="127">
        <f ca="1">D22</f>
        <v>20874800</v>
      </c>
      <c r="E23" s="128"/>
      <c r="G23" s="122"/>
      <c r="H23" s="122"/>
      <c r="I23" s="122"/>
    </row>
    <row r="24" spans="1:10">
      <c r="A24" s="129"/>
      <c r="B24" s="130"/>
      <c r="C24" s="130"/>
      <c r="D24" s="131"/>
      <c r="E24" s="132"/>
    </row>
    <row r="25" spans="1:10">
      <c r="A25" s="134"/>
      <c r="B25" s="134"/>
      <c r="C25" s="134"/>
      <c r="D25" s="134"/>
      <c r="E25" s="134"/>
    </row>
    <row r="26" spans="1:10">
      <c r="A26" s="134"/>
      <c r="B26" s="134"/>
      <c r="C26" s="135"/>
      <c r="D26" s="134"/>
      <c r="E26" s="134"/>
    </row>
    <row r="27" spans="1:10">
      <c r="A27" s="134"/>
      <c r="B27" s="134"/>
      <c r="C27" s="134"/>
      <c r="D27" s="134"/>
      <c r="E27" s="134"/>
    </row>
    <row r="28" spans="1:10">
      <c r="A28" s="134"/>
      <c r="B28" s="134"/>
      <c r="C28" s="134"/>
      <c r="D28" s="134"/>
      <c r="E28" s="134"/>
    </row>
    <row r="29" spans="1:10">
      <c r="A29" s="134"/>
      <c r="B29" s="134"/>
      <c r="C29" s="134"/>
      <c r="D29" s="134"/>
      <c r="E29" s="134"/>
    </row>
    <row r="30" spans="1:10">
      <c r="A30" s="134"/>
      <c r="B30" s="134"/>
      <c r="C30" s="134"/>
      <c r="D30" s="134"/>
      <c r="E30" s="134"/>
    </row>
    <row r="31" spans="1:10">
      <c r="A31" s="134"/>
      <c r="B31" s="134"/>
      <c r="C31" s="134"/>
      <c r="D31" s="134"/>
      <c r="E31" s="134"/>
    </row>
    <row r="32" spans="1:10">
      <c r="A32" s="134"/>
      <c r="B32" s="134"/>
      <c r="C32" s="134"/>
      <c r="D32" s="134"/>
      <c r="E32" s="134"/>
    </row>
    <row r="33" spans="1:5">
      <c r="A33" s="134"/>
      <c r="B33" s="134"/>
      <c r="C33" s="134"/>
      <c r="D33" s="134"/>
      <c r="E33" s="134"/>
    </row>
    <row r="34" spans="1:5">
      <c r="A34" s="134"/>
      <c r="B34" s="134"/>
      <c r="C34" s="134"/>
      <c r="D34" s="134"/>
      <c r="E34" s="134"/>
    </row>
    <row r="35" spans="1:5">
      <c r="A35" s="134"/>
      <c r="B35" s="134"/>
      <c r="C35" s="134"/>
      <c r="D35" s="134"/>
      <c r="E35" s="134"/>
    </row>
    <row r="36" spans="1:5">
      <c r="A36" s="134"/>
      <c r="B36" s="134"/>
      <c r="C36" s="134"/>
      <c r="D36" s="134"/>
      <c r="E36" s="134"/>
    </row>
  </sheetData>
  <mergeCells count="4">
    <mergeCell ref="A1:E1"/>
    <mergeCell ref="A2:A3"/>
    <mergeCell ref="B2:D2"/>
    <mergeCell ref="E2:E3"/>
  </mergeCells>
  <phoneticPr fontId="1" type="noConversion"/>
  <printOptions horizontalCentered="1" verticalCentered="1"/>
  <pageMargins left="0.98425196850393704" right="0.70866141732283472" top="0.74803149606299213" bottom="0.74803149606299213" header="0.31496062992125984" footer="0.31496062992125984"/>
  <pageSetup paperSize="9" scale="7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760E7-5E7B-47F5-9A01-D9030540C4C7}">
  <sheetPr>
    <tabColor theme="5"/>
  </sheetPr>
  <dimension ref="A1:T49"/>
  <sheetViews>
    <sheetView showZeros="0" view="pageBreakPreview" zoomScale="115" zoomScaleNormal="100" zoomScaleSheetLayoutView="115" workbookViewId="0">
      <selection activeCell="H25" sqref="H25"/>
    </sheetView>
  </sheetViews>
  <sheetFormatPr defaultColWidth="4.25" defaultRowHeight="16.5"/>
  <cols>
    <col min="1" max="2" width="4.25" style="209"/>
    <col min="3" max="3" width="29.125" style="209" customWidth="1"/>
    <col min="4" max="4" width="3.125" style="209" customWidth="1"/>
    <col min="5" max="7" width="17.75" style="209" customWidth="1"/>
    <col min="8" max="8" width="16.875" style="209" customWidth="1"/>
    <col min="9" max="9" width="3.5" style="209" customWidth="1"/>
    <col min="10" max="10" width="6.125" style="209" bestFit="1" customWidth="1"/>
    <col min="11" max="11" width="1.625" style="209" customWidth="1"/>
    <col min="12" max="12" width="5.375" style="209" bestFit="1" customWidth="1"/>
    <col min="13" max="13" width="3.5" style="209" customWidth="1"/>
    <col min="14" max="14" width="3.875" style="209" bestFit="1" customWidth="1"/>
    <col min="15" max="15" width="1.875" style="209" customWidth="1"/>
    <col min="16" max="16" width="18.5" style="209" customWidth="1"/>
    <col min="17" max="17" width="9" style="209" customWidth="1"/>
    <col min="18" max="18" width="19.375" style="209" bestFit="1" customWidth="1"/>
    <col min="19" max="19" width="16" style="209" bestFit="1" customWidth="1"/>
    <col min="20" max="20" width="14.375" style="209" bestFit="1" customWidth="1"/>
    <col min="21" max="255" width="9" style="209" customWidth="1"/>
    <col min="256" max="16384" width="4.25" style="209"/>
  </cols>
  <sheetData>
    <row r="1" spans="1:18" ht="16.5" customHeight="1">
      <c r="A1" s="646" t="s">
        <v>125</v>
      </c>
      <c r="B1" s="646"/>
      <c r="C1" s="208" t="s">
        <v>126</v>
      </c>
      <c r="D1" s="208"/>
      <c r="E1" s="208"/>
      <c r="F1" s="208"/>
      <c r="G1" s="208"/>
      <c r="H1" s="647"/>
      <c r="I1" s="647"/>
      <c r="J1" s="647"/>
      <c r="K1" s="647"/>
      <c r="L1" s="647"/>
      <c r="M1" s="647"/>
      <c r="N1" s="647"/>
      <c r="O1" s="647"/>
      <c r="P1" s="647"/>
    </row>
    <row r="2" spans="1:18" ht="21" customHeight="1">
      <c r="A2" s="648" t="s">
        <v>127</v>
      </c>
      <c r="B2" s="648"/>
      <c r="C2" s="648"/>
      <c r="D2" s="648" t="s">
        <v>128</v>
      </c>
      <c r="E2" s="649"/>
      <c r="F2" s="211" t="s">
        <v>129</v>
      </c>
      <c r="G2" s="210" t="s">
        <v>130</v>
      </c>
      <c r="H2" s="648" t="s">
        <v>131</v>
      </c>
      <c r="I2" s="648"/>
      <c r="J2" s="648"/>
      <c r="K2" s="648"/>
      <c r="L2" s="648"/>
      <c r="M2" s="648"/>
      <c r="N2" s="648"/>
      <c r="O2" s="648"/>
      <c r="P2" s="210" t="s">
        <v>132</v>
      </c>
    </row>
    <row r="3" spans="1:18" ht="15.6" customHeight="1">
      <c r="A3" s="212"/>
      <c r="B3" s="644" t="s">
        <v>133</v>
      </c>
      <c r="C3" s="213" t="s">
        <v>134</v>
      </c>
      <c r="D3" s="214"/>
      <c r="E3" s="215">
        <f ca="1">공종별집계표!I26</f>
        <v>41868228</v>
      </c>
      <c r="F3" s="216">
        <f ca="1">공종별집계표!I27</f>
        <v>48895473</v>
      </c>
      <c r="G3" s="217">
        <f ca="1">F3-E3</f>
        <v>7027245</v>
      </c>
      <c r="H3" s="218"/>
      <c r="I3" s="219"/>
      <c r="J3" s="220"/>
      <c r="K3" s="220"/>
      <c r="L3" s="220"/>
      <c r="M3" s="219"/>
      <c r="N3" s="219"/>
      <c r="O3" s="221"/>
      <c r="P3" s="222"/>
    </row>
    <row r="4" spans="1:18" ht="15.6" customHeight="1">
      <c r="A4" s="223"/>
      <c r="B4" s="645"/>
      <c r="C4" s="224" t="s">
        <v>135</v>
      </c>
      <c r="D4" s="225"/>
      <c r="E4" s="226"/>
      <c r="F4" s="227"/>
      <c r="G4" s="228"/>
      <c r="H4" s="229"/>
      <c r="I4" s="230"/>
      <c r="J4" s="231"/>
      <c r="K4" s="231"/>
      <c r="L4" s="231"/>
      <c r="M4" s="230"/>
      <c r="N4" s="230"/>
      <c r="O4" s="232"/>
      <c r="P4" s="233"/>
    </row>
    <row r="5" spans="1:18" ht="15.6" customHeight="1">
      <c r="A5" s="223"/>
      <c r="B5" s="645"/>
      <c r="C5" s="224" t="s">
        <v>136</v>
      </c>
      <c r="D5" s="225"/>
      <c r="E5" s="226">
        <v>0</v>
      </c>
      <c r="F5" s="227">
        <v>0</v>
      </c>
      <c r="G5" s="228"/>
      <c r="H5" s="229"/>
      <c r="I5" s="230"/>
      <c r="J5" s="231"/>
      <c r="K5" s="231"/>
      <c r="L5" s="231"/>
      <c r="M5" s="230"/>
      <c r="N5" s="230"/>
      <c r="O5" s="232"/>
      <c r="P5" s="233"/>
      <c r="R5" s="234"/>
    </row>
    <row r="6" spans="1:18" ht="15.6" customHeight="1">
      <c r="A6" s="223" t="s">
        <v>137</v>
      </c>
      <c r="B6" s="645"/>
      <c r="C6" s="224" t="s">
        <v>138</v>
      </c>
      <c r="D6" s="225"/>
      <c r="E6" s="226">
        <f ca="1">E3+E4+E5</f>
        <v>41868228</v>
      </c>
      <c r="F6" s="227">
        <f ca="1">F3+F4+F5</f>
        <v>48895473</v>
      </c>
      <c r="G6" s="228">
        <f ca="1">F6-E6</f>
        <v>7027245</v>
      </c>
      <c r="H6" s="229"/>
      <c r="I6" s="230"/>
      <c r="J6" s="231"/>
      <c r="K6" s="231"/>
      <c r="L6" s="231"/>
      <c r="M6" s="230"/>
      <c r="N6" s="230"/>
      <c r="O6" s="232"/>
      <c r="P6" s="233"/>
      <c r="R6" s="234"/>
    </row>
    <row r="7" spans="1:18" ht="15.6" customHeight="1">
      <c r="A7" s="223"/>
      <c r="B7" s="656" t="s">
        <v>139</v>
      </c>
      <c r="C7" s="235" t="s">
        <v>140</v>
      </c>
      <c r="D7" s="225"/>
      <c r="E7" s="236">
        <f ca="1">공종별집계표!L26</f>
        <v>98775174</v>
      </c>
      <c r="F7" s="237">
        <f ca="1">공종별집계표!L27</f>
        <v>106329490</v>
      </c>
      <c r="G7" s="228">
        <f ca="1">F7-E7</f>
        <v>7554316</v>
      </c>
      <c r="H7" s="238"/>
      <c r="I7" s="239"/>
      <c r="J7" s="240"/>
      <c r="K7" s="240"/>
      <c r="L7" s="240"/>
      <c r="M7" s="239"/>
      <c r="N7" s="239"/>
      <c r="O7" s="232"/>
      <c r="P7" s="233"/>
      <c r="R7" s="234"/>
    </row>
    <row r="8" spans="1:18" ht="15.6" customHeight="1">
      <c r="A8" s="223"/>
      <c r="B8" s="645"/>
      <c r="C8" s="224" t="s">
        <v>141</v>
      </c>
      <c r="D8" s="225"/>
      <c r="E8" s="226">
        <f ca="1">TRUNC(E7*J8)</f>
        <v>12939547</v>
      </c>
      <c r="F8" s="227">
        <f ca="1">TRUNC(F7*J8)</f>
        <v>13929163</v>
      </c>
      <c r="G8" s="228">
        <f t="shared" ref="G8:G38" ca="1" si="0">F8-E8</f>
        <v>989616</v>
      </c>
      <c r="H8" s="238" t="s">
        <v>142</v>
      </c>
      <c r="I8" s="239" t="s">
        <v>143</v>
      </c>
      <c r="J8" s="241">
        <v>0.13100000000000001</v>
      </c>
      <c r="K8" s="241"/>
      <c r="L8" s="241">
        <v>0.124</v>
      </c>
      <c r="M8" s="242"/>
      <c r="N8" s="242"/>
      <c r="O8" s="243"/>
      <c r="P8" s="233"/>
      <c r="R8" s="234"/>
    </row>
    <row r="9" spans="1:18" ht="15.6" customHeight="1">
      <c r="A9" s="223" t="s">
        <v>144</v>
      </c>
      <c r="B9" s="645"/>
      <c r="C9" s="224" t="s">
        <v>138</v>
      </c>
      <c r="D9" s="225"/>
      <c r="E9" s="226">
        <f ca="1">SUM(E7:E8)</f>
        <v>111714721</v>
      </c>
      <c r="F9" s="227">
        <f ca="1">SUM(F7:F8)</f>
        <v>120258653</v>
      </c>
      <c r="G9" s="228">
        <f t="shared" ca="1" si="0"/>
        <v>8543932</v>
      </c>
      <c r="H9" s="238"/>
      <c r="I9" s="239"/>
      <c r="J9" s="244"/>
      <c r="K9" s="244"/>
      <c r="L9" s="244"/>
      <c r="M9" s="239"/>
      <c r="N9" s="239"/>
      <c r="O9" s="232"/>
      <c r="P9" s="233"/>
    </row>
    <row r="10" spans="1:18" ht="15.6" customHeight="1">
      <c r="A10" s="223"/>
      <c r="B10" s="223"/>
      <c r="C10" s="235" t="s">
        <v>145</v>
      </c>
      <c r="D10" s="225"/>
      <c r="E10" s="236">
        <f ca="1">공종별집계표!N26</f>
        <v>1540380</v>
      </c>
      <c r="F10" s="237">
        <f ca="1">공종별집계표!N27</f>
        <v>1281615</v>
      </c>
      <c r="G10" s="228">
        <f t="shared" ca="1" si="0"/>
        <v>-258765</v>
      </c>
      <c r="H10" s="238"/>
      <c r="I10" s="239"/>
      <c r="J10" s="244"/>
      <c r="K10" s="244"/>
      <c r="L10" s="244"/>
      <c r="M10" s="239"/>
      <c r="N10" s="239"/>
      <c r="O10" s="232"/>
      <c r="P10" s="233"/>
    </row>
    <row r="11" spans="1:18" ht="15.6" customHeight="1">
      <c r="A11" s="223"/>
      <c r="B11" s="223"/>
      <c r="C11" s="224" t="s">
        <v>146</v>
      </c>
      <c r="D11" s="225"/>
      <c r="E11" s="245">
        <f ca="1">TRUNC(E9*J11)</f>
        <v>4133444</v>
      </c>
      <c r="F11" s="246">
        <f ca="1">TRUNC(F9*J11)</f>
        <v>4449570</v>
      </c>
      <c r="G11" s="228">
        <f t="shared" ca="1" si="0"/>
        <v>316126</v>
      </c>
      <c r="H11" s="238" t="s">
        <v>147</v>
      </c>
      <c r="I11" s="239" t="s">
        <v>143</v>
      </c>
      <c r="J11" s="244">
        <v>3.6999999999999998E-2</v>
      </c>
      <c r="K11" s="241"/>
      <c r="L11" s="241"/>
      <c r="M11" s="242"/>
      <c r="N11" s="242"/>
      <c r="O11" s="243"/>
      <c r="P11" s="233"/>
    </row>
    <row r="12" spans="1:18" ht="15.6" customHeight="1">
      <c r="A12" s="223" t="s">
        <v>148</v>
      </c>
      <c r="B12" s="223"/>
      <c r="C12" s="224" t="s">
        <v>149</v>
      </c>
      <c r="D12" s="225"/>
      <c r="E12" s="245">
        <f ca="1">TRUNC(E9*J12)</f>
        <v>1128318</v>
      </c>
      <c r="F12" s="246">
        <f ca="1">TRUNC(F9*J12)</f>
        <v>1214612</v>
      </c>
      <c r="G12" s="228">
        <f t="shared" ca="1" si="0"/>
        <v>86294</v>
      </c>
      <c r="H12" s="238" t="s">
        <v>147</v>
      </c>
      <c r="I12" s="239" t="s">
        <v>143</v>
      </c>
      <c r="J12" s="244">
        <v>1.01E-2</v>
      </c>
      <c r="K12" s="244"/>
      <c r="L12" s="244"/>
      <c r="M12" s="242"/>
      <c r="N12" s="242"/>
      <c r="O12" s="243"/>
      <c r="P12" s="233"/>
    </row>
    <row r="13" spans="1:18" ht="15.6" customHeight="1">
      <c r="A13" s="223"/>
      <c r="B13" s="223" t="s">
        <v>150</v>
      </c>
      <c r="C13" s="224" t="s">
        <v>151</v>
      </c>
      <c r="D13" s="225"/>
      <c r="E13" s="226">
        <v>3899173</v>
      </c>
      <c r="F13" s="227">
        <v>3899173</v>
      </c>
      <c r="G13" s="228">
        <f t="shared" si="0"/>
        <v>0</v>
      </c>
      <c r="H13" s="238" t="s">
        <v>142</v>
      </c>
      <c r="I13" s="239" t="s">
        <v>143</v>
      </c>
      <c r="J13" s="247">
        <v>3.4950000000000002E-2</v>
      </c>
      <c r="K13" s="244"/>
      <c r="L13" s="244"/>
      <c r="M13" s="242"/>
      <c r="N13" s="242"/>
      <c r="O13" s="243"/>
      <c r="P13" s="233"/>
    </row>
    <row r="14" spans="1:18" ht="15.6" customHeight="1">
      <c r="A14" s="223"/>
      <c r="B14" s="223"/>
      <c r="C14" s="224" t="s">
        <v>152</v>
      </c>
      <c r="D14" s="225"/>
      <c r="E14" s="226">
        <v>478428</v>
      </c>
      <c r="F14" s="227">
        <v>478428</v>
      </c>
      <c r="G14" s="228">
        <f t="shared" si="0"/>
        <v>0</v>
      </c>
      <c r="H14" s="238" t="s">
        <v>153</v>
      </c>
      <c r="I14" s="239" t="s">
        <v>143</v>
      </c>
      <c r="J14" s="244">
        <v>0.1227</v>
      </c>
      <c r="K14" s="244"/>
      <c r="L14" s="244"/>
      <c r="M14" s="242"/>
      <c r="N14" s="242"/>
      <c r="O14" s="243"/>
      <c r="P14" s="233"/>
    </row>
    <row r="15" spans="1:18" ht="15.6" customHeight="1">
      <c r="A15" s="223"/>
      <c r="B15" s="223"/>
      <c r="C15" s="224" t="s">
        <v>154</v>
      </c>
      <c r="D15" s="225"/>
      <c r="E15" s="226">
        <v>5020394</v>
      </c>
      <c r="F15" s="227">
        <v>5020394</v>
      </c>
      <c r="G15" s="228">
        <f t="shared" si="0"/>
        <v>0</v>
      </c>
      <c r="H15" s="238" t="s">
        <v>142</v>
      </c>
      <c r="I15" s="239" t="s">
        <v>143</v>
      </c>
      <c r="J15" s="244">
        <v>4.4999999999999998E-2</v>
      </c>
      <c r="K15" s="244"/>
      <c r="L15" s="244"/>
      <c r="M15" s="242"/>
      <c r="N15" s="242"/>
      <c r="O15" s="243"/>
      <c r="P15" s="233"/>
    </row>
    <row r="16" spans="1:18" ht="15.6" customHeight="1">
      <c r="A16" s="223" t="s">
        <v>155</v>
      </c>
      <c r="B16" s="223"/>
      <c r="C16" s="224" t="s">
        <v>156</v>
      </c>
      <c r="D16" s="225"/>
      <c r="E16" s="226">
        <v>2565979</v>
      </c>
      <c r="F16" s="227">
        <v>2565979</v>
      </c>
      <c r="G16" s="228">
        <f t="shared" si="0"/>
        <v>0</v>
      </c>
      <c r="H16" s="238" t="s">
        <v>142</v>
      </c>
      <c r="I16" s="239" t="s">
        <v>143</v>
      </c>
      <c r="J16" s="244">
        <v>2.3E-2</v>
      </c>
      <c r="K16" s="244"/>
      <c r="L16" s="244"/>
      <c r="M16" s="242"/>
      <c r="N16" s="242"/>
      <c r="O16" s="243"/>
      <c r="P16" s="233"/>
    </row>
    <row r="17" spans="1:20" ht="15.6" customHeight="1">
      <c r="A17" s="223"/>
      <c r="B17" s="223"/>
      <c r="C17" s="224" t="s">
        <v>157</v>
      </c>
      <c r="D17" s="225"/>
      <c r="E17" s="226">
        <v>5583192</v>
      </c>
      <c r="F17" s="227">
        <v>5583192</v>
      </c>
      <c r="G17" s="228">
        <f t="shared" si="0"/>
        <v>0</v>
      </c>
      <c r="H17" s="238"/>
      <c r="I17" s="239"/>
      <c r="J17" s="244"/>
      <c r="K17" s="244"/>
      <c r="L17" s="244"/>
      <c r="M17" s="248"/>
      <c r="N17" s="248"/>
      <c r="O17" s="232"/>
      <c r="P17" s="249" t="s">
        <v>158</v>
      </c>
    </row>
    <row r="18" spans="1:20" ht="15.6" customHeight="1">
      <c r="A18" s="223"/>
      <c r="B18" s="223"/>
      <c r="C18" s="224" t="s">
        <v>159</v>
      </c>
      <c r="D18" s="225"/>
      <c r="E18" s="226">
        <v>5583192</v>
      </c>
      <c r="F18" s="245">
        <f>E18</f>
        <v>5583192</v>
      </c>
      <c r="G18" s="228">
        <f>F18-E18</f>
        <v>0</v>
      </c>
      <c r="H18" s="238" t="s">
        <v>160</v>
      </c>
      <c r="I18" s="239" t="s">
        <v>143</v>
      </c>
      <c r="J18" s="244">
        <v>2.93E-2</v>
      </c>
      <c r="K18" s="244"/>
      <c r="L18" s="250"/>
      <c r="M18" s="251" t="s">
        <v>161</v>
      </c>
      <c r="N18" s="252">
        <v>1.2</v>
      </c>
      <c r="O18" s="253"/>
      <c r="P18" s="254"/>
    </row>
    <row r="19" spans="1:20" ht="15.6" customHeight="1">
      <c r="A19" s="223" t="s">
        <v>162</v>
      </c>
      <c r="B19" s="223"/>
      <c r="C19" s="224" t="s">
        <v>163</v>
      </c>
      <c r="D19" s="225"/>
      <c r="E19" s="226"/>
      <c r="F19" s="227"/>
      <c r="G19" s="228">
        <f>F19-E19</f>
        <v>0</v>
      </c>
      <c r="H19" s="238" t="s">
        <v>164</v>
      </c>
      <c r="I19" s="239" t="s">
        <v>143</v>
      </c>
      <c r="J19" s="244">
        <v>2.93E-2</v>
      </c>
      <c r="K19" s="244"/>
      <c r="L19" s="250"/>
      <c r="M19" s="239"/>
      <c r="N19" s="250"/>
      <c r="O19" s="232"/>
      <c r="P19" s="254" t="s">
        <v>165</v>
      </c>
      <c r="T19" s="255"/>
    </row>
    <row r="20" spans="1:20" ht="15.6" customHeight="1">
      <c r="A20" s="223"/>
      <c r="B20" s="223" t="s">
        <v>166</v>
      </c>
      <c r="C20" s="224" t="s">
        <v>167</v>
      </c>
      <c r="D20" s="225"/>
      <c r="E20" s="226">
        <f ca="1">TRUNC((E6+E9)*J20)</f>
        <v>8907811</v>
      </c>
      <c r="F20" s="227">
        <f ca="1">TRUNC((F6+F9)*J20)</f>
        <v>9810939</v>
      </c>
      <c r="G20" s="228">
        <f t="shared" ca="1" si="0"/>
        <v>903128</v>
      </c>
      <c r="H20" s="238" t="s">
        <v>168</v>
      </c>
      <c r="I20" s="239" t="s">
        <v>143</v>
      </c>
      <c r="J20" s="241">
        <v>5.8000000000000003E-2</v>
      </c>
      <c r="K20" s="241"/>
      <c r="L20" s="241">
        <v>7.6999999999999999E-2</v>
      </c>
      <c r="M20" s="248"/>
      <c r="N20" s="248"/>
      <c r="O20" s="243"/>
      <c r="P20" s="233"/>
    </row>
    <row r="21" spans="1:20" ht="15.6" customHeight="1">
      <c r="A21" s="223"/>
      <c r="B21" s="223"/>
      <c r="C21" s="224" t="s">
        <v>169</v>
      </c>
      <c r="D21" s="225"/>
      <c r="E21" s="226">
        <v>0</v>
      </c>
      <c r="F21" s="227">
        <v>0</v>
      </c>
      <c r="G21" s="228">
        <f t="shared" si="0"/>
        <v>0</v>
      </c>
      <c r="H21" s="238"/>
      <c r="I21" s="239"/>
      <c r="J21" s="241"/>
      <c r="K21" s="241"/>
      <c r="L21" s="241"/>
      <c r="M21" s="248"/>
      <c r="N21" s="248"/>
      <c r="O21" s="243"/>
      <c r="P21" s="233"/>
      <c r="T21" s="255"/>
    </row>
    <row r="22" spans="1:20" ht="15.6" customHeight="1">
      <c r="A22" s="223"/>
      <c r="B22" s="223"/>
      <c r="C22" s="224" t="s">
        <v>170</v>
      </c>
      <c r="D22" s="225"/>
      <c r="E22" s="226">
        <v>0</v>
      </c>
      <c r="F22" s="227">
        <v>0</v>
      </c>
      <c r="G22" s="228">
        <f t="shared" si="0"/>
        <v>0</v>
      </c>
      <c r="H22" s="238"/>
      <c r="I22" s="239"/>
      <c r="J22" s="247"/>
      <c r="K22" s="247"/>
      <c r="L22" s="247"/>
      <c r="M22" s="242"/>
      <c r="N22" s="242"/>
      <c r="O22" s="243"/>
      <c r="P22" s="256"/>
    </row>
    <row r="23" spans="1:20" ht="15.6" customHeight="1">
      <c r="A23" s="223"/>
      <c r="B23" s="257"/>
      <c r="C23" s="224" t="s">
        <v>138</v>
      </c>
      <c r="D23" s="225"/>
      <c r="E23" s="226">
        <f ca="1">SUM(E10:E17,E20:E22)</f>
        <v>33257119</v>
      </c>
      <c r="F23" s="227">
        <f ca="1">SUM(F10:F17,F20:F22)</f>
        <v>34303902</v>
      </c>
      <c r="G23" s="228">
        <f t="shared" ca="1" si="0"/>
        <v>1046783</v>
      </c>
      <c r="H23" s="238"/>
      <c r="I23" s="239"/>
      <c r="J23" s="244"/>
      <c r="K23" s="244"/>
      <c r="L23" s="244"/>
      <c r="M23" s="239"/>
      <c r="N23" s="239"/>
      <c r="O23" s="232"/>
      <c r="P23" s="258"/>
      <c r="T23" s="255"/>
    </row>
    <row r="24" spans="1:20" ht="15.6" customHeight="1">
      <c r="A24" s="259"/>
      <c r="B24" s="657" t="s">
        <v>111</v>
      </c>
      <c r="C24" s="658"/>
      <c r="D24" s="225"/>
      <c r="E24" s="226">
        <f ca="1">E6+E9+E23</f>
        <v>186840068</v>
      </c>
      <c r="F24" s="227">
        <f ca="1">F6+F9+F23</f>
        <v>203458028</v>
      </c>
      <c r="G24" s="228">
        <f t="shared" ca="1" si="0"/>
        <v>16617960</v>
      </c>
      <c r="H24" s="238"/>
      <c r="I24" s="239"/>
      <c r="J24" s="244"/>
      <c r="K24" s="244"/>
      <c r="L24" s="244"/>
      <c r="M24" s="239"/>
      <c r="N24" s="239"/>
      <c r="O24" s="232"/>
      <c r="P24" s="258"/>
    </row>
    <row r="25" spans="1:20" ht="15.6" customHeight="1">
      <c r="A25" s="632" t="s">
        <v>171</v>
      </c>
      <c r="B25" s="633"/>
      <c r="C25" s="634"/>
      <c r="D25" s="225"/>
      <c r="E25" s="226">
        <f ca="1">TRUNC(E24*J25)</f>
        <v>11210404</v>
      </c>
      <c r="F25" s="227">
        <f ca="1">TRUNC(F24*J25)</f>
        <v>12207481</v>
      </c>
      <c r="G25" s="228">
        <f t="shared" ca="1" si="0"/>
        <v>997077</v>
      </c>
      <c r="H25" s="238" t="s">
        <v>111</v>
      </c>
      <c r="I25" s="239" t="s">
        <v>143</v>
      </c>
      <c r="J25" s="244">
        <v>0.06</v>
      </c>
      <c r="K25" s="244"/>
      <c r="L25" s="244"/>
      <c r="M25" s="242"/>
      <c r="N25" s="242"/>
      <c r="O25" s="243"/>
      <c r="P25" s="258"/>
      <c r="R25" s="234"/>
    </row>
    <row r="26" spans="1:20" ht="15.6" customHeight="1">
      <c r="A26" s="632" t="s">
        <v>172</v>
      </c>
      <c r="B26" s="633"/>
      <c r="C26" s="634"/>
      <c r="D26" s="225"/>
      <c r="E26" s="226">
        <f ca="1">TRUNC((E9+E23+E25)*J26)+P26</f>
        <v>20154256</v>
      </c>
      <c r="F26" s="227">
        <f ca="1">TRUNC((F9+F23+F25)*J26)-4120-109</f>
        <v>21516310</v>
      </c>
      <c r="G26" s="228">
        <f t="shared" ca="1" si="0"/>
        <v>1362054</v>
      </c>
      <c r="H26" s="238" t="s">
        <v>173</v>
      </c>
      <c r="I26" s="239" t="s">
        <v>143</v>
      </c>
      <c r="J26" s="244">
        <v>0.12904320011829301</v>
      </c>
      <c r="K26" s="244"/>
      <c r="L26" s="244"/>
      <c r="M26" s="260"/>
      <c r="N26" s="260"/>
      <c r="O26" s="243"/>
      <c r="P26" s="261"/>
      <c r="R26" s="209">
        <v>240025200</v>
      </c>
    </row>
    <row r="27" spans="1:20" ht="15.6" customHeight="1">
      <c r="A27" s="632" t="s">
        <v>174</v>
      </c>
      <c r="B27" s="633"/>
      <c r="C27" s="634"/>
      <c r="D27" s="225"/>
      <c r="E27" s="226">
        <f ca="1">SUM(E24:E26)</f>
        <v>218204728</v>
      </c>
      <c r="F27" s="227">
        <f ca="1">SUM(F24:F26)</f>
        <v>237181819</v>
      </c>
      <c r="G27" s="228">
        <f t="shared" ca="1" si="0"/>
        <v>18977091</v>
      </c>
      <c r="H27" s="238"/>
      <c r="I27" s="239"/>
      <c r="J27" s="244"/>
      <c r="K27" s="244"/>
      <c r="L27" s="244"/>
      <c r="M27" s="239"/>
      <c r="N27" s="239"/>
      <c r="O27" s="232"/>
      <c r="P27" s="233"/>
      <c r="R27" s="234"/>
    </row>
    <row r="28" spans="1:20" ht="15.6" customHeight="1">
      <c r="A28" s="632" t="s">
        <v>175</v>
      </c>
      <c r="B28" s="633"/>
      <c r="C28" s="634"/>
      <c r="D28" s="225"/>
      <c r="E28" s="226">
        <f ca="1">INT(E27*J28)</f>
        <v>21820472</v>
      </c>
      <c r="F28" s="227">
        <f ca="1">INT(F27*J28)</f>
        <v>23718181</v>
      </c>
      <c r="G28" s="228">
        <f t="shared" ca="1" si="0"/>
        <v>1897709</v>
      </c>
      <c r="H28" s="238" t="s">
        <v>176</v>
      </c>
      <c r="I28" s="239" t="s">
        <v>143</v>
      </c>
      <c r="J28" s="262">
        <v>0.1</v>
      </c>
      <c r="K28" s="262"/>
      <c r="L28" s="262"/>
      <c r="M28" s="242"/>
      <c r="N28" s="242"/>
      <c r="O28" s="243"/>
      <c r="P28" s="233"/>
      <c r="S28" s="234"/>
    </row>
    <row r="29" spans="1:20" ht="15.6" customHeight="1">
      <c r="A29" s="650" t="s">
        <v>177</v>
      </c>
      <c r="B29" s="651"/>
      <c r="C29" s="652"/>
      <c r="D29" s="263"/>
      <c r="E29" s="264">
        <f ca="1">SUM(E27:E28)</f>
        <v>240025200</v>
      </c>
      <c r="F29" s="265">
        <f ca="1">SUM(F27:F28)</f>
        <v>260900000</v>
      </c>
      <c r="G29" s="266">
        <f t="shared" ca="1" si="0"/>
        <v>20874800</v>
      </c>
      <c r="H29" s="238"/>
      <c r="I29" s="239"/>
      <c r="J29" s="240"/>
      <c r="K29" s="240"/>
      <c r="L29" s="240"/>
      <c r="M29" s="239"/>
      <c r="N29" s="239"/>
      <c r="O29" s="232"/>
      <c r="P29" s="233"/>
      <c r="R29" s="234"/>
      <c r="S29" s="267"/>
    </row>
    <row r="30" spans="1:20" ht="15.6" hidden="1" customHeight="1">
      <c r="A30" s="653" t="s">
        <v>178</v>
      </c>
      <c r="B30" s="654"/>
      <c r="C30" s="655"/>
      <c r="D30" s="268"/>
      <c r="E30" s="269"/>
      <c r="F30" s="270" t="e">
        <f>#REF!</f>
        <v>#REF!</v>
      </c>
      <c r="G30" s="271" t="e">
        <f t="shared" si="0"/>
        <v>#REF!</v>
      </c>
      <c r="H30" s="238" t="s">
        <v>179</v>
      </c>
      <c r="I30" s="239"/>
      <c r="J30" s="240"/>
      <c r="K30" s="240"/>
      <c r="L30" s="240"/>
      <c r="M30" s="239"/>
      <c r="N30" s="239"/>
      <c r="O30" s="232"/>
      <c r="P30" s="272"/>
      <c r="R30" s="234"/>
      <c r="S30" s="234"/>
    </row>
    <row r="31" spans="1:20" ht="15.6" hidden="1" customHeight="1">
      <c r="A31" s="653" t="s">
        <v>180</v>
      </c>
      <c r="B31" s="654"/>
      <c r="C31" s="655"/>
      <c r="D31" s="268"/>
      <c r="E31" s="269"/>
      <c r="F31" s="270"/>
      <c r="G31" s="271">
        <f t="shared" si="0"/>
        <v>0</v>
      </c>
      <c r="H31" s="238" t="s">
        <v>179</v>
      </c>
      <c r="I31" s="239"/>
      <c r="J31" s="240"/>
      <c r="K31" s="240"/>
      <c r="L31" s="240"/>
      <c r="M31" s="239"/>
      <c r="N31" s="239"/>
      <c r="O31" s="232"/>
      <c r="P31" s="272"/>
    </row>
    <row r="32" spans="1:20" ht="15.6" hidden="1" customHeight="1">
      <c r="A32" s="638" t="s">
        <v>181</v>
      </c>
      <c r="B32" s="639"/>
      <c r="C32" s="640"/>
      <c r="D32" s="268"/>
      <c r="E32" s="273">
        <f>E30+E31</f>
        <v>0</v>
      </c>
      <c r="F32" s="274"/>
      <c r="G32" s="271">
        <f t="shared" si="0"/>
        <v>0</v>
      </c>
      <c r="H32" s="238"/>
      <c r="I32" s="239"/>
      <c r="J32" s="240"/>
      <c r="K32" s="240"/>
      <c r="L32" s="240"/>
      <c r="M32" s="239"/>
      <c r="N32" s="239"/>
      <c r="O32" s="232"/>
      <c r="P32" s="272"/>
    </row>
    <row r="33" spans="1:18" ht="15.6" customHeight="1">
      <c r="A33" s="635" t="s">
        <v>182</v>
      </c>
      <c r="B33" s="636"/>
      <c r="C33" s="637"/>
      <c r="D33" s="540"/>
      <c r="E33" s="541">
        <f>공종별집계표!P29</f>
        <v>180667661</v>
      </c>
      <c r="F33" s="542">
        <f>공종별집계표!P31</f>
        <v>99053574</v>
      </c>
      <c r="G33" s="543">
        <f t="shared" si="0"/>
        <v>-81614087</v>
      </c>
      <c r="H33" s="544"/>
      <c r="I33" s="239"/>
      <c r="J33" s="240"/>
      <c r="K33" s="240"/>
      <c r="L33" s="240"/>
      <c r="M33" s="239"/>
      <c r="N33" s="239"/>
      <c r="O33" s="232"/>
      <c r="P33" s="272"/>
    </row>
    <row r="34" spans="1:18" ht="15.6" customHeight="1">
      <c r="A34" s="635" t="s">
        <v>183</v>
      </c>
      <c r="B34" s="636"/>
      <c r="C34" s="637"/>
      <c r="D34" s="540"/>
      <c r="E34" s="541">
        <f>공종별집계표!P31</f>
        <v>99053574</v>
      </c>
      <c r="F34" s="542">
        <f ca="1">공종별집계표!P32</f>
        <v>117459903</v>
      </c>
      <c r="G34" s="543">
        <f t="shared" ca="1" si="0"/>
        <v>18406329</v>
      </c>
      <c r="H34" s="544"/>
      <c r="I34" s="239"/>
      <c r="J34" s="240"/>
      <c r="K34" s="240"/>
      <c r="L34" s="240"/>
      <c r="M34" s="239"/>
      <c r="N34" s="239"/>
      <c r="O34" s="232"/>
      <c r="P34" s="272"/>
    </row>
    <row r="35" spans="1:18" ht="15.6" customHeight="1">
      <c r="A35" s="635" t="s">
        <v>184</v>
      </c>
      <c r="B35" s="636"/>
      <c r="C35" s="637"/>
      <c r="D35" s="540"/>
      <c r="E35" s="541">
        <f>E33+E34</f>
        <v>279721235</v>
      </c>
      <c r="F35" s="541">
        <f ca="1">F33+F34</f>
        <v>216513477</v>
      </c>
      <c r="G35" s="543">
        <f t="shared" ca="1" si="0"/>
        <v>-63207758</v>
      </c>
      <c r="H35" s="544"/>
      <c r="I35" s="239"/>
      <c r="J35" s="240"/>
      <c r="K35" s="240"/>
      <c r="L35" s="240"/>
      <c r="M35" s="239"/>
      <c r="N35" s="239"/>
      <c r="O35" s="232"/>
      <c r="P35" s="272"/>
    </row>
    <row r="36" spans="1:18" ht="15.6" customHeight="1">
      <c r="A36" s="638" t="s">
        <v>185</v>
      </c>
      <c r="B36" s="639"/>
      <c r="C36" s="640"/>
      <c r="D36" s="268"/>
      <c r="E36" s="273">
        <f>[1]한전불입금!N5</f>
        <v>21183800</v>
      </c>
      <c r="F36" s="274">
        <v>27295000</v>
      </c>
      <c r="G36" s="271">
        <f t="shared" si="0"/>
        <v>6111200</v>
      </c>
      <c r="H36" s="238" t="s">
        <v>179</v>
      </c>
      <c r="I36" s="239"/>
      <c r="J36" s="240" t="s">
        <v>186</v>
      </c>
      <c r="K36" s="240"/>
      <c r="L36" s="240"/>
      <c r="M36" s="239"/>
      <c r="N36" s="239"/>
      <c r="O36" s="232"/>
      <c r="P36" s="272"/>
    </row>
    <row r="37" spans="1:18" ht="15.6" customHeight="1">
      <c r="A37" s="638" t="s">
        <v>187</v>
      </c>
      <c r="B37" s="639"/>
      <c r="C37" s="640"/>
      <c r="D37" s="268"/>
      <c r="E37" s="273">
        <f>[1]한전불입금!L22</f>
        <v>400149.77200000006</v>
      </c>
      <c r="F37" s="274">
        <f>E37</f>
        <v>400149.77200000006</v>
      </c>
      <c r="G37" s="271">
        <f t="shared" si="0"/>
        <v>0</v>
      </c>
      <c r="H37" s="238" t="s">
        <v>179</v>
      </c>
      <c r="I37" s="239"/>
      <c r="J37" s="240"/>
      <c r="K37" s="240"/>
      <c r="L37" s="240"/>
      <c r="M37" s="239"/>
      <c r="N37" s="239"/>
      <c r="O37" s="232"/>
      <c r="P37" s="272"/>
    </row>
    <row r="38" spans="1:18" ht="15.6" customHeight="1">
      <c r="A38" s="641" t="s">
        <v>188</v>
      </c>
      <c r="B38" s="642"/>
      <c r="C38" s="643"/>
      <c r="D38" s="275"/>
      <c r="E38" s="276">
        <f ca="1">E29+E35+E36+E37</f>
        <v>541330384.77199996</v>
      </c>
      <c r="F38" s="276">
        <f ca="1">F29+F35+F36+F37</f>
        <v>505108626.77200001</v>
      </c>
      <c r="G38" s="277">
        <f t="shared" ca="1" si="0"/>
        <v>-36221757.99999994</v>
      </c>
      <c r="H38" s="278"/>
      <c r="I38" s="279"/>
      <c r="J38" s="280"/>
      <c r="K38" s="280"/>
      <c r="L38" s="280"/>
      <c r="M38" s="279"/>
      <c r="N38" s="279"/>
      <c r="O38" s="281"/>
      <c r="P38" s="282" t="s">
        <v>189</v>
      </c>
      <c r="R38" s="267"/>
    </row>
    <row r="39" spans="1:18" ht="16.350000000000001" customHeight="1">
      <c r="A39" s="283"/>
      <c r="B39" s="283"/>
      <c r="C39" s="283"/>
      <c r="D39" s="283"/>
      <c r="E39" s="284"/>
      <c r="F39" s="284"/>
      <c r="G39" s="285"/>
      <c r="H39" s="285"/>
      <c r="I39" s="286"/>
      <c r="J39" s="286"/>
      <c r="K39" s="286"/>
      <c r="L39" s="286"/>
      <c r="M39" s="286"/>
      <c r="N39" s="286"/>
      <c r="O39" s="286"/>
      <c r="P39" s="287"/>
      <c r="R39" s="234"/>
    </row>
    <row r="40" spans="1:18" s="288" customFormat="1" ht="16.5" customHeight="1">
      <c r="O40" s="289"/>
      <c r="P40" s="290">
        <f ca="1">E29/SUM(E3,E7,E10)</f>
        <v>1.6881334609597036</v>
      </c>
    </row>
    <row r="41" spans="1:18" s="288" customFormat="1" ht="16.5" customHeight="1"/>
    <row r="42" spans="1:18" s="288" customFormat="1" ht="16.5" customHeight="1"/>
    <row r="43" spans="1:18" s="288" customFormat="1" ht="16.5" customHeight="1"/>
    <row r="44" spans="1:18" s="288" customFormat="1" ht="16.5" customHeight="1"/>
    <row r="45" spans="1:18" s="288" customFormat="1" ht="16.5" customHeight="1"/>
    <row r="46" spans="1:18" s="288" customFormat="1" ht="16.5" customHeight="1"/>
    <row r="47" spans="1:18" s="288" customFormat="1" ht="16.5" customHeight="1"/>
    <row r="48" spans="1:18" ht="16.5" customHeight="1"/>
    <row r="49" ht="16.5" customHeight="1"/>
  </sheetData>
  <mergeCells count="22">
    <mergeCell ref="B7:B9"/>
    <mergeCell ref="B24:C24"/>
    <mergeCell ref="A25:C25"/>
    <mergeCell ref="A26:C26"/>
    <mergeCell ref="B3:B6"/>
    <mergeCell ref="A1:B1"/>
    <mergeCell ref="H1:P1"/>
    <mergeCell ref="A2:C2"/>
    <mergeCell ref="D2:E2"/>
    <mergeCell ref="H2:O2"/>
    <mergeCell ref="A27:C27"/>
    <mergeCell ref="A35:C35"/>
    <mergeCell ref="A36:C36"/>
    <mergeCell ref="A37:C37"/>
    <mergeCell ref="A38:C38"/>
    <mergeCell ref="A34:C34"/>
    <mergeCell ref="A33:C33"/>
    <mergeCell ref="A28:C28"/>
    <mergeCell ref="A29:C29"/>
    <mergeCell ref="A30:C30"/>
    <mergeCell ref="A31:C31"/>
    <mergeCell ref="A32:C32"/>
  </mergeCells>
  <phoneticPr fontId="1" type="noConversion"/>
  <printOptions horizontalCentered="1"/>
  <pageMargins left="0.73" right="0.34" top="0.90999999999999992" bottom="0.22" header="0.51" footer="0.19"/>
  <pageSetup paperSize="9" scale="74" orientation="landscape" r:id="rId1"/>
  <headerFooter>
    <oddHeader>&amp;C&amp;"굴림,굵게"&amp;16공    사    원    가    계    산    서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ABF97-9D2C-4D2E-9542-A9A0940BD519}">
  <sheetPr>
    <tabColor theme="5"/>
  </sheetPr>
  <dimension ref="A1:AA155"/>
  <sheetViews>
    <sheetView showZeros="0" view="pageBreakPreview" topLeftCell="D115" zoomScale="85" zoomScaleNormal="100" zoomScaleSheetLayoutView="85" workbookViewId="0">
      <selection activeCell="K132" sqref="K132"/>
    </sheetView>
  </sheetViews>
  <sheetFormatPr defaultRowHeight="16.5"/>
  <cols>
    <col min="1" max="1" width="6.5" style="291" hidden="1" customWidth="1"/>
    <col min="2" max="2" width="7.375" style="292" hidden="1" customWidth="1"/>
    <col min="3" max="3" width="15.375" style="292" hidden="1" customWidth="1"/>
    <col min="4" max="4" width="40.75" style="292" customWidth="1"/>
    <col min="5" max="5" width="10.25" style="291" hidden="1" customWidth="1"/>
    <col min="6" max="6" width="4.75" style="327" customWidth="1"/>
    <col min="7" max="7" width="5.25" style="328" customWidth="1"/>
    <col min="8" max="8" width="14.625" style="328" customWidth="1"/>
    <col min="9" max="9" width="14.75" style="328" customWidth="1"/>
    <col min="10" max="10" width="5.75" style="328" hidden="1" customWidth="1"/>
    <col min="11" max="11" width="12.625" style="328" bestFit="1" customWidth="1"/>
    <col min="12" max="12" width="13" style="328" customWidth="1"/>
    <col min="13" max="14" width="10.625" style="328" customWidth="1"/>
    <col min="15" max="15" width="9.875" style="328" hidden="1" customWidth="1"/>
    <col min="16" max="16" width="14.875" style="328" customWidth="1"/>
    <col min="17" max="17" width="11.75" style="292" customWidth="1"/>
    <col min="18" max="16384" width="9" style="291"/>
  </cols>
  <sheetData>
    <row r="1" spans="1:27" ht="20.45" customHeight="1">
      <c r="A1" s="291" t="s">
        <v>190</v>
      </c>
      <c r="B1" s="292" t="s">
        <v>191</v>
      </c>
      <c r="D1" s="666" t="s">
        <v>192</v>
      </c>
      <c r="E1" s="666"/>
      <c r="F1" s="666"/>
      <c r="G1" s="666"/>
      <c r="H1" s="666"/>
      <c r="I1" s="666"/>
      <c r="J1" s="666"/>
      <c r="K1" s="666"/>
      <c r="L1" s="666"/>
      <c r="M1" s="666"/>
      <c r="N1" s="666"/>
      <c r="O1" s="666"/>
      <c r="P1" s="666"/>
      <c r="Q1" s="666"/>
      <c r="AA1" s="291" t="s">
        <v>193</v>
      </c>
    </row>
    <row r="2" spans="1:27" s="294" customFormat="1" ht="20.45" customHeight="1">
      <c r="A2" s="667" t="s">
        <v>194</v>
      </c>
      <c r="B2" s="667" t="s">
        <v>195</v>
      </c>
      <c r="C2" s="667" t="s">
        <v>196</v>
      </c>
      <c r="D2" s="665" t="s">
        <v>197</v>
      </c>
      <c r="E2" s="668" t="s">
        <v>198</v>
      </c>
      <c r="F2" s="668" t="s">
        <v>199</v>
      </c>
      <c r="G2" s="664" t="s">
        <v>200</v>
      </c>
      <c r="H2" s="664" t="s">
        <v>201</v>
      </c>
      <c r="I2" s="664"/>
      <c r="J2" s="664" t="s">
        <v>202</v>
      </c>
      <c r="K2" s="664"/>
      <c r="L2" s="664"/>
      <c r="M2" s="664" t="s">
        <v>203</v>
      </c>
      <c r="N2" s="664"/>
      <c r="O2" s="293"/>
      <c r="P2" s="664" t="s">
        <v>204</v>
      </c>
      <c r="Q2" s="665" t="s">
        <v>205</v>
      </c>
    </row>
    <row r="3" spans="1:27" s="294" customFormat="1" ht="20.45" customHeight="1">
      <c r="A3" s="667"/>
      <c r="B3" s="667"/>
      <c r="C3" s="667"/>
      <c r="D3" s="665"/>
      <c r="E3" s="668"/>
      <c r="F3" s="668"/>
      <c r="G3" s="664"/>
      <c r="H3" s="293" t="s">
        <v>206</v>
      </c>
      <c r="I3" s="293" t="s">
        <v>207</v>
      </c>
      <c r="J3" s="293" t="s">
        <v>200</v>
      </c>
      <c r="K3" s="293" t="s">
        <v>206</v>
      </c>
      <c r="L3" s="293" t="s">
        <v>207</v>
      </c>
      <c r="M3" s="293" t="s">
        <v>206</v>
      </c>
      <c r="N3" s="293" t="s">
        <v>207</v>
      </c>
      <c r="O3" s="293" t="s">
        <v>206</v>
      </c>
      <c r="P3" s="664"/>
      <c r="Q3" s="665"/>
    </row>
    <row r="4" spans="1:27" ht="20.25" customHeight="1">
      <c r="B4" s="292" t="s">
        <v>208</v>
      </c>
      <c r="D4" s="661" t="s">
        <v>209</v>
      </c>
      <c r="E4" s="662"/>
      <c r="F4" s="662"/>
      <c r="G4" s="662"/>
      <c r="H4" s="662"/>
      <c r="I4" s="662"/>
      <c r="J4" s="662"/>
      <c r="K4" s="662"/>
      <c r="L4" s="662"/>
      <c r="M4" s="662"/>
      <c r="N4" s="662"/>
      <c r="O4" s="662"/>
      <c r="P4" s="662"/>
      <c r="Q4" s="663"/>
    </row>
    <row r="5" spans="1:27" s="295" customFormat="1" ht="22.5" customHeight="1">
      <c r="B5" s="296" t="s">
        <v>210</v>
      </c>
      <c r="C5" s="296"/>
      <c r="D5" s="297" t="s">
        <v>211</v>
      </c>
      <c r="E5" s="298"/>
      <c r="F5" s="299" t="s">
        <v>212</v>
      </c>
      <c r="G5" s="300">
        <v>1</v>
      </c>
      <c r="H5" s="300">
        <f>I73</f>
        <v>28135332</v>
      </c>
      <c r="I5" s="300">
        <f>G5*H5</f>
        <v>28135332</v>
      </c>
      <c r="J5" s="300"/>
      <c r="K5" s="300">
        <f>L73</f>
        <v>31160791</v>
      </c>
      <c r="L5" s="300">
        <f>G5*K5</f>
        <v>31160791</v>
      </c>
      <c r="M5" s="300">
        <f>N73</f>
        <v>1467222</v>
      </c>
      <c r="N5" s="300">
        <f>G5*M5</f>
        <v>1467222</v>
      </c>
      <c r="O5" s="300">
        <f>IF((H5+K5+M5)=0, "", (H5+K5+M5))</f>
        <v>60763345</v>
      </c>
      <c r="P5" s="300">
        <f>I5+L5+N5</f>
        <v>60763345</v>
      </c>
      <c r="Q5" s="659">
        <f>P6-P5</f>
        <v>43974463</v>
      </c>
    </row>
    <row r="6" spans="1:27" ht="22.5" customHeight="1">
      <c r="B6" s="292" t="s">
        <v>210</v>
      </c>
      <c r="D6" s="301" t="s">
        <v>211</v>
      </c>
      <c r="E6" s="302"/>
      <c r="F6" s="303" t="s">
        <v>212</v>
      </c>
      <c r="G6" s="304">
        <v>1</v>
      </c>
      <c r="H6" s="304">
        <f>I74</f>
        <v>42363814</v>
      </c>
      <c r="I6" s="304">
        <f>G6*H6</f>
        <v>42363814</v>
      </c>
      <c r="J6" s="304"/>
      <c r="K6" s="304">
        <f>L74</f>
        <v>61092379</v>
      </c>
      <c r="L6" s="304">
        <f>G6*K6</f>
        <v>61092379</v>
      </c>
      <c r="M6" s="304">
        <f>N74</f>
        <v>1281615</v>
      </c>
      <c r="N6" s="304">
        <f>G6*M6</f>
        <v>1281615</v>
      </c>
      <c r="O6" s="304">
        <f>IF((H6+K6+M6)=0, "", (H6+K6+M6))</f>
        <v>104737808</v>
      </c>
      <c r="P6" s="304">
        <f>I6+L6+N6</f>
        <v>104737808</v>
      </c>
      <c r="Q6" s="660"/>
    </row>
    <row r="7" spans="1:27" s="295" customFormat="1" ht="22.5" customHeight="1">
      <c r="B7" s="296" t="s">
        <v>213</v>
      </c>
      <c r="C7" s="296"/>
      <c r="D7" s="297" t="s">
        <v>214</v>
      </c>
      <c r="E7" s="298"/>
      <c r="F7" s="299" t="s">
        <v>212</v>
      </c>
      <c r="G7" s="300">
        <v>1</v>
      </c>
      <c r="H7" s="300">
        <f>I100</f>
        <v>13732896</v>
      </c>
      <c r="I7" s="300">
        <f>G7*H7</f>
        <v>13732896</v>
      </c>
      <c r="J7" s="300"/>
      <c r="K7" s="300">
        <f>L100</f>
        <v>67614383</v>
      </c>
      <c r="L7" s="300">
        <f>G7*K7</f>
        <v>67614383</v>
      </c>
      <c r="M7" s="300">
        <f>N100</f>
        <v>73158</v>
      </c>
      <c r="N7" s="300">
        <f>G7*M7</f>
        <v>73158</v>
      </c>
      <c r="O7" s="300">
        <f>IF((H7+K7+M7)=0, "", (H7+K7+M7))</f>
        <v>81420437</v>
      </c>
      <c r="P7" s="300">
        <f>I7+L7+N7</f>
        <v>81420437</v>
      </c>
      <c r="Q7" s="659">
        <f>P8-P7</f>
        <v>-29651667</v>
      </c>
    </row>
    <row r="8" spans="1:27" ht="22.5" customHeight="1">
      <c r="B8" s="292" t="s">
        <v>213</v>
      </c>
      <c r="D8" s="301" t="s">
        <v>214</v>
      </c>
      <c r="E8" s="302"/>
      <c r="F8" s="303" t="s">
        <v>212</v>
      </c>
      <c r="G8" s="304">
        <v>1</v>
      </c>
      <c r="H8" s="304">
        <f>I101</f>
        <v>6531659</v>
      </c>
      <c r="I8" s="304">
        <f>G8*H8</f>
        <v>6531659</v>
      </c>
      <c r="J8" s="304"/>
      <c r="K8" s="304">
        <f>L101</f>
        <v>45237111</v>
      </c>
      <c r="L8" s="304">
        <f>G8*K8</f>
        <v>45237111</v>
      </c>
      <c r="M8" s="304">
        <f>N101</f>
        <v>0</v>
      </c>
      <c r="N8" s="304">
        <f>G8*M8</f>
        <v>0</v>
      </c>
      <c r="O8" s="304">
        <f>IF((H8+K8+M8)=0, "", (H8+K8+M8))</f>
        <v>51768770</v>
      </c>
      <c r="P8" s="304">
        <f>I8+L8+N8</f>
        <v>51768770</v>
      </c>
      <c r="Q8" s="660"/>
    </row>
    <row r="9" spans="1:27" ht="20.45" customHeight="1">
      <c r="D9" s="305"/>
      <c r="E9" s="306"/>
      <c r="F9" s="307"/>
      <c r="G9" s="308"/>
      <c r="H9" s="308"/>
      <c r="I9" s="308"/>
      <c r="J9" s="308"/>
      <c r="K9" s="308"/>
      <c r="L9" s="308"/>
      <c r="M9" s="308"/>
      <c r="N9" s="308"/>
      <c r="O9" s="308"/>
      <c r="P9" s="308"/>
      <c r="Q9" s="309"/>
    </row>
    <row r="10" spans="1:27" ht="20.45" customHeight="1">
      <c r="D10" s="305"/>
      <c r="E10" s="306"/>
      <c r="F10" s="307"/>
      <c r="G10" s="308"/>
      <c r="H10" s="308"/>
      <c r="I10" s="308"/>
      <c r="J10" s="308"/>
      <c r="K10" s="308"/>
      <c r="L10" s="308"/>
      <c r="M10" s="308"/>
      <c r="N10" s="308"/>
      <c r="O10" s="308"/>
      <c r="P10" s="308"/>
      <c r="Q10" s="309"/>
    </row>
    <row r="11" spans="1:27" ht="20.45" customHeight="1">
      <c r="D11" s="305"/>
      <c r="E11" s="306"/>
      <c r="F11" s="307"/>
      <c r="G11" s="308"/>
      <c r="H11" s="308"/>
      <c r="I11" s="308"/>
      <c r="J11" s="308"/>
      <c r="K11" s="308"/>
      <c r="L11" s="308"/>
      <c r="M11" s="308"/>
      <c r="N11" s="308"/>
      <c r="O11" s="308"/>
      <c r="P11" s="308"/>
      <c r="Q11" s="309"/>
    </row>
    <row r="12" spans="1:27" ht="20.45" customHeight="1">
      <c r="D12" s="305"/>
      <c r="E12" s="306"/>
      <c r="F12" s="307"/>
      <c r="G12" s="308"/>
      <c r="H12" s="308"/>
      <c r="I12" s="308"/>
      <c r="J12" s="308"/>
      <c r="K12" s="308"/>
      <c r="L12" s="308"/>
      <c r="M12" s="308"/>
      <c r="N12" s="308"/>
      <c r="O12" s="308"/>
      <c r="P12" s="308"/>
      <c r="Q12" s="309"/>
    </row>
    <row r="13" spans="1:27" ht="20.45" customHeight="1">
      <c r="D13" s="305"/>
      <c r="E13" s="306"/>
      <c r="F13" s="307"/>
      <c r="G13" s="308"/>
      <c r="H13" s="308"/>
      <c r="I13" s="308"/>
      <c r="J13" s="308"/>
      <c r="K13" s="308"/>
      <c r="L13" s="308"/>
      <c r="M13" s="308"/>
      <c r="N13" s="308"/>
      <c r="O13" s="308"/>
      <c r="P13" s="308"/>
      <c r="Q13" s="309"/>
    </row>
    <row r="14" spans="1:27" ht="20.45" customHeight="1">
      <c r="D14" s="305"/>
      <c r="E14" s="306"/>
      <c r="F14" s="307"/>
      <c r="G14" s="308"/>
      <c r="H14" s="308"/>
      <c r="I14" s="308"/>
      <c r="J14" s="308"/>
      <c r="K14" s="308"/>
      <c r="L14" s="308"/>
      <c r="M14" s="308"/>
      <c r="N14" s="308"/>
      <c r="O14" s="308"/>
      <c r="P14" s="308"/>
      <c r="Q14" s="309"/>
    </row>
    <row r="15" spans="1:27" ht="20.45" customHeight="1">
      <c r="D15" s="305"/>
      <c r="E15" s="306"/>
      <c r="F15" s="307"/>
      <c r="G15" s="308"/>
      <c r="H15" s="308"/>
      <c r="I15" s="308"/>
      <c r="J15" s="308"/>
      <c r="K15" s="308"/>
      <c r="L15" s="308"/>
      <c r="M15" s="308"/>
      <c r="N15" s="308"/>
      <c r="O15" s="308"/>
      <c r="P15" s="308"/>
      <c r="Q15" s="309"/>
    </row>
    <row r="16" spans="1:27" ht="20.45" customHeight="1">
      <c r="D16" s="305"/>
      <c r="E16" s="306"/>
      <c r="F16" s="307"/>
      <c r="G16" s="308"/>
      <c r="H16" s="308"/>
      <c r="I16" s="308"/>
      <c r="J16" s="308"/>
      <c r="K16" s="308"/>
      <c r="L16" s="308"/>
      <c r="M16" s="308"/>
      <c r="N16" s="308"/>
      <c r="O16" s="308"/>
      <c r="P16" s="308"/>
      <c r="Q16" s="309"/>
    </row>
    <row r="17" spans="2:17" ht="20.45" customHeight="1">
      <c r="D17" s="305"/>
      <c r="E17" s="306"/>
      <c r="F17" s="307"/>
      <c r="G17" s="308"/>
      <c r="H17" s="308"/>
      <c r="I17" s="308"/>
      <c r="J17" s="308"/>
      <c r="K17" s="308"/>
      <c r="L17" s="308"/>
      <c r="M17" s="308"/>
      <c r="N17" s="308"/>
      <c r="O17" s="308"/>
      <c r="P17" s="308"/>
      <c r="Q17" s="309"/>
    </row>
    <row r="18" spans="2:17" ht="20.45" customHeight="1">
      <c r="D18" s="305"/>
      <c r="E18" s="306"/>
      <c r="F18" s="307"/>
      <c r="G18" s="308"/>
      <c r="H18" s="308"/>
      <c r="I18" s="308"/>
      <c r="J18" s="308"/>
      <c r="K18" s="308"/>
      <c r="L18" s="308"/>
      <c r="M18" s="308"/>
      <c r="N18" s="308"/>
      <c r="O18" s="308"/>
      <c r="P18" s="308"/>
      <c r="Q18" s="309"/>
    </row>
    <row r="19" spans="2:17" ht="20.45" customHeight="1">
      <c r="D19" s="305"/>
      <c r="E19" s="306"/>
      <c r="F19" s="307"/>
      <c r="G19" s="308"/>
      <c r="H19" s="308"/>
      <c r="I19" s="308"/>
      <c r="J19" s="308"/>
      <c r="K19" s="308"/>
      <c r="L19" s="308"/>
      <c r="M19" s="308"/>
      <c r="N19" s="308"/>
      <c r="O19" s="308"/>
      <c r="P19" s="308"/>
      <c r="Q19" s="309"/>
    </row>
    <row r="20" spans="2:17" ht="20.45" customHeight="1">
      <c r="D20" s="305"/>
      <c r="E20" s="306"/>
      <c r="F20" s="307"/>
      <c r="G20" s="308"/>
      <c r="H20" s="308"/>
      <c r="I20" s="308"/>
      <c r="J20" s="308"/>
      <c r="K20" s="308"/>
      <c r="L20" s="308"/>
      <c r="M20" s="308"/>
      <c r="N20" s="308"/>
      <c r="O20" s="308"/>
      <c r="P20" s="308"/>
      <c r="Q20" s="309"/>
    </row>
    <row r="21" spans="2:17" ht="20.45" customHeight="1">
      <c r="D21" s="305"/>
      <c r="E21" s="306"/>
      <c r="F21" s="307"/>
      <c r="G21" s="308"/>
      <c r="H21" s="308"/>
      <c r="I21" s="308"/>
      <c r="J21" s="308"/>
      <c r="K21" s="308"/>
      <c r="L21" s="308"/>
      <c r="M21" s="308"/>
      <c r="N21" s="308"/>
      <c r="O21" s="308"/>
      <c r="P21" s="308"/>
      <c r="Q21" s="309"/>
    </row>
    <row r="22" spans="2:17" ht="20.45" customHeight="1">
      <c r="D22" s="305"/>
      <c r="E22" s="306"/>
      <c r="F22" s="307"/>
      <c r="G22" s="308"/>
      <c r="H22" s="308"/>
      <c r="I22" s="308"/>
      <c r="J22" s="308"/>
      <c r="K22" s="308"/>
      <c r="L22" s="308"/>
      <c r="M22" s="308"/>
      <c r="N22" s="308"/>
      <c r="O22" s="308"/>
      <c r="P22" s="308"/>
      <c r="Q22" s="309"/>
    </row>
    <row r="23" spans="2:17" ht="20.45" customHeight="1">
      <c r="D23" s="305"/>
      <c r="E23" s="306"/>
      <c r="F23" s="307"/>
      <c r="G23" s="308"/>
      <c r="H23" s="308"/>
      <c r="I23" s="308"/>
      <c r="J23" s="308"/>
      <c r="K23" s="308"/>
      <c r="L23" s="308"/>
      <c r="M23" s="308"/>
      <c r="N23" s="308"/>
      <c r="O23" s="308"/>
      <c r="P23" s="308"/>
      <c r="Q23" s="309"/>
    </row>
    <row r="24" spans="2:17" ht="20.45" customHeight="1">
      <c r="D24" s="305"/>
      <c r="E24" s="306"/>
      <c r="F24" s="307"/>
      <c r="G24" s="308"/>
      <c r="H24" s="308"/>
      <c r="I24" s="308"/>
      <c r="J24" s="308"/>
      <c r="K24" s="308"/>
      <c r="L24" s="308"/>
      <c r="M24" s="308"/>
      <c r="N24" s="308"/>
      <c r="O24" s="308"/>
      <c r="P24" s="308"/>
      <c r="Q24" s="309"/>
    </row>
    <row r="25" spans="2:17" ht="20.45" customHeight="1">
      <c r="D25" s="305"/>
      <c r="E25" s="306"/>
      <c r="F25" s="307"/>
      <c r="G25" s="308"/>
      <c r="H25" s="308"/>
      <c r="I25" s="308"/>
      <c r="J25" s="308"/>
      <c r="K25" s="308"/>
      <c r="L25" s="308"/>
      <c r="M25" s="308"/>
      <c r="N25" s="308"/>
      <c r="O25" s="308"/>
      <c r="P25" s="308"/>
      <c r="Q25" s="309"/>
    </row>
    <row r="26" spans="2:17" ht="20.45" customHeight="1">
      <c r="C26" s="292" t="s">
        <v>215</v>
      </c>
      <c r="D26" s="310" t="s">
        <v>216</v>
      </c>
      <c r="E26" s="311"/>
      <c r="F26" s="312"/>
      <c r="G26" s="313"/>
      <c r="H26" s="313"/>
      <c r="I26" s="313">
        <f ca="1">TRUNC([2]!sumcol(1,I3:I24))</f>
        <v>41868228</v>
      </c>
      <c r="J26" s="313"/>
      <c r="K26" s="313"/>
      <c r="L26" s="313">
        <f ca="1">TRUNC([2]!sumcol(1,L3:L24))</f>
        <v>98775174</v>
      </c>
      <c r="M26" s="313"/>
      <c r="N26" s="313">
        <f ca="1">TRUNC([2]!sumcol(1,N3:N24))</f>
        <v>1540380</v>
      </c>
      <c r="O26" s="308" t="str">
        <f>IF((H26+K26+M26)=0, "", (H26+K26+M26))</f>
        <v/>
      </c>
      <c r="P26" s="313">
        <f ca="1">I26+L26+N26</f>
        <v>142183782</v>
      </c>
      <c r="Q26" s="659">
        <f ca="1">P27-P26</f>
        <v>14322796</v>
      </c>
    </row>
    <row r="27" spans="2:17" ht="20.45" customHeight="1">
      <c r="C27" s="292" t="s">
        <v>215</v>
      </c>
      <c r="D27" s="305" t="s">
        <v>216</v>
      </c>
      <c r="E27" s="306"/>
      <c r="F27" s="307"/>
      <c r="G27" s="308"/>
      <c r="H27" s="308"/>
      <c r="I27" s="308">
        <f ca="1">TRUNC([2]!sumcol(0,I4:I25))</f>
        <v>48895473</v>
      </c>
      <c r="J27" s="308"/>
      <c r="K27" s="308"/>
      <c r="L27" s="308">
        <f ca="1">TRUNC([2]!sumcol(0,L4:L25))</f>
        <v>106329490</v>
      </c>
      <c r="M27" s="308"/>
      <c r="N27" s="308">
        <f ca="1">TRUNC([2]!sumcol(0,N4:N25))</f>
        <v>1281615</v>
      </c>
      <c r="O27" s="308" t="str">
        <f>IF((H27+K27+M27)=0, "", (H27+K27+M27))</f>
        <v/>
      </c>
      <c r="P27" s="308">
        <f ca="1">I27+L27+N27</f>
        <v>156506578</v>
      </c>
      <c r="Q27" s="660"/>
    </row>
    <row r="28" spans="2:17" ht="20.45" customHeight="1">
      <c r="B28" s="292" t="s">
        <v>208</v>
      </c>
      <c r="D28" s="661" t="s">
        <v>209</v>
      </c>
      <c r="E28" s="662"/>
      <c r="F28" s="662"/>
      <c r="G28" s="662"/>
      <c r="H28" s="662"/>
      <c r="I28" s="662"/>
      <c r="J28" s="662"/>
      <c r="K28" s="662"/>
      <c r="L28" s="662"/>
      <c r="M28" s="662"/>
      <c r="N28" s="662"/>
      <c r="O28" s="662"/>
      <c r="P28" s="662"/>
      <c r="Q28" s="663"/>
    </row>
    <row r="29" spans="2:17" s="295" customFormat="1" ht="20.25" customHeight="1">
      <c r="B29" s="296" t="s">
        <v>217</v>
      </c>
      <c r="C29" s="296"/>
      <c r="D29" s="314" t="s">
        <v>218</v>
      </c>
      <c r="E29" s="315"/>
      <c r="F29" s="316" t="s">
        <v>212</v>
      </c>
      <c r="G29" s="317">
        <v>1</v>
      </c>
      <c r="H29" s="317">
        <f>변경내역서!I673</f>
        <v>180667661</v>
      </c>
      <c r="I29" s="317">
        <f>G29*H29</f>
        <v>180667661</v>
      </c>
      <c r="J29" s="317"/>
      <c r="K29" s="317">
        <f>공종별집계표!L126</f>
        <v>0</v>
      </c>
      <c r="L29" s="317">
        <f>G29*K29</f>
        <v>0</v>
      </c>
      <c r="M29" s="317">
        <f>공종별집계표!N126</f>
        <v>0</v>
      </c>
      <c r="N29" s="317">
        <f>G29*M29</f>
        <v>0</v>
      </c>
      <c r="O29" s="317">
        <f>IF((H29+K29+M29)=0, "", (H29+K29+M29))</f>
        <v>180667661</v>
      </c>
      <c r="P29" s="317">
        <f>I29+L29+N29</f>
        <v>180667661</v>
      </c>
      <c r="Q29" s="314"/>
    </row>
    <row r="30" spans="2:17" ht="20.25" customHeight="1">
      <c r="B30" s="292" t="s">
        <v>217</v>
      </c>
      <c r="D30" s="318" t="s">
        <v>218</v>
      </c>
      <c r="E30" s="319"/>
      <c r="F30" s="320" t="s">
        <v>212</v>
      </c>
      <c r="G30" s="321">
        <v>1</v>
      </c>
      <c r="H30" s="321">
        <f ca="1">변경내역서!I674</f>
        <v>179032531</v>
      </c>
      <c r="I30" s="321">
        <f ca="1">G30*H30</f>
        <v>179032531</v>
      </c>
      <c r="J30" s="321"/>
      <c r="K30" s="321">
        <f ca="1">공종별집계표!L128</f>
        <v>0</v>
      </c>
      <c r="L30" s="321">
        <f ca="1">G30*K30</f>
        <v>0</v>
      </c>
      <c r="M30" s="321">
        <f ca="1">공종별집계표!N128</f>
        <v>0</v>
      </c>
      <c r="N30" s="321">
        <f ca="1">G30*M30</f>
        <v>0</v>
      </c>
      <c r="O30" s="321">
        <f ca="1">IF((H30+K30+M30)=0, "", (H30+K30+M30))</f>
        <v>179032531</v>
      </c>
      <c r="P30" s="321">
        <f ca="1">I30+L30+N30</f>
        <v>179032531</v>
      </c>
      <c r="Q30" s="318"/>
    </row>
    <row r="31" spans="2:17" s="295" customFormat="1" ht="20.25" customHeight="1">
      <c r="B31" s="296" t="s">
        <v>219</v>
      </c>
      <c r="C31" s="296"/>
      <c r="D31" s="314" t="s">
        <v>220</v>
      </c>
      <c r="E31" s="315"/>
      <c r="F31" s="316" t="s">
        <v>212</v>
      </c>
      <c r="G31" s="317">
        <v>1</v>
      </c>
      <c r="H31" s="317">
        <f>변경내역서!I724+변경내역서!I775</f>
        <v>99053574</v>
      </c>
      <c r="I31" s="317">
        <f>G31*H31</f>
        <v>99053574</v>
      </c>
      <c r="J31" s="317"/>
      <c r="K31" s="317">
        <f>공종별집계표!L153</f>
        <v>0</v>
      </c>
      <c r="L31" s="317">
        <f>G31*K31</f>
        <v>0</v>
      </c>
      <c r="M31" s="317">
        <f>공종별집계표!N153</f>
        <v>0</v>
      </c>
      <c r="N31" s="317">
        <f>G31*M31</f>
        <v>0</v>
      </c>
      <c r="O31" s="317">
        <f>IF((H31+K31+M31)=0, "", (H31+K31+M31))</f>
        <v>99053574</v>
      </c>
      <c r="P31" s="317">
        <f>I31+L31+N31</f>
        <v>99053574</v>
      </c>
      <c r="Q31" s="314"/>
    </row>
    <row r="32" spans="2:17" ht="20.25" customHeight="1">
      <c r="B32" s="292" t="s">
        <v>219</v>
      </c>
      <c r="D32" s="318" t="s">
        <v>220</v>
      </c>
      <c r="E32" s="319"/>
      <c r="F32" s="320" t="s">
        <v>212</v>
      </c>
      <c r="G32" s="321">
        <v>1</v>
      </c>
      <c r="H32" s="322">
        <f ca="1">변경내역서!I725+변경내역서!I776</f>
        <v>117459903</v>
      </c>
      <c r="I32" s="322">
        <f ca="1">G32*H32</f>
        <v>117459903</v>
      </c>
      <c r="J32" s="322"/>
      <c r="K32" s="322">
        <f ca="1">공종별집계표!L154</f>
        <v>0</v>
      </c>
      <c r="L32" s="322">
        <f ca="1">G32*K32</f>
        <v>0</v>
      </c>
      <c r="M32" s="322">
        <f ca="1">공종별집계표!N154</f>
        <v>0</v>
      </c>
      <c r="N32" s="322">
        <f ca="1">G32*M32</f>
        <v>0</v>
      </c>
      <c r="O32" s="322">
        <f ca="1">IF((H32+K32+M32)=0, "", (H32+K32+M32))</f>
        <v>117459903</v>
      </c>
      <c r="P32" s="322">
        <f ca="1">I32+L32+N32</f>
        <v>117459903</v>
      </c>
      <c r="Q32" s="318"/>
    </row>
    <row r="33" spans="4:17" ht="20.45" customHeight="1">
      <c r="D33" s="305"/>
      <c r="E33" s="306"/>
      <c r="F33" s="307"/>
      <c r="G33" s="308"/>
      <c r="H33" s="308"/>
      <c r="I33" s="308"/>
      <c r="J33" s="308"/>
      <c r="K33" s="308"/>
      <c r="L33" s="308"/>
      <c r="M33" s="308"/>
      <c r="N33" s="308"/>
      <c r="O33" s="308"/>
      <c r="P33" s="308">
        <f>I33+L33+N33</f>
        <v>0</v>
      </c>
      <c r="Q33" s="305"/>
    </row>
    <row r="34" spans="4:17" ht="20.45" customHeight="1">
      <c r="D34" s="305"/>
      <c r="E34" s="306"/>
      <c r="F34" s="307"/>
      <c r="G34" s="308"/>
      <c r="H34" s="308"/>
      <c r="I34" s="308"/>
      <c r="J34" s="308"/>
      <c r="K34" s="308"/>
      <c r="L34" s="308"/>
      <c r="M34" s="308"/>
      <c r="N34" s="308"/>
      <c r="O34" s="308"/>
      <c r="P34" s="308"/>
      <c r="Q34" s="305"/>
    </row>
    <row r="35" spans="4:17" ht="20.45" customHeight="1">
      <c r="D35" s="305"/>
      <c r="E35" s="306"/>
      <c r="F35" s="307"/>
      <c r="G35" s="308"/>
      <c r="H35" s="308"/>
      <c r="I35" s="308"/>
      <c r="J35" s="308"/>
      <c r="K35" s="308"/>
      <c r="L35" s="308"/>
      <c r="M35" s="308"/>
      <c r="N35" s="308"/>
      <c r="O35" s="308"/>
      <c r="P35" s="308"/>
      <c r="Q35" s="305"/>
    </row>
    <row r="36" spans="4:17" ht="20.45" customHeight="1">
      <c r="D36" s="305"/>
      <c r="E36" s="306"/>
      <c r="F36" s="307"/>
      <c r="G36" s="308"/>
      <c r="H36" s="308"/>
      <c r="I36" s="308"/>
      <c r="J36" s="308"/>
      <c r="K36" s="308"/>
      <c r="L36" s="308"/>
      <c r="M36" s="308"/>
      <c r="N36" s="308"/>
      <c r="O36" s="308"/>
      <c r="P36" s="308"/>
      <c r="Q36" s="305"/>
    </row>
    <row r="37" spans="4:17" ht="20.45" customHeight="1">
      <c r="D37" s="305"/>
      <c r="E37" s="306"/>
      <c r="F37" s="307"/>
      <c r="G37" s="308"/>
      <c r="H37" s="308"/>
      <c r="I37" s="308"/>
      <c r="J37" s="308"/>
      <c r="K37" s="308"/>
      <c r="L37" s="308"/>
      <c r="M37" s="308"/>
      <c r="N37" s="308"/>
      <c r="O37" s="308"/>
      <c r="P37" s="308"/>
      <c r="Q37" s="305"/>
    </row>
    <row r="38" spans="4:17" ht="20.45" customHeight="1">
      <c r="D38" s="305"/>
      <c r="E38" s="306"/>
      <c r="F38" s="307"/>
      <c r="G38" s="308"/>
      <c r="H38" s="308"/>
      <c r="I38" s="308"/>
      <c r="J38" s="308"/>
      <c r="K38" s="308"/>
      <c r="L38" s="308"/>
      <c r="M38" s="308"/>
      <c r="N38" s="308"/>
      <c r="O38" s="308"/>
      <c r="P38" s="308"/>
      <c r="Q38" s="305"/>
    </row>
    <row r="39" spans="4:17" ht="20.45" customHeight="1">
      <c r="D39" s="305"/>
      <c r="E39" s="306"/>
      <c r="F39" s="307"/>
      <c r="G39" s="308"/>
      <c r="H39" s="308"/>
      <c r="I39" s="308"/>
      <c r="J39" s="308"/>
      <c r="K39" s="308"/>
      <c r="L39" s="308"/>
      <c r="M39" s="308"/>
      <c r="N39" s="308"/>
      <c r="O39" s="308"/>
      <c r="P39" s="308"/>
      <c r="Q39" s="305"/>
    </row>
    <row r="40" spans="4:17" ht="20.45" customHeight="1">
      <c r="D40" s="305"/>
      <c r="E40" s="306"/>
      <c r="F40" s="307"/>
      <c r="G40" s="308"/>
      <c r="H40" s="308"/>
      <c r="I40" s="308"/>
      <c r="J40" s="308"/>
      <c r="K40" s="308"/>
      <c r="L40" s="308"/>
      <c r="M40" s="308"/>
      <c r="N40" s="308"/>
      <c r="O40" s="308"/>
      <c r="P40" s="308"/>
      <c r="Q40" s="305"/>
    </row>
    <row r="41" spans="4:17" ht="20.45" customHeight="1">
      <c r="D41" s="305"/>
      <c r="E41" s="306"/>
      <c r="F41" s="307"/>
      <c r="G41" s="308"/>
      <c r="H41" s="308"/>
      <c r="I41" s="308"/>
      <c r="J41" s="308"/>
      <c r="K41" s="308"/>
      <c r="L41" s="308"/>
      <c r="M41" s="308"/>
      <c r="N41" s="308"/>
      <c r="O41" s="308"/>
      <c r="P41" s="308"/>
      <c r="Q41" s="305"/>
    </row>
    <row r="42" spans="4:17" ht="20.45" customHeight="1">
      <c r="D42" s="305"/>
      <c r="E42" s="306"/>
      <c r="F42" s="307"/>
      <c r="G42" s="308"/>
      <c r="H42" s="308"/>
      <c r="I42" s="308"/>
      <c r="J42" s="308"/>
      <c r="K42" s="308"/>
      <c r="L42" s="308"/>
      <c r="M42" s="308"/>
      <c r="N42" s="308"/>
      <c r="O42" s="308"/>
      <c r="P42" s="308"/>
      <c r="Q42" s="305"/>
    </row>
    <row r="43" spans="4:17" ht="20.45" customHeight="1">
      <c r="D43" s="305"/>
      <c r="E43" s="306"/>
      <c r="F43" s="307"/>
      <c r="G43" s="308"/>
      <c r="H43" s="308"/>
      <c r="I43" s="308"/>
      <c r="J43" s="308"/>
      <c r="K43" s="308"/>
      <c r="L43" s="308"/>
      <c r="M43" s="308"/>
      <c r="N43" s="308"/>
      <c r="O43" s="308"/>
      <c r="P43" s="308"/>
      <c r="Q43" s="305"/>
    </row>
    <row r="44" spans="4:17" ht="20.45" customHeight="1">
      <c r="D44" s="305"/>
      <c r="E44" s="306"/>
      <c r="F44" s="307"/>
      <c r="G44" s="308"/>
      <c r="H44" s="308"/>
      <c r="I44" s="308"/>
      <c r="J44" s="308"/>
      <c r="K44" s="308"/>
      <c r="L44" s="308"/>
      <c r="M44" s="308"/>
      <c r="N44" s="308"/>
      <c r="O44" s="308"/>
      <c r="P44" s="308"/>
      <c r="Q44" s="305"/>
    </row>
    <row r="45" spans="4:17" ht="20.45" customHeight="1">
      <c r="D45" s="305"/>
      <c r="E45" s="306"/>
      <c r="F45" s="307"/>
      <c r="G45" s="308"/>
      <c r="H45" s="308"/>
      <c r="I45" s="308"/>
      <c r="J45" s="308"/>
      <c r="K45" s="308"/>
      <c r="L45" s="308"/>
      <c r="M45" s="308"/>
      <c r="N45" s="308"/>
      <c r="O45" s="308"/>
      <c r="P45" s="308"/>
      <c r="Q45" s="305"/>
    </row>
    <row r="46" spans="4:17" ht="20.45" customHeight="1">
      <c r="D46" s="305"/>
      <c r="E46" s="306"/>
      <c r="F46" s="307"/>
      <c r="G46" s="308"/>
      <c r="H46" s="308"/>
      <c r="I46" s="308"/>
      <c r="J46" s="308"/>
      <c r="K46" s="308"/>
      <c r="L46" s="308"/>
      <c r="M46" s="308"/>
      <c r="N46" s="308"/>
      <c r="O46" s="308"/>
      <c r="P46" s="308"/>
      <c r="Q46" s="305"/>
    </row>
    <row r="47" spans="4:17" ht="20.45" customHeight="1">
      <c r="D47" s="305"/>
      <c r="E47" s="306"/>
      <c r="F47" s="307"/>
      <c r="G47" s="308"/>
      <c r="H47" s="308"/>
      <c r="I47" s="308"/>
      <c r="J47" s="308"/>
      <c r="K47" s="308"/>
      <c r="L47" s="308"/>
      <c r="M47" s="308"/>
      <c r="N47" s="308"/>
      <c r="O47" s="308"/>
      <c r="P47" s="308"/>
      <c r="Q47" s="305"/>
    </row>
    <row r="48" spans="4:17" ht="20.45" customHeight="1">
      <c r="D48" s="305"/>
      <c r="E48" s="306"/>
      <c r="F48" s="307"/>
      <c r="G48" s="308"/>
      <c r="H48" s="308"/>
      <c r="I48" s="308"/>
      <c r="J48" s="308"/>
      <c r="K48" s="308"/>
      <c r="L48" s="308"/>
      <c r="M48" s="308"/>
      <c r="N48" s="308"/>
      <c r="O48" s="308"/>
      <c r="P48" s="308"/>
      <c r="Q48" s="305"/>
    </row>
    <row r="49" spans="2:17" ht="20.45" customHeight="1">
      <c r="C49" s="292" t="s">
        <v>215</v>
      </c>
      <c r="D49" s="310" t="s">
        <v>216</v>
      </c>
      <c r="E49" s="311"/>
      <c r="F49" s="312"/>
      <c r="G49" s="313"/>
      <c r="H49" s="313"/>
      <c r="I49" s="313">
        <f>I29+I31</f>
        <v>279721235</v>
      </c>
      <c r="J49" s="313"/>
      <c r="K49" s="313"/>
      <c r="L49" s="313">
        <f>L29+L31</f>
        <v>0</v>
      </c>
      <c r="M49" s="313"/>
      <c r="N49" s="313">
        <f>N29+N31</f>
        <v>0</v>
      </c>
      <c r="O49" s="313" t="str">
        <f>IF((H49+K49+M49)=0, "", (H49+K49+M49))</f>
        <v/>
      </c>
      <c r="P49" s="313">
        <f>I49+L49+N49</f>
        <v>279721235</v>
      </c>
      <c r="Q49" s="305"/>
    </row>
    <row r="50" spans="2:17" ht="20.45" customHeight="1">
      <c r="C50" s="292" t="s">
        <v>215</v>
      </c>
      <c r="D50" s="305" t="s">
        <v>216</v>
      </c>
      <c r="E50" s="306"/>
      <c r="F50" s="307"/>
      <c r="G50" s="308"/>
      <c r="H50" s="308"/>
      <c r="I50" s="308">
        <f ca="1">I30+I32</f>
        <v>296492434</v>
      </c>
      <c r="J50" s="308"/>
      <c r="K50" s="308"/>
      <c r="L50" s="308">
        <f ca="1">TRUNC([2]!sumcol(0,L28:L48))</f>
        <v>0</v>
      </c>
      <c r="M50" s="308"/>
      <c r="N50" s="308">
        <f ca="1">TRUNC([2]!sumcol(0,N28:N48))</f>
        <v>0</v>
      </c>
      <c r="O50" s="308" t="str">
        <f>IF((H50+K50+M50)=0, "", (H50+K50+M50))</f>
        <v/>
      </c>
      <c r="P50" s="308">
        <f ca="1">I50+L50+N50</f>
        <v>296492434</v>
      </c>
      <c r="Q50" s="305"/>
    </row>
    <row r="51" spans="2:17" ht="20.45" customHeight="1">
      <c r="B51" s="292" t="s">
        <v>208</v>
      </c>
      <c r="D51" s="661" t="s">
        <v>211</v>
      </c>
      <c r="E51" s="662"/>
      <c r="F51" s="662"/>
      <c r="G51" s="662"/>
      <c r="H51" s="662"/>
      <c r="I51" s="662"/>
      <c r="J51" s="662"/>
      <c r="K51" s="662"/>
      <c r="L51" s="662"/>
      <c r="M51" s="662"/>
      <c r="N51" s="662"/>
      <c r="O51" s="662"/>
      <c r="P51" s="662"/>
      <c r="Q51" s="663"/>
    </row>
    <row r="52" spans="2:17" s="324" customFormat="1" ht="20.25" customHeight="1">
      <c r="B52" s="323" t="s">
        <v>221</v>
      </c>
      <c r="C52" s="323"/>
      <c r="D52" s="297" t="s">
        <v>222</v>
      </c>
      <c r="E52" s="298"/>
      <c r="F52" s="299" t="s">
        <v>212</v>
      </c>
      <c r="G52" s="300">
        <v>1</v>
      </c>
      <c r="H52" s="300">
        <f>변경내역서!I113</f>
        <v>13168183</v>
      </c>
      <c r="I52" s="300">
        <f>G52*H52</f>
        <v>13168183</v>
      </c>
      <c r="J52" s="300"/>
      <c r="K52" s="300">
        <f>변경내역서!K113</f>
        <v>23888985</v>
      </c>
      <c r="L52" s="300">
        <f>G52*K52</f>
        <v>23888985</v>
      </c>
      <c r="M52" s="300">
        <f>변경내역서!M113</f>
        <v>1270808</v>
      </c>
      <c r="N52" s="300">
        <f>G52*M52</f>
        <v>1270808</v>
      </c>
      <c r="O52" s="300">
        <f>IF((H52+K52+M52)=0, "", (H52+K52+M52))</f>
        <v>38327976</v>
      </c>
      <c r="P52" s="300">
        <f>I52+L52+N52</f>
        <v>38327976</v>
      </c>
      <c r="Q52" s="659">
        <f>P53-P52</f>
        <v>20416145</v>
      </c>
    </row>
    <row r="53" spans="2:17" s="326" customFormat="1" ht="20.25" customHeight="1">
      <c r="B53" s="325" t="s">
        <v>221</v>
      </c>
      <c r="C53" s="325"/>
      <c r="D53" s="301" t="s">
        <v>222</v>
      </c>
      <c r="E53" s="302"/>
      <c r="F53" s="303" t="s">
        <v>212</v>
      </c>
      <c r="G53" s="304">
        <v>1</v>
      </c>
      <c r="H53" s="304">
        <f>변경내역서!I114</f>
        <v>16886561</v>
      </c>
      <c r="I53" s="304">
        <f>G53*H53</f>
        <v>16886561</v>
      </c>
      <c r="J53" s="304"/>
      <c r="K53" s="304">
        <f>변경내역서!K114</f>
        <v>40880064</v>
      </c>
      <c r="L53" s="304">
        <f>G53*K53</f>
        <v>40880064</v>
      </c>
      <c r="M53" s="304">
        <f>변경내역서!M114</f>
        <v>977496</v>
      </c>
      <c r="N53" s="304">
        <f>G53*M53</f>
        <v>977496</v>
      </c>
      <c r="O53" s="304">
        <f>IF((H53+K53+M53)=0, "", (H53+K53+M53))</f>
        <v>58744121</v>
      </c>
      <c r="P53" s="304">
        <f>I53+L53+N53</f>
        <v>58744121</v>
      </c>
      <c r="Q53" s="660"/>
    </row>
    <row r="54" spans="2:17" s="324" customFormat="1" ht="20.25" customHeight="1">
      <c r="B54" s="323" t="s">
        <v>223</v>
      </c>
      <c r="C54" s="323"/>
      <c r="D54" s="297" t="s">
        <v>224</v>
      </c>
      <c r="E54" s="298"/>
      <c r="F54" s="299" t="s">
        <v>212</v>
      </c>
      <c r="G54" s="300">
        <v>1</v>
      </c>
      <c r="H54" s="300">
        <f>변경내역서!I216</f>
        <v>14967149</v>
      </c>
      <c r="I54" s="300">
        <f>G54*H54</f>
        <v>14967149</v>
      </c>
      <c r="J54" s="300"/>
      <c r="K54" s="300">
        <f>변경내역서!K216</f>
        <v>7271806</v>
      </c>
      <c r="L54" s="300">
        <f>G54*K54</f>
        <v>7271806</v>
      </c>
      <c r="M54" s="300">
        <f>변경내역서!M216</f>
        <v>196414</v>
      </c>
      <c r="N54" s="300">
        <f>G54*M54</f>
        <v>196414</v>
      </c>
      <c r="O54" s="300">
        <f>IF((H54+K54+M54)=0, "", (H54+K54+M54))</f>
        <v>22435369</v>
      </c>
      <c r="P54" s="300">
        <f>I54+L54+N54</f>
        <v>22435369</v>
      </c>
      <c r="Q54" s="659">
        <f>P55-P54</f>
        <v>23558318</v>
      </c>
    </row>
    <row r="55" spans="2:17" s="326" customFormat="1" ht="20.25" customHeight="1">
      <c r="B55" s="325" t="s">
        <v>223</v>
      </c>
      <c r="C55" s="325"/>
      <c r="D55" s="301" t="s">
        <v>224</v>
      </c>
      <c r="E55" s="302"/>
      <c r="F55" s="303" t="s">
        <v>212</v>
      </c>
      <c r="G55" s="304">
        <v>1</v>
      </c>
      <c r="H55" s="304">
        <f>변경내역서!I217</f>
        <v>25477253</v>
      </c>
      <c r="I55" s="304">
        <f>G55*H55</f>
        <v>25477253</v>
      </c>
      <c r="J55" s="304"/>
      <c r="K55" s="304">
        <f>변경내역서!K217</f>
        <v>20212315</v>
      </c>
      <c r="L55" s="304">
        <f>G55*K55</f>
        <v>20212315</v>
      </c>
      <c r="M55" s="304">
        <f>변경내역서!M217</f>
        <v>304119</v>
      </c>
      <c r="N55" s="304">
        <f>G55*M55</f>
        <v>304119</v>
      </c>
      <c r="O55" s="304">
        <f>IF((H55+K55+M55)=0, "", (H55+K55+M55))</f>
        <v>45993687</v>
      </c>
      <c r="P55" s="304">
        <f>I55+L55+N55</f>
        <v>45993687</v>
      </c>
      <c r="Q55" s="660"/>
    </row>
    <row r="56" spans="2:17" ht="20.45" customHeight="1">
      <c r="D56" s="305"/>
      <c r="E56" s="306"/>
      <c r="F56" s="307"/>
      <c r="G56" s="308"/>
      <c r="H56" s="308"/>
      <c r="I56" s="308"/>
      <c r="J56" s="308"/>
      <c r="K56" s="308"/>
      <c r="L56" s="308"/>
      <c r="M56" s="308"/>
      <c r="N56" s="308"/>
      <c r="O56" s="308"/>
      <c r="P56" s="308"/>
      <c r="Q56" s="305"/>
    </row>
    <row r="57" spans="2:17" ht="20.45" customHeight="1">
      <c r="D57" s="305"/>
      <c r="E57" s="306"/>
      <c r="F57" s="307"/>
      <c r="G57" s="308"/>
      <c r="H57" s="308"/>
      <c r="I57" s="308"/>
      <c r="J57" s="308"/>
      <c r="K57" s="308"/>
      <c r="L57" s="308"/>
      <c r="M57" s="308"/>
      <c r="N57" s="308"/>
      <c r="O57" s="308"/>
      <c r="P57" s="308"/>
      <c r="Q57" s="305"/>
    </row>
    <row r="58" spans="2:17" ht="20.45" customHeight="1">
      <c r="D58" s="305"/>
      <c r="E58" s="306"/>
      <c r="F58" s="307"/>
      <c r="G58" s="308"/>
      <c r="H58" s="308"/>
      <c r="I58" s="308"/>
      <c r="J58" s="308"/>
      <c r="K58" s="308"/>
      <c r="L58" s="308"/>
      <c r="M58" s="308"/>
      <c r="N58" s="308"/>
      <c r="O58" s="308"/>
      <c r="P58" s="308"/>
      <c r="Q58" s="305"/>
    </row>
    <row r="59" spans="2:17" ht="20.45" customHeight="1">
      <c r="D59" s="305"/>
      <c r="E59" s="306"/>
      <c r="F59" s="307"/>
      <c r="G59" s="308"/>
      <c r="H59" s="308"/>
      <c r="I59" s="308"/>
      <c r="J59" s="308"/>
      <c r="K59" s="308"/>
      <c r="L59" s="308"/>
      <c r="M59" s="308"/>
      <c r="N59" s="308"/>
      <c r="O59" s="308"/>
      <c r="P59" s="308"/>
      <c r="Q59" s="305"/>
    </row>
    <row r="60" spans="2:17" ht="20.45" customHeight="1">
      <c r="D60" s="305"/>
      <c r="E60" s="306"/>
      <c r="F60" s="307"/>
      <c r="G60" s="308"/>
      <c r="H60" s="308"/>
      <c r="I60" s="308"/>
      <c r="J60" s="308"/>
      <c r="K60" s="308"/>
      <c r="L60" s="308"/>
      <c r="M60" s="308"/>
      <c r="N60" s="308"/>
      <c r="O60" s="308"/>
      <c r="P60" s="308"/>
      <c r="Q60" s="305"/>
    </row>
    <row r="61" spans="2:17" ht="20.45" customHeight="1">
      <c r="D61" s="305"/>
      <c r="E61" s="306"/>
      <c r="F61" s="307"/>
      <c r="G61" s="308"/>
      <c r="H61" s="308"/>
      <c r="I61" s="308"/>
      <c r="J61" s="308"/>
      <c r="K61" s="308"/>
      <c r="L61" s="308"/>
      <c r="M61" s="308"/>
      <c r="N61" s="308"/>
      <c r="O61" s="308"/>
      <c r="P61" s="308"/>
      <c r="Q61" s="305"/>
    </row>
    <row r="62" spans="2:17" ht="20.45" customHeight="1">
      <c r="D62" s="305"/>
      <c r="E62" s="306"/>
      <c r="F62" s="307"/>
      <c r="G62" s="308"/>
      <c r="H62" s="308"/>
      <c r="I62" s="308"/>
      <c r="J62" s="308"/>
      <c r="K62" s="308"/>
      <c r="L62" s="308"/>
      <c r="M62" s="308"/>
      <c r="N62" s="308"/>
      <c r="O62" s="308"/>
      <c r="P62" s="308"/>
      <c r="Q62" s="305"/>
    </row>
    <row r="63" spans="2:17" ht="20.45" customHeight="1">
      <c r="D63" s="305"/>
      <c r="E63" s="306"/>
      <c r="F63" s="307"/>
      <c r="G63" s="308"/>
      <c r="H63" s="308"/>
      <c r="I63" s="308"/>
      <c r="J63" s="308"/>
      <c r="K63" s="308"/>
      <c r="L63" s="308"/>
      <c r="M63" s="308"/>
      <c r="N63" s="308"/>
      <c r="O63" s="308"/>
      <c r="P63" s="308"/>
      <c r="Q63" s="305"/>
    </row>
    <row r="64" spans="2:17" ht="20.45" customHeight="1">
      <c r="D64" s="305"/>
      <c r="E64" s="306"/>
      <c r="F64" s="307"/>
      <c r="G64" s="308"/>
      <c r="H64" s="308"/>
      <c r="I64" s="308"/>
      <c r="J64" s="308"/>
      <c r="K64" s="308"/>
      <c r="L64" s="308"/>
      <c r="M64" s="308"/>
      <c r="N64" s="308"/>
      <c r="O64" s="308"/>
      <c r="P64" s="308"/>
      <c r="Q64" s="305"/>
    </row>
    <row r="65" spans="2:17" ht="20.45" customHeight="1">
      <c r="D65" s="305"/>
      <c r="E65" s="306"/>
      <c r="F65" s="307"/>
      <c r="G65" s="308"/>
      <c r="H65" s="308"/>
      <c r="I65" s="308"/>
      <c r="J65" s="308"/>
      <c r="K65" s="308"/>
      <c r="L65" s="308"/>
      <c r="M65" s="308"/>
      <c r="N65" s="308"/>
      <c r="O65" s="308"/>
      <c r="P65" s="308"/>
      <c r="Q65" s="305"/>
    </row>
    <row r="66" spans="2:17" ht="20.45" customHeight="1">
      <c r="D66" s="305"/>
      <c r="E66" s="306"/>
      <c r="F66" s="307"/>
      <c r="G66" s="308"/>
      <c r="H66" s="308"/>
      <c r="I66" s="308"/>
      <c r="J66" s="308"/>
      <c r="K66" s="308"/>
      <c r="L66" s="308"/>
      <c r="M66" s="308"/>
      <c r="N66" s="308"/>
      <c r="O66" s="308"/>
      <c r="P66" s="308"/>
      <c r="Q66" s="305"/>
    </row>
    <row r="67" spans="2:17" ht="20.45" customHeight="1">
      <c r="D67" s="305"/>
      <c r="E67" s="306"/>
      <c r="F67" s="307"/>
      <c r="G67" s="308"/>
      <c r="H67" s="308"/>
      <c r="I67" s="308"/>
      <c r="J67" s="308"/>
      <c r="K67" s="308"/>
      <c r="L67" s="308"/>
      <c r="M67" s="308"/>
      <c r="N67" s="308"/>
      <c r="O67" s="308"/>
      <c r="P67" s="308"/>
      <c r="Q67" s="305"/>
    </row>
    <row r="68" spans="2:17" ht="20.45" customHeight="1">
      <c r="D68" s="305"/>
      <c r="E68" s="306"/>
      <c r="F68" s="307"/>
      <c r="G68" s="308"/>
      <c r="H68" s="308"/>
      <c r="I68" s="308"/>
      <c r="J68" s="308"/>
      <c r="K68" s="308"/>
      <c r="L68" s="308"/>
      <c r="M68" s="308"/>
      <c r="N68" s="308"/>
      <c r="O68" s="308"/>
      <c r="P68" s="308"/>
      <c r="Q68" s="305"/>
    </row>
    <row r="69" spans="2:17" ht="20.45" customHeight="1">
      <c r="D69" s="305"/>
      <c r="E69" s="306"/>
      <c r="F69" s="307"/>
      <c r="G69" s="308"/>
      <c r="H69" s="308"/>
      <c r="I69" s="308"/>
      <c r="J69" s="308"/>
      <c r="K69" s="308"/>
      <c r="L69" s="308"/>
      <c r="M69" s="308"/>
      <c r="N69" s="308"/>
      <c r="O69" s="308"/>
      <c r="P69" s="308"/>
      <c r="Q69" s="305"/>
    </row>
    <row r="70" spans="2:17" ht="20.45" customHeight="1">
      <c r="D70" s="305"/>
      <c r="E70" s="306"/>
      <c r="F70" s="307"/>
      <c r="G70" s="308"/>
      <c r="H70" s="308"/>
      <c r="I70" s="308"/>
      <c r="J70" s="308"/>
      <c r="K70" s="308"/>
      <c r="L70" s="308"/>
      <c r="M70" s="308"/>
      <c r="N70" s="308"/>
      <c r="O70" s="308"/>
      <c r="P70" s="308"/>
      <c r="Q70" s="305"/>
    </row>
    <row r="71" spans="2:17" ht="20.45" customHeight="1">
      <c r="D71" s="305"/>
      <c r="E71" s="306"/>
      <c r="F71" s="307"/>
      <c r="G71" s="308"/>
      <c r="H71" s="308"/>
      <c r="I71" s="308"/>
      <c r="J71" s="308"/>
      <c r="K71" s="308"/>
      <c r="L71" s="308"/>
      <c r="M71" s="308"/>
      <c r="N71" s="308"/>
      <c r="O71" s="308"/>
      <c r="P71" s="308"/>
      <c r="Q71" s="305"/>
    </row>
    <row r="72" spans="2:17" ht="20.45" customHeight="1">
      <c r="D72" s="305"/>
      <c r="E72" s="306"/>
      <c r="F72" s="307"/>
      <c r="G72" s="308"/>
      <c r="H72" s="308"/>
      <c r="I72" s="308"/>
      <c r="J72" s="308"/>
      <c r="K72" s="308"/>
      <c r="L72" s="308"/>
      <c r="M72" s="308"/>
      <c r="N72" s="308"/>
      <c r="O72" s="308"/>
      <c r="P72" s="308"/>
      <c r="Q72" s="305"/>
    </row>
    <row r="73" spans="2:17" ht="20.45" customHeight="1">
      <c r="B73" s="292" t="s">
        <v>210</v>
      </c>
      <c r="C73" s="292" t="s">
        <v>215</v>
      </c>
      <c r="D73" s="310" t="s">
        <v>216</v>
      </c>
      <c r="E73" s="311"/>
      <c r="F73" s="312"/>
      <c r="G73" s="313"/>
      <c r="H73" s="313"/>
      <c r="I73" s="313">
        <f>I52+I54</f>
        <v>28135332</v>
      </c>
      <c r="J73" s="313"/>
      <c r="K73" s="313"/>
      <c r="L73" s="313">
        <f>L52+L54</f>
        <v>31160791</v>
      </c>
      <c r="M73" s="313"/>
      <c r="N73" s="313">
        <f>N52+N54</f>
        <v>1467222</v>
      </c>
      <c r="O73" s="313" t="str">
        <f>IF((H73+K73+M73)=0, "", (H73+K73+M73))</f>
        <v/>
      </c>
      <c r="P73" s="313">
        <f>I73+L73+N73</f>
        <v>60763345</v>
      </c>
      <c r="Q73" s="659">
        <f>P74-P73</f>
        <v>43974463</v>
      </c>
    </row>
    <row r="74" spans="2:17" ht="20.45" customHeight="1">
      <c r="B74" s="292" t="s">
        <v>210</v>
      </c>
      <c r="C74" s="292" t="s">
        <v>215</v>
      </c>
      <c r="D74" s="305" t="s">
        <v>216</v>
      </c>
      <c r="E74" s="306"/>
      <c r="F74" s="307"/>
      <c r="G74" s="308"/>
      <c r="H74" s="308"/>
      <c r="I74" s="308">
        <f>I53+I55</f>
        <v>42363814</v>
      </c>
      <c r="J74" s="308"/>
      <c r="K74" s="308"/>
      <c r="L74" s="308">
        <f>L53+L55</f>
        <v>61092379</v>
      </c>
      <c r="M74" s="308"/>
      <c r="N74" s="308">
        <f>N53+N55</f>
        <v>1281615</v>
      </c>
      <c r="O74" s="308" t="str">
        <f>IF((H74+K74+M74)=0, "", (H74+K74+M74))</f>
        <v/>
      </c>
      <c r="P74" s="308">
        <f>I74+L74+N74</f>
        <v>104737808</v>
      </c>
      <c r="Q74" s="660"/>
    </row>
    <row r="75" spans="2:17" ht="20.45" customHeight="1">
      <c r="B75" s="292" t="s">
        <v>208</v>
      </c>
      <c r="D75" s="661" t="s">
        <v>214</v>
      </c>
      <c r="E75" s="662"/>
      <c r="F75" s="662"/>
      <c r="G75" s="662"/>
      <c r="H75" s="662"/>
      <c r="I75" s="662"/>
      <c r="J75" s="662"/>
      <c r="K75" s="662"/>
      <c r="L75" s="662"/>
      <c r="M75" s="662"/>
      <c r="N75" s="662"/>
      <c r="O75" s="662"/>
      <c r="P75" s="662"/>
      <c r="Q75" s="663"/>
    </row>
    <row r="76" spans="2:17" s="295" customFormat="1" ht="20.25" customHeight="1">
      <c r="B76" s="296" t="s">
        <v>225</v>
      </c>
      <c r="C76" s="296"/>
      <c r="D76" s="314" t="s">
        <v>226</v>
      </c>
      <c r="E76" s="315"/>
      <c r="F76" s="316" t="s">
        <v>212</v>
      </c>
      <c r="G76" s="317">
        <v>1</v>
      </c>
      <c r="H76" s="317">
        <f>변경내역서!I325</f>
        <v>2755691</v>
      </c>
      <c r="I76" s="317">
        <f t="shared" ref="I76:I87" si="0">G76*H76</f>
        <v>2755691</v>
      </c>
      <c r="J76" s="317"/>
      <c r="K76" s="317">
        <f>변경내역서!K325</f>
        <v>7094670</v>
      </c>
      <c r="L76" s="317">
        <f t="shared" ref="L76:L87" si="1">G76*K76</f>
        <v>7094670</v>
      </c>
      <c r="M76" s="317">
        <f>변경내역서!M325</f>
        <v>2512</v>
      </c>
      <c r="N76" s="317">
        <f t="shared" ref="N76:N87" si="2">G76*M76</f>
        <v>2512</v>
      </c>
      <c r="O76" s="317">
        <f t="shared" ref="O76:O87" si="3">IF((H76+K76+M76)=0, "", (H76+K76+M76))</f>
        <v>9852873</v>
      </c>
      <c r="P76" s="317">
        <f t="shared" ref="P76:P87" si="4">I76+L76+N76</f>
        <v>9852873</v>
      </c>
      <c r="Q76" s="659">
        <f>P77-P76</f>
        <v>-2822057</v>
      </c>
    </row>
    <row r="77" spans="2:17" ht="20.25" customHeight="1">
      <c r="B77" s="292" t="s">
        <v>225</v>
      </c>
      <c r="D77" s="318" t="s">
        <v>226</v>
      </c>
      <c r="E77" s="319"/>
      <c r="F77" s="320" t="s">
        <v>212</v>
      </c>
      <c r="G77" s="321">
        <v>1</v>
      </c>
      <c r="H77" s="321">
        <f>변경내역서!I326</f>
        <v>1187761</v>
      </c>
      <c r="I77" s="321">
        <f t="shared" si="0"/>
        <v>1187761</v>
      </c>
      <c r="J77" s="321"/>
      <c r="K77" s="321">
        <f>변경내역서!K326</f>
        <v>5843055</v>
      </c>
      <c r="L77" s="321">
        <f t="shared" si="1"/>
        <v>5843055</v>
      </c>
      <c r="M77" s="321">
        <f>변경내역서!M326</f>
        <v>0</v>
      </c>
      <c r="N77" s="321">
        <f t="shared" si="2"/>
        <v>0</v>
      </c>
      <c r="O77" s="321">
        <f t="shared" si="3"/>
        <v>7030816</v>
      </c>
      <c r="P77" s="321">
        <f t="shared" si="4"/>
        <v>7030816</v>
      </c>
      <c r="Q77" s="660"/>
    </row>
    <row r="78" spans="2:17" s="295" customFormat="1" ht="20.25" customHeight="1">
      <c r="B78" s="296" t="s">
        <v>227</v>
      </c>
      <c r="C78" s="296"/>
      <c r="D78" s="314" t="s">
        <v>228</v>
      </c>
      <c r="E78" s="315"/>
      <c r="F78" s="316" t="s">
        <v>212</v>
      </c>
      <c r="G78" s="317">
        <v>1</v>
      </c>
      <c r="H78" s="317">
        <f>변경내역서!I348</f>
        <v>1191385</v>
      </c>
      <c r="I78" s="317">
        <f t="shared" si="0"/>
        <v>1191385</v>
      </c>
      <c r="J78" s="317"/>
      <c r="K78" s="317">
        <f>변경내역서!K348</f>
        <v>7114104</v>
      </c>
      <c r="L78" s="317">
        <f t="shared" si="1"/>
        <v>7114104</v>
      </c>
      <c r="M78" s="317">
        <f>변경내역서!M148</f>
        <v>0</v>
      </c>
      <c r="N78" s="317">
        <f t="shared" si="2"/>
        <v>0</v>
      </c>
      <c r="O78" s="317">
        <f t="shared" si="3"/>
        <v>8305489</v>
      </c>
      <c r="P78" s="317">
        <f t="shared" si="4"/>
        <v>8305489</v>
      </c>
      <c r="Q78" s="659">
        <f>P79-P78</f>
        <v>-8305489</v>
      </c>
    </row>
    <row r="79" spans="2:17" ht="20.25" customHeight="1">
      <c r="B79" s="292" t="s">
        <v>227</v>
      </c>
      <c r="D79" s="318" t="s">
        <v>228</v>
      </c>
      <c r="E79" s="319"/>
      <c r="F79" s="320" t="s">
        <v>212</v>
      </c>
      <c r="G79" s="321">
        <v>1</v>
      </c>
      <c r="H79" s="321">
        <f>#REF!</f>
        <v>0</v>
      </c>
      <c r="I79" s="321">
        <f t="shared" si="0"/>
        <v>0</v>
      </c>
      <c r="J79" s="321"/>
      <c r="K79" s="321">
        <f>#REF!</f>
        <v>0</v>
      </c>
      <c r="L79" s="321">
        <f t="shared" si="1"/>
        <v>0</v>
      </c>
      <c r="M79" s="321">
        <f>변경내역서!M149</f>
        <v>0</v>
      </c>
      <c r="N79" s="321">
        <f t="shared" si="2"/>
        <v>0</v>
      </c>
      <c r="O79" s="321" t="str">
        <f t="shared" si="3"/>
        <v/>
      </c>
      <c r="P79" s="321">
        <f t="shared" si="4"/>
        <v>0</v>
      </c>
      <c r="Q79" s="660"/>
    </row>
    <row r="80" spans="2:17" s="295" customFormat="1" ht="20.25" customHeight="1">
      <c r="B80" s="296" t="s">
        <v>229</v>
      </c>
      <c r="C80" s="296"/>
      <c r="D80" s="314" t="s">
        <v>230</v>
      </c>
      <c r="E80" s="315"/>
      <c r="F80" s="316" t="s">
        <v>212</v>
      </c>
      <c r="G80" s="317">
        <v>1</v>
      </c>
      <c r="H80" s="317">
        <f>변경내역서!I453</f>
        <v>3244045</v>
      </c>
      <c r="I80" s="317">
        <f t="shared" si="0"/>
        <v>3244045</v>
      </c>
      <c r="J80" s="317"/>
      <c r="K80" s="317">
        <f>변경내역서!K453</f>
        <v>26406118</v>
      </c>
      <c r="L80" s="317">
        <f t="shared" si="1"/>
        <v>26406118</v>
      </c>
      <c r="M80" s="317">
        <f>변경내역서!M453</f>
        <v>38536</v>
      </c>
      <c r="N80" s="317">
        <f t="shared" si="2"/>
        <v>38536</v>
      </c>
      <c r="O80" s="317">
        <f t="shared" si="3"/>
        <v>29688699</v>
      </c>
      <c r="P80" s="317">
        <f t="shared" si="4"/>
        <v>29688699</v>
      </c>
      <c r="Q80" s="659">
        <f>P81-P80</f>
        <v>-8501340</v>
      </c>
    </row>
    <row r="81" spans="2:17" ht="20.25" customHeight="1">
      <c r="B81" s="292" t="s">
        <v>229</v>
      </c>
      <c r="D81" s="318" t="s">
        <v>230</v>
      </c>
      <c r="E81" s="319"/>
      <c r="F81" s="320" t="s">
        <v>212</v>
      </c>
      <c r="G81" s="321">
        <v>1</v>
      </c>
      <c r="H81" s="321">
        <f>변경내역서!I454</f>
        <v>1914993</v>
      </c>
      <c r="I81" s="321">
        <f t="shared" si="0"/>
        <v>1914993</v>
      </c>
      <c r="J81" s="321"/>
      <c r="K81" s="321">
        <f>변경내역서!K454</f>
        <v>19272366</v>
      </c>
      <c r="L81" s="321">
        <f t="shared" si="1"/>
        <v>19272366</v>
      </c>
      <c r="M81" s="321">
        <f>변경내역서!M454</f>
        <v>0</v>
      </c>
      <c r="N81" s="321">
        <f t="shared" si="2"/>
        <v>0</v>
      </c>
      <c r="O81" s="321">
        <f t="shared" si="3"/>
        <v>21187359</v>
      </c>
      <c r="P81" s="321">
        <f t="shared" si="4"/>
        <v>21187359</v>
      </c>
      <c r="Q81" s="660"/>
    </row>
    <row r="82" spans="2:17" s="295" customFormat="1" ht="20.25" customHeight="1">
      <c r="B82" s="296" t="s">
        <v>231</v>
      </c>
      <c r="C82" s="296"/>
      <c r="D82" s="314" t="s">
        <v>232</v>
      </c>
      <c r="E82" s="315"/>
      <c r="F82" s="316" t="s">
        <v>212</v>
      </c>
      <c r="G82" s="317">
        <v>1</v>
      </c>
      <c r="H82" s="317">
        <f>변경내역서!I504</f>
        <v>1204069</v>
      </c>
      <c r="I82" s="317">
        <f t="shared" si="0"/>
        <v>1204069</v>
      </c>
      <c r="J82" s="317"/>
      <c r="K82" s="317">
        <f>변경내역서!K504</f>
        <v>9403256</v>
      </c>
      <c r="L82" s="317">
        <f t="shared" si="1"/>
        <v>9403256</v>
      </c>
      <c r="M82" s="317">
        <f>변경내역서!M262</f>
        <v>0</v>
      </c>
      <c r="N82" s="317">
        <f t="shared" si="2"/>
        <v>0</v>
      </c>
      <c r="O82" s="317">
        <f t="shared" si="3"/>
        <v>10607325</v>
      </c>
      <c r="P82" s="317">
        <f t="shared" si="4"/>
        <v>10607325</v>
      </c>
      <c r="Q82" s="659">
        <f>P83-P82</f>
        <v>-218970</v>
      </c>
    </row>
    <row r="83" spans="2:17" ht="20.25" customHeight="1">
      <c r="B83" s="292" t="s">
        <v>231</v>
      </c>
      <c r="D83" s="318" t="s">
        <v>232</v>
      </c>
      <c r="E83" s="319"/>
      <c r="F83" s="320" t="s">
        <v>212</v>
      </c>
      <c r="G83" s="321">
        <v>1</v>
      </c>
      <c r="H83" s="321">
        <f>변경내역서!I505</f>
        <v>1845653</v>
      </c>
      <c r="I83" s="321">
        <f t="shared" si="0"/>
        <v>1845653</v>
      </c>
      <c r="J83" s="321"/>
      <c r="K83" s="321">
        <f>변경내역서!K505</f>
        <v>8542702</v>
      </c>
      <c r="L83" s="321">
        <f t="shared" si="1"/>
        <v>8542702</v>
      </c>
      <c r="M83" s="321">
        <f>변경내역서!M263</f>
        <v>0</v>
      </c>
      <c r="N83" s="321">
        <f t="shared" si="2"/>
        <v>0</v>
      </c>
      <c r="O83" s="321">
        <f t="shared" si="3"/>
        <v>10388355</v>
      </c>
      <c r="P83" s="321">
        <f t="shared" si="4"/>
        <v>10388355</v>
      </c>
      <c r="Q83" s="660"/>
    </row>
    <row r="84" spans="2:17" s="295" customFormat="1" ht="20.25" customHeight="1">
      <c r="B84" s="296" t="s">
        <v>233</v>
      </c>
      <c r="C84" s="296"/>
      <c r="D84" s="314" t="s">
        <v>234</v>
      </c>
      <c r="E84" s="315"/>
      <c r="F84" s="316" t="s">
        <v>212</v>
      </c>
      <c r="G84" s="317">
        <v>1</v>
      </c>
      <c r="H84" s="317">
        <f>변경내역서!I597</f>
        <v>2915089</v>
      </c>
      <c r="I84" s="317">
        <f t="shared" si="0"/>
        <v>2915089</v>
      </c>
      <c r="J84" s="317"/>
      <c r="K84" s="317">
        <f>변경내역서!K597</f>
        <v>13385262</v>
      </c>
      <c r="L84" s="317">
        <f t="shared" si="1"/>
        <v>13385262</v>
      </c>
      <c r="M84" s="317">
        <f>#REF!</f>
        <v>0</v>
      </c>
      <c r="N84" s="317">
        <f t="shared" si="2"/>
        <v>0</v>
      </c>
      <c r="O84" s="317">
        <f t="shared" si="3"/>
        <v>16300351</v>
      </c>
      <c r="P84" s="317">
        <f t="shared" si="4"/>
        <v>16300351</v>
      </c>
      <c r="Q84" s="659">
        <f>P85-P84</f>
        <v>-3138111</v>
      </c>
    </row>
    <row r="85" spans="2:17" ht="20.25" customHeight="1">
      <c r="B85" s="292" t="s">
        <v>233</v>
      </c>
      <c r="D85" s="318" t="s">
        <v>234</v>
      </c>
      <c r="E85" s="319"/>
      <c r="F85" s="320" t="s">
        <v>212</v>
      </c>
      <c r="G85" s="321">
        <v>1</v>
      </c>
      <c r="H85" s="321">
        <f>변경내역서!I598</f>
        <v>1583252</v>
      </c>
      <c r="I85" s="321">
        <f t="shared" si="0"/>
        <v>1583252</v>
      </c>
      <c r="J85" s="321"/>
      <c r="K85" s="321">
        <f>변경내역서!K598</f>
        <v>11578988</v>
      </c>
      <c r="L85" s="321">
        <f t="shared" si="1"/>
        <v>11578988</v>
      </c>
      <c r="M85" s="321">
        <f>#REF!</f>
        <v>0</v>
      </c>
      <c r="N85" s="321">
        <f t="shared" si="2"/>
        <v>0</v>
      </c>
      <c r="O85" s="321">
        <f t="shared" si="3"/>
        <v>13162240</v>
      </c>
      <c r="P85" s="321">
        <f t="shared" si="4"/>
        <v>13162240</v>
      </c>
      <c r="Q85" s="660"/>
    </row>
    <row r="86" spans="2:17" s="295" customFormat="1" ht="20.25" customHeight="1">
      <c r="B86" s="296" t="s">
        <v>235</v>
      </c>
      <c r="C86" s="296"/>
      <c r="D86" s="314" t="s">
        <v>236</v>
      </c>
      <c r="E86" s="315"/>
      <c r="F86" s="316" t="s">
        <v>212</v>
      </c>
      <c r="G86" s="317">
        <v>1</v>
      </c>
      <c r="H86" s="317">
        <f>변경내역서!I648</f>
        <v>2422617</v>
      </c>
      <c r="I86" s="317">
        <f t="shared" si="0"/>
        <v>2422617</v>
      </c>
      <c r="J86" s="317"/>
      <c r="K86" s="317">
        <f>변경내역서!K648</f>
        <v>4210973</v>
      </c>
      <c r="L86" s="317">
        <f t="shared" si="1"/>
        <v>4210973</v>
      </c>
      <c r="M86" s="317">
        <f>변경내역서!M648</f>
        <v>32110</v>
      </c>
      <c r="N86" s="317">
        <f t="shared" si="2"/>
        <v>32110</v>
      </c>
      <c r="O86" s="317">
        <f t="shared" si="3"/>
        <v>6665700</v>
      </c>
      <c r="P86" s="317">
        <f t="shared" si="4"/>
        <v>6665700</v>
      </c>
      <c r="Q86" s="659">
        <f>P87-P86</f>
        <v>-6665700</v>
      </c>
    </row>
    <row r="87" spans="2:17" ht="20.25" customHeight="1">
      <c r="B87" s="292" t="s">
        <v>235</v>
      </c>
      <c r="D87" s="318" t="s">
        <v>236</v>
      </c>
      <c r="E87" s="319"/>
      <c r="F87" s="320" t="s">
        <v>212</v>
      </c>
      <c r="G87" s="321">
        <v>1</v>
      </c>
      <c r="H87" s="321">
        <f>#REF!</f>
        <v>0</v>
      </c>
      <c r="I87" s="321">
        <f t="shared" si="0"/>
        <v>0</v>
      </c>
      <c r="J87" s="321"/>
      <c r="K87" s="321">
        <f>#REF!</f>
        <v>0</v>
      </c>
      <c r="L87" s="321">
        <f t="shared" si="1"/>
        <v>0</v>
      </c>
      <c r="M87" s="321">
        <f>#REF!</f>
        <v>0</v>
      </c>
      <c r="N87" s="321">
        <f t="shared" si="2"/>
        <v>0</v>
      </c>
      <c r="O87" s="321" t="str">
        <f t="shared" si="3"/>
        <v/>
      </c>
      <c r="P87" s="321">
        <f t="shared" si="4"/>
        <v>0</v>
      </c>
      <c r="Q87" s="660"/>
    </row>
    <row r="88" spans="2:17" ht="20.45" customHeight="1">
      <c r="D88" s="305"/>
      <c r="E88" s="306"/>
      <c r="F88" s="307"/>
      <c r="G88" s="308"/>
      <c r="H88" s="308"/>
      <c r="I88" s="308"/>
      <c r="J88" s="308"/>
      <c r="K88" s="308"/>
      <c r="L88" s="308"/>
      <c r="M88" s="308"/>
      <c r="N88" s="308"/>
      <c r="O88" s="308"/>
      <c r="P88" s="308"/>
      <c r="Q88" s="305"/>
    </row>
    <row r="89" spans="2:17" ht="20.45" customHeight="1">
      <c r="D89" s="305"/>
      <c r="E89" s="306"/>
      <c r="F89" s="307"/>
      <c r="G89" s="308"/>
      <c r="H89" s="308"/>
      <c r="I89" s="308"/>
      <c r="J89" s="308"/>
      <c r="K89" s="308"/>
      <c r="L89" s="308"/>
      <c r="M89" s="308"/>
      <c r="N89" s="308"/>
      <c r="O89" s="308"/>
      <c r="P89" s="308"/>
      <c r="Q89" s="305"/>
    </row>
    <row r="90" spans="2:17" ht="20.45" customHeight="1">
      <c r="D90" s="305"/>
      <c r="E90" s="306"/>
      <c r="F90" s="307"/>
      <c r="G90" s="308"/>
      <c r="H90" s="308"/>
      <c r="I90" s="308"/>
      <c r="J90" s="308"/>
      <c r="K90" s="308"/>
      <c r="L90" s="308"/>
      <c r="M90" s="308"/>
      <c r="N90" s="308"/>
      <c r="O90" s="308"/>
      <c r="P90" s="308"/>
      <c r="Q90" s="305"/>
    </row>
    <row r="91" spans="2:17" ht="20.45" customHeight="1">
      <c r="D91" s="305"/>
      <c r="E91" s="306"/>
      <c r="F91" s="307"/>
      <c r="G91" s="308"/>
      <c r="H91" s="308"/>
      <c r="I91" s="308"/>
      <c r="J91" s="308"/>
      <c r="K91" s="308"/>
      <c r="L91" s="308"/>
      <c r="M91" s="308"/>
      <c r="N91" s="308"/>
      <c r="O91" s="308"/>
      <c r="P91" s="308"/>
      <c r="Q91" s="305"/>
    </row>
    <row r="92" spans="2:17" ht="20.45" customHeight="1">
      <c r="D92" s="305"/>
      <c r="E92" s="306"/>
      <c r="F92" s="307"/>
      <c r="G92" s="308"/>
      <c r="H92" s="308"/>
      <c r="I92" s="308"/>
      <c r="J92" s="308"/>
      <c r="K92" s="308"/>
      <c r="L92" s="308"/>
      <c r="M92" s="308"/>
      <c r="N92" s="308"/>
      <c r="O92" s="308"/>
      <c r="P92" s="308"/>
      <c r="Q92" s="305"/>
    </row>
    <row r="93" spans="2:17" ht="20.45" customHeight="1">
      <c r="D93" s="305"/>
      <c r="E93" s="306"/>
      <c r="F93" s="307"/>
      <c r="G93" s="308"/>
      <c r="H93" s="308"/>
      <c r="I93" s="308"/>
      <c r="J93" s="308"/>
      <c r="K93" s="308"/>
      <c r="L93" s="308"/>
      <c r="M93" s="308"/>
      <c r="N93" s="308"/>
      <c r="O93" s="308"/>
      <c r="P93" s="308"/>
      <c r="Q93" s="305"/>
    </row>
    <row r="94" spans="2:17" ht="20.45" customHeight="1">
      <c r="D94" s="305"/>
      <c r="E94" s="306"/>
      <c r="F94" s="307"/>
      <c r="G94" s="308"/>
      <c r="H94" s="308"/>
      <c r="I94" s="308"/>
      <c r="J94" s="308"/>
      <c r="K94" s="308"/>
      <c r="L94" s="308"/>
      <c r="M94" s="308"/>
      <c r="N94" s="308"/>
      <c r="O94" s="308"/>
      <c r="P94" s="308"/>
      <c r="Q94" s="305"/>
    </row>
    <row r="95" spans="2:17" ht="20.45" customHeight="1">
      <c r="D95" s="305"/>
      <c r="E95" s="306"/>
      <c r="F95" s="307"/>
      <c r="G95" s="308"/>
      <c r="H95" s="308"/>
      <c r="I95" s="308"/>
      <c r="J95" s="308"/>
      <c r="K95" s="308"/>
      <c r="L95" s="308"/>
      <c r="M95" s="308"/>
      <c r="N95" s="308"/>
      <c r="O95" s="308"/>
      <c r="P95" s="308"/>
      <c r="Q95" s="305"/>
    </row>
    <row r="96" spans="2:17" ht="20.45" customHeight="1">
      <c r="D96" s="305"/>
      <c r="E96" s="306"/>
      <c r="F96" s="307"/>
      <c r="G96" s="308"/>
      <c r="H96" s="308"/>
      <c r="I96" s="308"/>
      <c r="J96" s="308"/>
      <c r="K96" s="308"/>
      <c r="L96" s="308"/>
      <c r="M96" s="308"/>
      <c r="N96" s="308"/>
      <c r="O96" s="308"/>
      <c r="P96" s="308"/>
      <c r="Q96" s="305"/>
    </row>
    <row r="97" spans="2:17" ht="20.45" customHeight="1">
      <c r="D97" s="305"/>
      <c r="E97" s="306"/>
      <c r="F97" s="307"/>
      <c r="G97" s="308"/>
      <c r="H97" s="308"/>
      <c r="I97" s="308"/>
      <c r="J97" s="308"/>
      <c r="K97" s="308"/>
      <c r="L97" s="308"/>
      <c r="M97" s="308"/>
      <c r="N97" s="308"/>
      <c r="O97" s="308"/>
      <c r="P97" s="308"/>
      <c r="Q97" s="305"/>
    </row>
    <row r="98" spans="2:17" ht="20.45" customHeight="1">
      <c r="D98" s="305"/>
      <c r="E98" s="306"/>
      <c r="F98" s="307"/>
      <c r="G98" s="308"/>
      <c r="H98" s="308"/>
      <c r="I98" s="308"/>
      <c r="J98" s="308"/>
      <c r="K98" s="308"/>
      <c r="L98" s="308"/>
      <c r="M98" s="308"/>
      <c r="N98" s="308"/>
      <c r="O98" s="308"/>
      <c r="P98" s="308"/>
      <c r="Q98" s="305"/>
    </row>
    <row r="99" spans="2:17" ht="20.45" customHeight="1">
      <c r="D99" s="305"/>
      <c r="E99" s="306"/>
      <c r="F99" s="307"/>
      <c r="G99" s="308"/>
      <c r="H99" s="308"/>
      <c r="I99" s="308"/>
      <c r="J99" s="308"/>
      <c r="K99" s="308"/>
      <c r="L99" s="308"/>
      <c r="M99" s="308"/>
      <c r="N99" s="308"/>
      <c r="O99" s="308"/>
      <c r="P99" s="308"/>
      <c r="Q99" s="305"/>
    </row>
    <row r="100" spans="2:17" ht="20.45" customHeight="1">
      <c r="B100" s="292" t="s">
        <v>213</v>
      </c>
      <c r="C100" s="292" t="s">
        <v>215</v>
      </c>
      <c r="D100" s="310" t="s">
        <v>216</v>
      </c>
      <c r="E100" s="311"/>
      <c r="F100" s="312"/>
      <c r="G100" s="313"/>
      <c r="H100" s="313"/>
      <c r="I100" s="313">
        <f>I76+I78+I80+I82+I84+I86</f>
        <v>13732896</v>
      </c>
      <c r="J100" s="313"/>
      <c r="K100" s="313"/>
      <c r="L100" s="313">
        <f>L76+L78+L80+L82+L84+L86</f>
        <v>67614383</v>
      </c>
      <c r="M100" s="313"/>
      <c r="N100" s="313">
        <f>N76+N78+N80+N82+N84+N86</f>
        <v>73158</v>
      </c>
      <c r="O100" s="313" t="str">
        <f>IF((H100+K100+M100)=0, "", (H100+K100+M100))</f>
        <v/>
      </c>
      <c r="P100" s="313">
        <f>I100+L100+N100</f>
        <v>81420437</v>
      </c>
      <c r="Q100" s="659">
        <f>P101-P100</f>
        <v>-29651667</v>
      </c>
    </row>
    <row r="101" spans="2:17" ht="20.45" customHeight="1">
      <c r="B101" s="292" t="s">
        <v>213</v>
      </c>
      <c r="C101" s="292" t="s">
        <v>215</v>
      </c>
      <c r="D101" s="305" t="s">
        <v>216</v>
      </c>
      <c r="E101" s="306"/>
      <c r="F101" s="307"/>
      <c r="G101" s="308"/>
      <c r="H101" s="308"/>
      <c r="I101" s="308">
        <f>I77+I79+I81+I83+I85+I87</f>
        <v>6531659</v>
      </c>
      <c r="J101" s="308"/>
      <c r="K101" s="308"/>
      <c r="L101" s="308">
        <f>L77+L79+L81+L83+L85+L87</f>
        <v>45237111</v>
      </c>
      <c r="M101" s="308"/>
      <c r="N101" s="308">
        <f>N77+N79+N81+N83+N85+N87</f>
        <v>0</v>
      </c>
      <c r="O101" s="308" t="str">
        <f>IF((H101+K101+M101)=0, "", (H101+K101+M101))</f>
        <v/>
      </c>
      <c r="P101" s="308">
        <f>I101+L101+N101</f>
        <v>51768770</v>
      </c>
      <c r="Q101" s="660"/>
    </row>
    <row r="102" spans="2:17" ht="20.45" customHeight="1">
      <c r="B102" s="292" t="s">
        <v>208</v>
      </c>
      <c r="D102" s="661" t="s">
        <v>218</v>
      </c>
      <c r="E102" s="662"/>
      <c r="F102" s="662"/>
      <c r="G102" s="662"/>
      <c r="H102" s="662"/>
      <c r="I102" s="662"/>
      <c r="J102" s="662"/>
      <c r="K102" s="662"/>
      <c r="L102" s="662"/>
      <c r="M102" s="662"/>
      <c r="N102" s="662"/>
      <c r="O102" s="662"/>
      <c r="P102" s="662"/>
      <c r="Q102" s="663"/>
    </row>
    <row r="103" spans="2:17" ht="20.45" customHeight="1">
      <c r="B103" s="292" t="s">
        <v>237</v>
      </c>
      <c r="D103" s="310" t="s">
        <v>238</v>
      </c>
      <c r="E103" s="311"/>
      <c r="F103" s="312" t="s">
        <v>212</v>
      </c>
      <c r="G103" s="313">
        <v>1</v>
      </c>
      <c r="H103" s="313">
        <f>변경내역서!I673</f>
        <v>180667661</v>
      </c>
      <c r="I103" s="313">
        <f>G103*H103</f>
        <v>180667661</v>
      </c>
      <c r="J103" s="313"/>
      <c r="K103" s="313"/>
      <c r="L103" s="313">
        <f>G103*K103</f>
        <v>0</v>
      </c>
      <c r="M103" s="313">
        <f>변경내역서!M348</f>
        <v>0</v>
      </c>
      <c r="N103" s="313">
        <f>G103*M103</f>
        <v>0</v>
      </c>
      <c r="O103" s="313">
        <f>IF((H103+K103+M103)=0, "", (H103+K103+M103))</f>
        <v>180667661</v>
      </c>
      <c r="P103" s="313">
        <f>I103+L103+N103</f>
        <v>180667661</v>
      </c>
      <c r="Q103" s="305"/>
    </row>
    <row r="104" spans="2:17" ht="20.45" customHeight="1">
      <c r="B104" s="292" t="s">
        <v>237</v>
      </c>
      <c r="D104" s="305" t="s">
        <v>238</v>
      </c>
      <c r="E104" s="306"/>
      <c r="F104" s="307" t="s">
        <v>212</v>
      </c>
      <c r="G104" s="308">
        <v>1</v>
      </c>
      <c r="H104" s="308">
        <f ca="1">변경내역서!I674</f>
        <v>179032531</v>
      </c>
      <c r="I104" s="308">
        <f ca="1">G104*H104</f>
        <v>179032531</v>
      </c>
      <c r="J104" s="308"/>
      <c r="K104" s="308"/>
      <c r="L104" s="308">
        <f>G104*K104</f>
        <v>0</v>
      </c>
      <c r="M104" s="308">
        <f ca="1">변경내역서!M349</f>
        <v>0</v>
      </c>
      <c r="N104" s="308">
        <f ca="1">G104*M104</f>
        <v>0</v>
      </c>
      <c r="O104" s="308">
        <f ca="1">IF((H104+K104+M104)=0, "", (H104+K104+M104))</f>
        <v>179032531</v>
      </c>
      <c r="P104" s="308">
        <f ca="1">I104+L104+N104</f>
        <v>179032531</v>
      </c>
      <c r="Q104" s="305"/>
    </row>
    <row r="105" spans="2:17" ht="20.45" customHeight="1">
      <c r="D105" s="305"/>
      <c r="E105" s="306"/>
      <c r="F105" s="307"/>
      <c r="G105" s="308"/>
      <c r="H105" s="308"/>
      <c r="I105" s="308"/>
      <c r="J105" s="308"/>
      <c r="K105" s="308"/>
      <c r="L105" s="308"/>
      <c r="M105" s="308"/>
      <c r="N105" s="308"/>
      <c r="O105" s="308"/>
      <c r="P105" s="308"/>
      <c r="Q105" s="305"/>
    </row>
    <row r="106" spans="2:17" ht="20.45" customHeight="1">
      <c r="D106" s="305"/>
      <c r="E106" s="306"/>
      <c r="F106" s="307"/>
      <c r="G106" s="308"/>
      <c r="H106" s="308"/>
      <c r="I106" s="308"/>
      <c r="J106" s="308"/>
      <c r="K106" s="308"/>
      <c r="L106" s="308"/>
      <c r="M106" s="308"/>
      <c r="N106" s="308"/>
      <c r="O106" s="308"/>
      <c r="P106" s="308"/>
      <c r="Q106" s="305"/>
    </row>
    <row r="107" spans="2:17" ht="20.45" customHeight="1">
      <c r="D107" s="305"/>
      <c r="E107" s="306"/>
      <c r="F107" s="307"/>
      <c r="G107" s="308"/>
      <c r="H107" s="308"/>
      <c r="I107" s="308"/>
      <c r="J107" s="308"/>
      <c r="K107" s="308"/>
      <c r="L107" s="308"/>
      <c r="M107" s="308"/>
      <c r="N107" s="308"/>
      <c r="O107" s="308"/>
      <c r="P107" s="308"/>
      <c r="Q107" s="305"/>
    </row>
    <row r="108" spans="2:17" ht="20.45" customHeight="1">
      <c r="D108" s="305"/>
      <c r="E108" s="306"/>
      <c r="F108" s="307"/>
      <c r="G108" s="308"/>
      <c r="H108" s="308"/>
      <c r="I108" s="308"/>
      <c r="J108" s="308"/>
      <c r="K108" s="308"/>
      <c r="L108" s="308"/>
      <c r="M108" s="308"/>
      <c r="N108" s="308"/>
      <c r="O108" s="308"/>
      <c r="P108" s="308"/>
      <c r="Q108" s="305"/>
    </row>
    <row r="109" spans="2:17" ht="20.45" customHeight="1">
      <c r="D109" s="305"/>
      <c r="E109" s="306"/>
      <c r="F109" s="307"/>
      <c r="G109" s="308"/>
      <c r="H109" s="308"/>
      <c r="I109" s="308"/>
      <c r="J109" s="308"/>
      <c r="K109" s="308"/>
      <c r="L109" s="308"/>
      <c r="M109" s="308"/>
      <c r="N109" s="308"/>
      <c r="O109" s="308"/>
      <c r="P109" s="308"/>
      <c r="Q109" s="305"/>
    </row>
    <row r="110" spans="2:17" ht="20.45" customHeight="1">
      <c r="D110" s="305"/>
      <c r="E110" s="306"/>
      <c r="F110" s="307"/>
      <c r="G110" s="308"/>
      <c r="H110" s="308"/>
      <c r="I110" s="308"/>
      <c r="J110" s="308"/>
      <c r="K110" s="308"/>
      <c r="L110" s="308"/>
      <c r="M110" s="308"/>
      <c r="N110" s="308"/>
      <c r="O110" s="308"/>
      <c r="P110" s="308"/>
      <c r="Q110" s="305"/>
    </row>
    <row r="111" spans="2:17" ht="20.45" customHeight="1">
      <c r="D111" s="305"/>
      <c r="E111" s="306"/>
      <c r="F111" s="307"/>
      <c r="G111" s="308"/>
      <c r="H111" s="308"/>
      <c r="I111" s="308"/>
      <c r="J111" s="308"/>
      <c r="K111" s="308"/>
      <c r="L111" s="308"/>
      <c r="M111" s="308"/>
      <c r="N111" s="308"/>
      <c r="O111" s="308"/>
      <c r="P111" s="308"/>
      <c r="Q111" s="305"/>
    </row>
    <row r="112" spans="2:17" ht="20.45" customHeight="1">
      <c r="D112" s="305"/>
      <c r="E112" s="306"/>
      <c r="F112" s="307"/>
      <c r="G112" s="308"/>
      <c r="H112" s="308"/>
      <c r="I112" s="308"/>
      <c r="J112" s="308"/>
      <c r="K112" s="308"/>
      <c r="L112" s="308"/>
      <c r="M112" s="308"/>
      <c r="N112" s="308"/>
      <c r="O112" s="308"/>
      <c r="P112" s="308"/>
      <c r="Q112" s="305"/>
    </row>
    <row r="113" spans="2:17" ht="20.45" customHeight="1">
      <c r="D113" s="305"/>
      <c r="E113" s="306"/>
      <c r="F113" s="307"/>
      <c r="G113" s="308"/>
      <c r="H113" s="308"/>
      <c r="I113" s="308"/>
      <c r="J113" s="308"/>
      <c r="K113" s="308"/>
      <c r="L113" s="308"/>
      <c r="M113" s="308"/>
      <c r="N113" s="308"/>
      <c r="O113" s="308"/>
      <c r="P113" s="308"/>
      <c r="Q113" s="305"/>
    </row>
    <row r="114" spans="2:17" ht="20.45" customHeight="1">
      <c r="D114" s="305"/>
      <c r="E114" s="306"/>
      <c r="F114" s="307"/>
      <c r="G114" s="308"/>
      <c r="H114" s="308"/>
      <c r="I114" s="308"/>
      <c r="J114" s="308"/>
      <c r="K114" s="308"/>
      <c r="L114" s="308"/>
      <c r="M114" s="308"/>
      <c r="N114" s="308"/>
      <c r="O114" s="308"/>
      <c r="P114" s="308"/>
      <c r="Q114" s="305"/>
    </row>
    <row r="115" spans="2:17" ht="20.45" customHeight="1">
      <c r="D115" s="305"/>
      <c r="E115" s="306"/>
      <c r="F115" s="307"/>
      <c r="G115" s="308"/>
      <c r="H115" s="308"/>
      <c r="I115" s="308"/>
      <c r="J115" s="308"/>
      <c r="K115" s="308"/>
      <c r="L115" s="308"/>
      <c r="M115" s="308"/>
      <c r="N115" s="308"/>
      <c r="O115" s="308"/>
      <c r="P115" s="308"/>
      <c r="Q115" s="305"/>
    </row>
    <row r="116" spans="2:17" ht="20.45" customHeight="1">
      <c r="D116" s="305"/>
      <c r="E116" s="306"/>
      <c r="F116" s="307"/>
      <c r="G116" s="308"/>
      <c r="H116" s="308"/>
      <c r="I116" s="308"/>
      <c r="J116" s="308"/>
      <c r="K116" s="308"/>
      <c r="L116" s="308"/>
      <c r="M116" s="308"/>
      <c r="N116" s="308"/>
      <c r="O116" s="308"/>
      <c r="P116" s="308"/>
      <c r="Q116" s="305"/>
    </row>
    <row r="117" spans="2:17" ht="20.45" customHeight="1">
      <c r="D117" s="305"/>
      <c r="E117" s="306"/>
      <c r="F117" s="307"/>
      <c r="G117" s="308"/>
      <c r="H117" s="308"/>
      <c r="I117" s="308"/>
      <c r="J117" s="308"/>
      <c r="K117" s="308"/>
      <c r="L117" s="308"/>
      <c r="M117" s="308"/>
      <c r="N117" s="308"/>
      <c r="O117" s="308"/>
      <c r="P117" s="308"/>
      <c r="Q117" s="305"/>
    </row>
    <row r="118" spans="2:17" ht="20.45" customHeight="1">
      <c r="D118" s="305"/>
      <c r="E118" s="306"/>
      <c r="F118" s="307"/>
      <c r="G118" s="308"/>
      <c r="H118" s="308"/>
      <c r="I118" s="308"/>
      <c r="J118" s="308"/>
      <c r="K118" s="308"/>
      <c r="L118" s="308"/>
      <c r="M118" s="308"/>
      <c r="N118" s="308"/>
      <c r="O118" s="308"/>
      <c r="P118" s="308"/>
      <c r="Q118" s="305"/>
    </row>
    <row r="119" spans="2:17" ht="20.45" customHeight="1">
      <c r="D119" s="305"/>
      <c r="E119" s="306"/>
      <c r="F119" s="307"/>
      <c r="G119" s="308"/>
      <c r="H119" s="308"/>
      <c r="I119" s="308"/>
      <c r="J119" s="308"/>
      <c r="K119" s="308"/>
      <c r="L119" s="308"/>
      <c r="M119" s="308"/>
      <c r="N119" s="308"/>
      <c r="O119" s="308"/>
      <c r="P119" s="308"/>
      <c r="Q119" s="305"/>
    </row>
    <row r="120" spans="2:17" ht="20.45" customHeight="1">
      <c r="D120" s="305"/>
      <c r="E120" s="306"/>
      <c r="F120" s="307"/>
      <c r="G120" s="308"/>
      <c r="H120" s="308"/>
      <c r="I120" s="308"/>
      <c r="J120" s="308"/>
      <c r="K120" s="308"/>
      <c r="L120" s="308"/>
      <c r="M120" s="308"/>
      <c r="N120" s="308"/>
      <c r="O120" s="308"/>
      <c r="P120" s="308"/>
      <c r="Q120" s="305"/>
    </row>
    <row r="121" spans="2:17" ht="20.45" customHeight="1">
      <c r="D121" s="305"/>
      <c r="E121" s="306"/>
      <c r="F121" s="307"/>
      <c r="G121" s="308"/>
      <c r="H121" s="308"/>
      <c r="I121" s="308"/>
      <c r="J121" s="308"/>
      <c r="K121" s="308"/>
      <c r="L121" s="308"/>
      <c r="M121" s="308"/>
      <c r="N121" s="308"/>
      <c r="O121" s="308"/>
      <c r="P121" s="308"/>
      <c r="Q121" s="305"/>
    </row>
    <row r="122" spans="2:17" ht="20.45" customHeight="1">
      <c r="D122" s="305"/>
      <c r="E122" s="306"/>
      <c r="F122" s="307"/>
      <c r="G122" s="308"/>
      <c r="H122" s="308"/>
      <c r="I122" s="308"/>
      <c r="J122" s="308"/>
      <c r="K122" s="308"/>
      <c r="L122" s="308"/>
      <c r="M122" s="308"/>
      <c r="N122" s="308"/>
      <c r="O122" s="308"/>
      <c r="P122" s="308"/>
      <c r="Q122" s="305"/>
    </row>
    <row r="123" spans="2:17" ht="20.45" customHeight="1">
      <c r="D123" s="305"/>
      <c r="E123" s="306"/>
      <c r="F123" s="307"/>
      <c r="G123" s="308"/>
      <c r="H123" s="308"/>
      <c r="I123" s="308"/>
      <c r="J123" s="308"/>
      <c r="K123" s="308"/>
      <c r="L123" s="308"/>
      <c r="M123" s="308"/>
      <c r="N123" s="308"/>
      <c r="O123" s="308"/>
      <c r="P123" s="308"/>
      <c r="Q123" s="305"/>
    </row>
    <row r="124" spans="2:17" ht="20.45" customHeight="1">
      <c r="D124" s="305"/>
      <c r="E124" s="306"/>
      <c r="F124" s="307"/>
      <c r="G124" s="308"/>
      <c r="H124" s="308"/>
      <c r="I124" s="308"/>
      <c r="J124" s="308"/>
      <c r="K124" s="308"/>
      <c r="L124" s="308"/>
      <c r="M124" s="308"/>
      <c r="N124" s="308"/>
      <c r="O124" s="308"/>
      <c r="P124" s="308"/>
      <c r="Q124" s="305"/>
    </row>
    <row r="125" spans="2:17" ht="20.45" customHeight="1">
      <c r="D125" s="305"/>
      <c r="E125" s="306"/>
      <c r="F125" s="307"/>
      <c r="G125" s="308"/>
      <c r="H125" s="308"/>
      <c r="I125" s="308"/>
      <c r="J125" s="308"/>
      <c r="K125" s="308"/>
      <c r="L125" s="308"/>
      <c r="M125" s="308"/>
      <c r="N125" s="308"/>
      <c r="O125" s="308"/>
      <c r="P125" s="308"/>
      <c r="Q125" s="305"/>
    </row>
    <row r="126" spans="2:17" ht="20.45" customHeight="1">
      <c r="D126" s="305"/>
      <c r="E126" s="306"/>
      <c r="F126" s="307"/>
      <c r="G126" s="308"/>
      <c r="H126" s="308"/>
      <c r="I126" s="308"/>
      <c r="J126" s="308"/>
      <c r="K126" s="308"/>
      <c r="L126" s="308"/>
      <c r="M126" s="308"/>
      <c r="N126" s="308"/>
      <c r="O126" s="308"/>
      <c r="P126" s="308"/>
      <c r="Q126" s="305"/>
    </row>
    <row r="127" spans="2:17" ht="20.45" customHeight="1">
      <c r="B127" s="292" t="s">
        <v>217</v>
      </c>
      <c r="C127" s="292" t="s">
        <v>215</v>
      </c>
      <c r="D127" s="310" t="s">
        <v>216</v>
      </c>
      <c r="E127" s="311"/>
      <c r="F127" s="312"/>
      <c r="G127" s="313"/>
      <c r="H127" s="313"/>
      <c r="I127" s="313">
        <f>I103</f>
        <v>180667661</v>
      </c>
      <c r="J127" s="313"/>
      <c r="K127" s="313"/>
      <c r="L127" s="313">
        <f>L103</f>
        <v>0</v>
      </c>
      <c r="M127" s="313"/>
      <c r="N127" s="313">
        <f ca="1">TRUNC([2]!sumcol(1,N101:N125))</f>
        <v>0</v>
      </c>
      <c r="O127" s="313" t="str">
        <f>IF((H127+K127+M127)=0, "", (H127+K127+M127))</f>
        <v/>
      </c>
      <c r="P127" s="313">
        <f ca="1">I127+L127+N127</f>
        <v>180667661</v>
      </c>
      <c r="Q127" s="305"/>
    </row>
    <row r="128" spans="2:17" ht="20.45" customHeight="1">
      <c r="B128" s="292" t="s">
        <v>217</v>
      </c>
      <c r="C128" s="292" t="s">
        <v>215</v>
      </c>
      <c r="D128" s="305" t="s">
        <v>216</v>
      </c>
      <c r="E128" s="306"/>
      <c r="F128" s="307"/>
      <c r="G128" s="308"/>
      <c r="H128" s="308"/>
      <c r="I128" s="308">
        <f ca="1">TRUNC([2]!sumcol(0,I102:I126))</f>
        <v>179032531</v>
      </c>
      <c r="J128" s="308"/>
      <c r="K128" s="308"/>
      <c r="L128" s="308">
        <f ca="1">TRUNC([2]!sumcol(0,L102:L126))</f>
        <v>0</v>
      </c>
      <c r="M128" s="308"/>
      <c r="N128" s="308">
        <f ca="1">TRUNC([2]!sumcol(0,N102:N126))</f>
        <v>0</v>
      </c>
      <c r="O128" s="308" t="str">
        <f>IF((H128+K128+M128)=0, "", (H128+K128+M128))</f>
        <v/>
      </c>
      <c r="P128" s="308">
        <f ca="1">TRUNC([2]!sumcol(0,P102:P126))</f>
        <v>179032531</v>
      </c>
      <c r="Q128" s="305"/>
    </row>
    <row r="129" spans="2:17" ht="20.45" customHeight="1">
      <c r="B129" s="292" t="s">
        <v>208</v>
      </c>
      <c r="D129" s="661" t="s">
        <v>220</v>
      </c>
      <c r="E129" s="662"/>
      <c r="F129" s="662"/>
      <c r="G129" s="662"/>
      <c r="H129" s="662"/>
      <c r="I129" s="662"/>
      <c r="J129" s="662"/>
      <c r="K129" s="662"/>
      <c r="L129" s="662"/>
      <c r="M129" s="662"/>
      <c r="N129" s="662"/>
      <c r="O129" s="662"/>
      <c r="P129" s="662"/>
      <c r="Q129" s="663"/>
    </row>
    <row r="130" spans="2:17" s="295" customFormat="1" ht="20.25" customHeight="1">
      <c r="B130" s="296" t="s">
        <v>239</v>
      </c>
      <c r="C130" s="296"/>
      <c r="D130" s="314" t="s">
        <v>240</v>
      </c>
      <c r="E130" s="315"/>
      <c r="F130" s="316" t="s">
        <v>212</v>
      </c>
      <c r="G130" s="317">
        <v>1</v>
      </c>
      <c r="H130" s="317"/>
      <c r="I130" s="317">
        <f>변경내역서!I724</f>
        <v>21633633</v>
      </c>
      <c r="J130" s="317"/>
      <c r="K130" s="317">
        <f>변경내역서!K366</f>
        <v>0</v>
      </c>
      <c r="L130" s="317">
        <f>G130*K130</f>
        <v>0</v>
      </c>
      <c r="M130" s="317">
        <f>변경내역서!M366</f>
        <v>0</v>
      </c>
      <c r="N130" s="317">
        <f>G130*M130</f>
        <v>0</v>
      </c>
      <c r="O130" s="317" t="str">
        <f>IF((H130+K130+M130)=0, "", (H130+K130+M130))</f>
        <v/>
      </c>
      <c r="P130" s="313">
        <f>I130+L130+N130</f>
        <v>21633633</v>
      </c>
      <c r="Q130" s="314"/>
    </row>
    <row r="131" spans="2:17" ht="20.25" customHeight="1">
      <c r="B131" s="292" t="s">
        <v>239</v>
      </c>
      <c r="D131" s="318" t="s">
        <v>240</v>
      </c>
      <c r="E131" s="319"/>
      <c r="F131" s="320" t="s">
        <v>212</v>
      </c>
      <c r="G131" s="321">
        <v>1</v>
      </c>
      <c r="H131" s="321"/>
      <c r="I131" s="321">
        <f ca="1">변경내역서!I725</f>
        <v>23638165</v>
      </c>
      <c r="J131" s="321"/>
      <c r="K131" s="321">
        <f>변경내역서!K367</f>
        <v>0</v>
      </c>
      <c r="L131" s="321">
        <f>G131*K131</f>
        <v>0</v>
      </c>
      <c r="M131" s="321">
        <f>변경내역서!M367</f>
        <v>0</v>
      </c>
      <c r="N131" s="321">
        <f>G131*M131</f>
        <v>0</v>
      </c>
      <c r="O131" s="321" t="str">
        <f>IF((H131+K131+M131)=0, "", (H131+K131+M131))</f>
        <v/>
      </c>
      <c r="P131" s="321">
        <f ca="1">I131+L131+N131</f>
        <v>23638165</v>
      </c>
      <c r="Q131" s="318"/>
    </row>
    <row r="132" spans="2:17" s="295" customFormat="1" ht="20.25" customHeight="1">
      <c r="B132" s="296" t="s">
        <v>241</v>
      </c>
      <c r="C132" s="296"/>
      <c r="D132" s="314" t="s">
        <v>242</v>
      </c>
      <c r="E132" s="315"/>
      <c r="F132" s="316" t="s">
        <v>212</v>
      </c>
      <c r="G132" s="317">
        <v>1</v>
      </c>
      <c r="H132" s="317"/>
      <c r="I132" s="317">
        <f>변경내역서!I775</f>
        <v>77419941</v>
      </c>
      <c r="J132" s="317"/>
      <c r="K132" s="317"/>
      <c r="L132" s="317">
        <f>G132*K132</f>
        <v>0</v>
      </c>
      <c r="M132" s="317">
        <f>변경내역서!M399</f>
        <v>0</v>
      </c>
      <c r="N132" s="317">
        <f>G132*M132</f>
        <v>0</v>
      </c>
      <c r="O132" s="317" t="str">
        <f>IF((H132+K132+M132)=0, "", (H132+K132+M132))</f>
        <v/>
      </c>
      <c r="P132" s="317">
        <f>I132+L132+N132</f>
        <v>77419941</v>
      </c>
      <c r="Q132" s="314"/>
    </row>
    <row r="133" spans="2:17" ht="20.25" customHeight="1">
      <c r="B133" s="292" t="s">
        <v>241</v>
      </c>
      <c r="D133" s="318" t="s">
        <v>242</v>
      </c>
      <c r="E133" s="319"/>
      <c r="F133" s="320" t="s">
        <v>212</v>
      </c>
      <c r="G133" s="321">
        <v>1</v>
      </c>
      <c r="H133" s="321"/>
      <c r="I133" s="321">
        <f>변경내역서!I776</f>
        <v>93821738</v>
      </c>
      <c r="J133" s="321"/>
      <c r="K133" s="321">
        <f>변경내역서!K400</f>
        <v>0</v>
      </c>
      <c r="L133" s="321">
        <f>G133*K133</f>
        <v>0</v>
      </c>
      <c r="M133" s="321">
        <f>변경내역서!M400</f>
        <v>0</v>
      </c>
      <c r="N133" s="321">
        <f>G133*M133</f>
        <v>0</v>
      </c>
      <c r="O133" s="321" t="str">
        <f>IF((H133+K133+M133)=0, "", (H133+K133+M133))</f>
        <v/>
      </c>
      <c r="P133" s="321">
        <f>I133+L133+N133</f>
        <v>93821738</v>
      </c>
      <c r="Q133" s="318"/>
    </row>
    <row r="134" spans="2:17" ht="20.45" customHeight="1">
      <c r="D134" s="305"/>
      <c r="E134" s="306"/>
      <c r="F134" s="307"/>
      <c r="G134" s="308"/>
      <c r="H134" s="308"/>
      <c r="I134" s="308"/>
      <c r="J134" s="308"/>
      <c r="K134" s="308"/>
      <c r="L134" s="308"/>
      <c r="M134" s="308"/>
      <c r="N134" s="308"/>
      <c r="O134" s="308"/>
      <c r="P134" s="308"/>
      <c r="Q134" s="305"/>
    </row>
    <row r="135" spans="2:17" ht="20.45" customHeight="1">
      <c r="D135" s="305"/>
      <c r="E135" s="306"/>
      <c r="F135" s="307"/>
      <c r="G135" s="308"/>
      <c r="H135" s="308"/>
      <c r="I135" s="308"/>
      <c r="J135" s="308"/>
      <c r="K135" s="308"/>
      <c r="L135" s="308"/>
      <c r="M135" s="308"/>
      <c r="N135" s="308"/>
      <c r="O135" s="308"/>
      <c r="P135" s="308"/>
      <c r="Q135" s="305"/>
    </row>
    <row r="136" spans="2:17" ht="20.45" customHeight="1">
      <c r="D136" s="305"/>
      <c r="E136" s="306"/>
      <c r="F136" s="307"/>
      <c r="G136" s="308"/>
      <c r="H136" s="308"/>
      <c r="I136" s="308"/>
      <c r="J136" s="308"/>
      <c r="K136" s="308"/>
      <c r="L136" s="308"/>
      <c r="M136" s="308"/>
      <c r="N136" s="308"/>
      <c r="O136" s="308"/>
      <c r="P136" s="308"/>
      <c r="Q136" s="305"/>
    </row>
    <row r="137" spans="2:17" ht="20.45" customHeight="1">
      <c r="D137" s="305"/>
      <c r="E137" s="306"/>
      <c r="F137" s="307"/>
      <c r="G137" s="308"/>
      <c r="H137" s="308"/>
      <c r="I137" s="308"/>
      <c r="J137" s="308"/>
      <c r="K137" s="308"/>
      <c r="L137" s="308"/>
      <c r="M137" s="308"/>
      <c r="N137" s="308"/>
      <c r="O137" s="308"/>
      <c r="P137" s="308"/>
      <c r="Q137" s="305"/>
    </row>
    <row r="138" spans="2:17" ht="20.45" customHeight="1">
      <c r="D138" s="305"/>
      <c r="E138" s="306"/>
      <c r="F138" s="307"/>
      <c r="G138" s="308"/>
      <c r="H138" s="308"/>
      <c r="I138" s="308"/>
      <c r="J138" s="308"/>
      <c r="K138" s="308"/>
      <c r="L138" s="308"/>
      <c r="M138" s="308"/>
      <c r="N138" s="308"/>
      <c r="O138" s="308"/>
      <c r="P138" s="308"/>
      <c r="Q138" s="305"/>
    </row>
    <row r="139" spans="2:17" ht="20.45" customHeight="1">
      <c r="D139" s="305"/>
      <c r="E139" s="306"/>
      <c r="F139" s="307"/>
      <c r="G139" s="308"/>
      <c r="H139" s="308"/>
      <c r="I139" s="308"/>
      <c r="J139" s="308"/>
      <c r="K139" s="308"/>
      <c r="L139" s="308"/>
      <c r="M139" s="308"/>
      <c r="N139" s="308"/>
      <c r="O139" s="308"/>
      <c r="P139" s="308"/>
      <c r="Q139" s="305"/>
    </row>
    <row r="140" spans="2:17" ht="20.45" customHeight="1">
      <c r="D140" s="305"/>
      <c r="E140" s="306"/>
      <c r="F140" s="307"/>
      <c r="G140" s="308"/>
      <c r="H140" s="308"/>
      <c r="I140" s="308"/>
      <c r="J140" s="308"/>
      <c r="K140" s="308"/>
      <c r="L140" s="308"/>
      <c r="M140" s="308"/>
      <c r="N140" s="308"/>
      <c r="O140" s="308"/>
      <c r="P140" s="308"/>
      <c r="Q140" s="305"/>
    </row>
    <row r="141" spans="2:17" ht="20.45" customHeight="1">
      <c r="D141" s="305"/>
      <c r="E141" s="306"/>
      <c r="F141" s="307"/>
      <c r="G141" s="308"/>
      <c r="H141" s="308"/>
      <c r="I141" s="308"/>
      <c r="J141" s="308"/>
      <c r="K141" s="308"/>
      <c r="L141" s="308"/>
      <c r="M141" s="308"/>
      <c r="N141" s="308"/>
      <c r="O141" s="308"/>
      <c r="P141" s="308"/>
      <c r="Q141" s="305"/>
    </row>
    <row r="142" spans="2:17" ht="20.45" customHeight="1">
      <c r="D142" s="305"/>
      <c r="E142" s="306"/>
      <c r="F142" s="307"/>
      <c r="G142" s="308"/>
      <c r="H142" s="308"/>
      <c r="I142" s="308"/>
      <c r="J142" s="308"/>
      <c r="K142" s="308"/>
      <c r="L142" s="308"/>
      <c r="M142" s="308"/>
      <c r="N142" s="308"/>
      <c r="O142" s="308"/>
      <c r="P142" s="308"/>
      <c r="Q142" s="305"/>
    </row>
    <row r="143" spans="2:17" ht="20.45" customHeight="1">
      <c r="D143" s="305"/>
      <c r="E143" s="306"/>
      <c r="F143" s="307"/>
      <c r="G143" s="308"/>
      <c r="H143" s="308"/>
      <c r="I143" s="308"/>
      <c r="J143" s="308"/>
      <c r="K143" s="308"/>
      <c r="L143" s="308"/>
      <c r="M143" s="308"/>
      <c r="N143" s="308"/>
      <c r="O143" s="308"/>
      <c r="P143" s="308"/>
      <c r="Q143" s="305"/>
    </row>
    <row r="144" spans="2:17" ht="20.45" customHeight="1">
      <c r="D144" s="305"/>
      <c r="E144" s="306"/>
      <c r="F144" s="307"/>
      <c r="G144" s="308"/>
      <c r="H144" s="308"/>
      <c r="I144" s="308"/>
      <c r="J144" s="308"/>
      <c r="K144" s="308"/>
      <c r="L144" s="308"/>
      <c r="M144" s="308"/>
      <c r="N144" s="308"/>
      <c r="O144" s="308"/>
      <c r="P144" s="308"/>
      <c r="Q144" s="305"/>
    </row>
    <row r="145" spans="2:17" ht="20.45" customHeight="1">
      <c r="D145" s="305"/>
      <c r="E145" s="306"/>
      <c r="F145" s="307"/>
      <c r="G145" s="308"/>
      <c r="H145" s="308"/>
      <c r="I145" s="308"/>
      <c r="J145" s="308"/>
      <c r="K145" s="308"/>
      <c r="L145" s="308"/>
      <c r="M145" s="308"/>
      <c r="N145" s="308"/>
      <c r="O145" s="308"/>
      <c r="P145" s="308"/>
      <c r="Q145" s="305"/>
    </row>
    <row r="146" spans="2:17" ht="20.45" customHeight="1">
      <c r="D146" s="305"/>
      <c r="E146" s="306"/>
      <c r="F146" s="307"/>
      <c r="G146" s="308"/>
      <c r="H146" s="308"/>
      <c r="I146" s="308"/>
      <c r="J146" s="308"/>
      <c r="K146" s="308"/>
      <c r="L146" s="308"/>
      <c r="M146" s="308"/>
      <c r="N146" s="308"/>
      <c r="O146" s="308"/>
      <c r="P146" s="308"/>
      <c r="Q146" s="305"/>
    </row>
    <row r="147" spans="2:17" ht="20.45" customHeight="1">
      <c r="D147" s="305"/>
      <c r="E147" s="306"/>
      <c r="F147" s="307"/>
      <c r="G147" s="308"/>
      <c r="H147" s="308"/>
      <c r="I147" s="308"/>
      <c r="J147" s="308"/>
      <c r="K147" s="308"/>
      <c r="L147" s="308"/>
      <c r="M147" s="308"/>
      <c r="N147" s="308"/>
      <c r="O147" s="308"/>
      <c r="P147" s="308"/>
      <c r="Q147" s="305"/>
    </row>
    <row r="148" spans="2:17" ht="20.45" customHeight="1">
      <c r="D148" s="305"/>
      <c r="E148" s="306"/>
      <c r="F148" s="307"/>
      <c r="G148" s="308"/>
      <c r="H148" s="308"/>
      <c r="I148" s="308"/>
      <c r="J148" s="308"/>
      <c r="K148" s="308"/>
      <c r="L148" s="308"/>
      <c r="M148" s="308"/>
      <c r="N148" s="308"/>
      <c r="O148" s="308"/>
      <c r="P148" s="308"/>
      <c r="Q148" s="305"/>
    </row>
    <row r="149" spans="2:17" ht="20.45" customHeight="1">
      <c r="D149" s="305"/>
      <c r="E149" s="306"/>
      <c r="F149" s="307"/>
      <c r="G149" s="308"/>
      <c r="H149" s="308"/>
      <c r="I149" s="308"/>
      <c r="J149" s="308"/>
      <c r="K149" s="308"/>
      <c r="L149" s="308"/>
      <c r="M149" s="308"/>
      <c r="N149" s="308"/>
      <c r="O149" s="308"/>
      <c r="P149" s="308"/>
      <c r="Q149" s="305"/>
    </row>
    <row r="150" spans="2:17" ht="20.45" customHeight="1">
      <c r="D150" s="305"/>
      <c r="E150" s="306"/>
      <c r="F150" s="307"/>
      <c r="G150" s="308"/>
      <c r="H150" s="308"/>
      <c r="I150" s="308"/>
      <c r="J150" s="308"/>
      <c r="K150" s="308"/>
      <c r="L150" s="308"/>
      <c r="M150" s="308"/>
      <c r="N150" s="308"/>
      <c r="O150" s="308"/>
      <c r="P150" s="308"/>
      <c r="Q150" s="305"/>
    </row>
    <row r="151" spans="2:17" ht="20.45" customHeight="1">
      <c r="D151" s="305"/>
      <c r="E151" s="306"/>
      <c r="F151" s="307"/>
      <c r="G151" s="308"/>
      <c r="H151" s="308"/>
      <c r="I151" s="308"/>
      <c r="J151" s="308"/>
      <c r="K151" s="308"/>
      <c r="L151" s="308"/>
      <c r="M151" s="308"/>
      <c r="N151" s="308"/>
      <c r="O151" s="308"/>
      <c r="P151" s="308"/>
      <c r="Q151" s="305"/>
    </row>
    <row r="152" spans="2:17" ht="20.45" customHeight="1">
      <c r="D152" s="305"/>
      <c r="E152" s="306"/>
      <c r="F152" s="307"/>
      <c r="G152" s="308"/>
      <c r="H152" s="308"/>
      <c r="I152" s="308"/>
      <c r="J152" s="308"/>
      <c r="K152" s="308"/>
      <c r="L152" s="308"/>
      <c r="M152" s="308"/>
      <c r="N152" s="308"/>
      <c r="O152" s="308"/>
      <c r="P152" s="308"/>
      <c r="Q152" s="305"/>
    </row>
    <row r="153" spans="2:17" ht="20.45" customHeight="1">
      <c r="D153" s="305"/>
      <c r="E153" s="306"/>
      <c r="F153" s="307"/>
      <c r="G153" s="308"/>
      <c r="H153" s="308"/>
      <c r="I153" s="308"/>
      <c r="J153" s="308"/>
      <c r="K153" s="308"/>
      <c r="L153" s="308"/>
      <c r="M153" s="308"/>
      <c r="N153" s="308"/>
      <c r="O153" s="308"/>
      <c r="P153" s="308"/>
      <c r="Q153" s="305"/>
    </row>
    <row r="154" spans="2:17" ht="20.45" customHeight="1">
      <c r="B154" s="292" t="s">
        <v>219</v>
      </c>
      <c r="C154" s="292" t="s">
        <v>215</v>
      </c>
      <c r="D154" s="310" t="s">
        <v>216</v>
      </c>
      <c r="E154" s="311"/>
      <c r="F154" s="312"/>
      <c r="G154" s="313"/>
      <c r="H154" s="313"/>
      <c r="I154" s="313">
        <f>I130+I132</f>
        <v>99053574</v>
      </c>
      <c r="J154" s="313"/>
      <c r="K154" s="313"/>
      <c r="L154" s="313">
        <f ca="1">TRUNC([2]!sumcol(0,L128:L152))</f>
        <v>0</v>
      </c>
      <c r="M154" s="313"/>
      <c r="N154" s="313">
        <f ca="1">TRUNC([2]!sumcol(0,N128:N152))</f>
        <v>0</v>
      </c>
      <c r="O154" s="313" t="str">
        <f>IF((H154+K154+M154)=0, "", (H154+K154+M154))</f>
        <v/>
      </c>
      <c r="P154" s="317">
        <f ca="1">I154+L154+N154</f>
        <v>99053574</v>
      </c>
      <c r="Q154" s="305"/>
    </row>
    <row r="155" spans="2:17" ht="20.45" customHeight="1">
      <c r="B155" s="292" t="s">
        <v>219</v>
      </c>
      <c r="C155" s="292" t="s">
        <v>215</v>
      </c>
      <c r="D155" s="305" t="s">
        <v>216</v>
      </c>
      <c r="E155" s="306"/>
      <c r="F155" s="307"/>
      <c r="G155" s="308"/>
      <c r="H155" s="308"/>
      <c r="I155" s="308">
        <f ca="1">I131+I133</f>
        <v>117459903</v>
      </c>
      <c r="J155" s="308"/>
      <c r="K155" s="308"/>
      <c r="L155" s="308">
        <f ca="1">TRUNC([2]!sumcol(0,L129:L153))</f>
        <v>0</v>
      </c>
      <c r="M155" s="308"/>
      <c r="N155" s="308">
        <f ca="1">TRUNC([2]!sumcol(0,N129:N153))</f>
        <v>0</v>
      </c>
      <c r="O155" s="308" t="str">
        <f>IF((H155+K155+M155)=0, "", (H155+K155+M155))</f>
        <v/>
      </c>
      <c r="P155" s="308">
        <f ca="1">I155+L155+N155</f>
        <v>117459903</v>
      </c>
      <c r="Q155" s="305"/>
    </row>
  </sheetData>
  <mergeCells count="32">
    <mergeCell ref="D1:Q1"/>
    <mergeCell ref="A2:A3"/>
    <mergeCell ref="B2:B3"/>
    <mergeCell ref="C2:C3"/>
    <mergeCell ref="D2:D3"/>
    <mergeCell ref="E2:E3"/>
    <mergeCell ref="F2:F3"/>
    <mergeCell ref="G2:G3"/>
    <mergeCell ref="H2:I2"/>
    <mergeCell ref="J2:L2"/>
    <mergeCell ref="Q73:Q74"/>
    <mergeCell ref="M2:N2"/>
    <mergeCell ref="P2:P3"/>
    <mergeCell ref="Q2:Q3"/>
    <mergeCell ref="D4:Q4"/>
    <mergeCell ref="Q5:Q6"/>
    <mergeCell ref="Q7:Q8"/>
    <mergeCell ref="Q26:Q27"/>
    <mergeCell ref="D28:Q28"/>
    <mergeCell ref="D51:Q51"/>
    <mergeCell ref="Q52:Q53"/>
    <mergeCell ref="Q54:Q55"/>
    <mergeCell ref="Q86:Q87"/>
    <mergeCell ref="Q100:Q101"/>
    <mergeCell ref="D102:Q102"/>
    <mergeCell ref="D129:Q129"/>
    <mergeCell ref="D75:Q75"/>
    <mergeCell ref="Q76:Q77"/>
    <mergeCell ref="Q78:Q79"/>
    <mergeCell ref="Q80:Q81"/>
    <mergeCell ref="Q82:Q83"/>
    <mergeCell ref="Q84:Q85"/>
  </mergeCells>
  <phoneticPr fontId="1" type="noConversion"/>
  <printOptions horizontalCentered="1" verticalCentered="1"/>
  <pageMargins left="0.74803149606299213" right="0.35433070866141736" top="0.59055118110236227" bottom="0.59055118110236227" header="0.51181102362204722" footer="0.47244094488188981"/>
  <pageSetup paperSize="9" scale="80" orientation="landscape" r:id="rId1"/>
  <rowBreaks count="3" manualBreakCount="3">
    <brk id="27" max="16" man="1"/>
    <brk id="50" max="16" man="1"/>
    <brk id="74" max="16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00A2F-5776-4342-8D34-3450C7AB020C}">
  <sheetPr>
    <tabColor theme="5"/>
    <pageSetUpPr fitToPage="1"/>
  </sheetPr>
  <dimension ref="B2:N386"/>
  <sheetViews>
    <sheetView showZeros="0" view="pageBreakPreview" topLeftCell="A73" zoomScale="85" zoomScaleNormal="100" zoomScaleSheetLayoutView="85" workbookViewId="0">
      <selection activeCell="I23" sqref="I23"/>
    </sheetView>
  </sheetViews>
  <sheetFormatPr defaultRowHeight="16.5"/>
  <cols>
    <col min="1" max="1" width="9" style="422"/>
    <col min="2" max="2" width="45.625" style="422" bestFit="1" customWidth="1"/>
    <col min="3" max="3" width="41.875" style="422" bestFit="1" customWidth="1"/>
    <col min="4" max="4" width="6" style="422" bestFit="1" customWidth="1"/>
    <col min="5" max="5" width="7.5" style="506" bestFit="1" customWidth="1"/>
    <col min="6" max="6" width="12.125" style="422" customWidth="1"/>
    <col min="7" max="7" width="8.25" style="506" bestFit="1" customWidth="1"/>
    <col min="8" max="8" width="14.375" style="422" customWidth="1"/>
    <col min="9" max="9" width="12.125" style="422" customWidth="1"/>
    <col min="10" max="10" width="8.5" style="506" bestFit="1" customWidth="1"/>
    <col min="11" max="11" width="14.375" style="422" customWidth="1"/>
    <col min="12" max="12" width="12.125" style="422" customWidth="1"/>
    <col min="13" max="13" width="11" style="422" customWidth="1"/>
    <col min="14" max="14" width="14.375" style="422" customWidth="1"/>
    <col min="15" max="16384" width="9" style="422"/>
  </cols>
  <sheetData>
    <row r="2" spans="2:14" ht="26.25">
      <c r="B2" s="669" t="s">
        <v>243</v>
      </c>
      <c r="C2" s="669"/>
      <c r="D2" s="669"/>
      <c r="E2" s="669"/>
      <c r="F2" s="669"/>
      <c r="G2" s="669"/>
      <c r="H2" s="669"/>
      <c r="I2" s="669"/>
      <c r="J2" s="669"/>
      <c r="K2" s="669"/>
      <c r="L2" s="669"/>
      <c r="M2" s="669"/>
      <c r="N2" s="669"/>
    </row>
    <row r="4" spans="2:14">
      <c r="B4" s="670" t="s">
        <v>244</v>
      </c>
      <c r="C4" s="672" t="s">
        <v>245</v>
      </c>
      <c r="D4" s="672" t="s">
        <v>246</v>
      </c>
      <c r="E4" s="674" t="s">
        <v>247</v>
      </c>
      <c r="F4" s="676" t="s">
        <v>248</v>
      </c>
      <c r="G4" s="677"/>
      <c r="H4" s="678"/>
      <c r="I4" s="679" t="s">
        <v>249</v>
      </c>
      <c r="J4" s="680"/>
      <c r="K4" s="680"/>
      <c r="L4" s="681" t="s">
        <v>3746</v>
      </c>
      <c r="M4" s="680"/>
      <c r="N4" s="682"/>
    </row>
    <row r="5" spans="2:14">
      <c r="B5" s="671"/>
      <c r="C5" s="673"/>
      <c r="D5" s="673"/>
      <c r="E5" s="675"/>
      <c r="F5" s="529" t="s">
        <v>250</v>
      </c>
      <c r="G5" s="530" t="s">
        <v>251</v>
      </c>
      <c r="H5" s="531" t="s">
        <v>252</v>
      </c>
      <c r="I5" s="532" t="s">
        <v>250</v>
      </c>
      <c r="J5" s="533" t="s">
        <v>251</v>
      </c>
      <c r="K5" s="534" t="s">
        <v>252</v>
      </c>
      <c r="L5" s="535" t="s">
        <v>250</v>
      </c>
      <c r="M5" s="535" t="s">
        <v>251</v>
      </c>
      <c r="N5" s="536" t="s">
        <v>252</v>
      </c>
    </row>
    <row r="6" spans="2:14" ht="16.5" customHeight="1">
      <c r="B6" s="459" t="s">
        <v>253</v>
      </c>
      <c r="C6" s="460" t="s">
        <v>254</v>
      </c>
      <c r="D6" s="461" t="s">
        <v>255</v>
      </c>
      <c r="E6" s="507">
        <v>6</v>
      </c>
      <c r="F6" s="462">
        <f>변경내역서!N5</f>
        <v>67413</v>
      </c>
      <c r="G6" s="462">
        <f>변경내역서!G5</f>
        <v>6</v>
      </c>
      <c r="H6" s="463">
        <f>변경내역서!I5</f>
        <v>19338</v>
      </c>
      <c r="I6" s="464">
        <f>변경내역서!N4</f>
        <v>0</v>
      </c>
      <c r="J6" s="512">
        <f>변경내역서!G4</f>
        <v>0</v>
      </c>
      <c r="K6" s="465">
        <f>변경내역서!I4</f>
        <v>0</v>
      </c>
      <c r="L6" s="466">
        <f t="shared" ref="L6:N37" si="0">I6-F6</f>
        <v>-67413</v>
      </c>
      <c r="M6" s="466">
        <f t="shared" si="0"/>
        <v>-6</v>
      </c>
      <c r="N6" s="467">
        <f t="shared" si="0"/>
        <v>-19338</v>
      </c>
    </row>
    <row r="7" spans="2:14" ht="16.5" customHeight="1">
      <c r="B7" s="468" t="s">
        <v>256</v>
      </c>
      <c r="C7" s="469" t="s">
        <v>257</v>
      </c>
      <c r="D7" s="470" t="s">
        <v>255</v>
      </c>
      <c r="E7" s="508">
        <v>144</v>
      </c>
      <c r="F7" s="471">
        <f>변경내역서!N7</f>
        <v>6217</v>
      </c>
      <c r="G7" s="471">
        <f>변경내역서!G7</f>
        <v>144</v>
      </c>
      <c r="H7" s="472">
        <f>변경내역서!I7</f>
        <v>62064</v>
      </c>
      <c r="I7" s="473">
        <f>변경내역서!N6</f>
        <v>0</v>
      </c>
      <c r="J7" s="513">
        <f>변경내역서!G6</f>
        <v>0</v>
      </c>
      <c r="K7" s="474">
        <f>변경내역서!I6</f>
        <v>0</v>
      </c>
      <c r="L7" s="475">
        <f t="shared" si="0"/>
        <v>-6217</v>
      </c>
      <c r="M7" s="475">
        <f t="shared" si="0"/>
        <v>-144</v>
      </c>
      <c r="N7" s="476">
        <f t="shared" si="0"/>
        <v>-62064</v>
      </c>
    </row>
    <row r="8" spans="2:14" ht="16.5" customHeight="1">
      <c r="B8" s="468" t="s">
        <v>256</v>
      </c>
      <c r="C8" s="469" t="s">
        <v>258</v>
      </c>
      <c r="D8" s="470" t="s">
        <v>255</v>
      </c>
      <c r="E8" s="508">
        <v>796</v>
      </c>
      <c r="F8" s="471">
        <f>변경내역서!N9</f>
        <v>7643</v>
      </c>
      <c r="G8" s="471">
        <f>변경내역서!G9</f>
        <v>796</v>
      </c>
      <c r="H8" s="472">
        <f>변경내역서!I9</f>
        <v>448944</v>
      </c>
      <c r="I8" s="473">
        <f>변경내역서!N8</f>
        <v>0</v>
      </c>
      <c r="J8" s="513">
        <f>변경내역서!G8</f>
        <v>0</v>
      </c>
      <c r="K8" s="474">
        <f>변경내역서!I8</f>
        <v>0</v>
      </c>
      <c r="L8" s="475">
        <f t="shared" si="0"/>
        <v>-7643</v>
      </c>
      <c r="M8" s="475">
        <f t="shared" si="0"/>
        <v>-796</v>
      </c>
      <c r="N8" s="476">
        <f t="shared" si="0"/>
        <v>-448944</v>
      </c>
    </row>
    <row r="9" spans="2:14" ht="16.5" customHeight="1">
      <c r="B9" s="468" t="s">
        <v>256</v>
      </c>
      <c r="C9" s="469" t="s">
        <v>259</v>
      </c>
      <c r="D9" s="470" t="s">
        <v>255</v>
      </c>
      <c r="E9" s="508">
        <v>21</v>
      </c>
      <c r="F9" s="471">
        <f>변경내역서!N11</f>
        <v>9957</v>
      </c>
      <c r="G9" s="471">
        <f>변경내역서!G11</f>
        <v>21</v>
      </c>
      <c r="H9" s="472">
        <f>변경내역서!I11</f>
        <v>22680</v>
      </c>
      <c r="I9" s="473">
        <f>변경내역서!N10</f>
        <v>0</v>
      </c>
      <c r="J9" s="513">
        <f>변경내역서!G10</f>
        <v>0</v>
      </c>
      <c r="K9" s="474">
        <f>변경내역서!I10</f>
        <v>0</v>
      </c>
      <c r="L9" s="475">
        <f t="shared" si="0"/>
        <v>-9957</v>
      </c>
      <c r="M9" s="475">
        <f t="shared" si="0"/>
        <v>-21</v>
      </c>
      <c r="N9" s="476">
        <f t="shared" si="0"/>
        <v>-22680</v>
      </c>
    </row>
    <row r="10" spans="2:14" ht="16.5" customHeight="1">
      <c r="B10" s="468" t="s">
        <v>260</v>
      </c>
      <c r="C10" s="469" t="s">
        <v>261</v>
      </c>
      <c r="D10" s="470" t="s">
        <v>262</v>
      </c>
      <c r="E10" s="508">
        <v>1</v>
      </c>
      <c r="F10" s="471">
        <f>변경내역서!N13</f>
        <v>64970</v>
      </c>
      <c r="G10" s="471">
        <f>변경내역서!G13</f>
        <v>1</v>
      </c>
      <c r="H10" s="472">
        <f>변경내역서!I13</f>
        <v>15857</v>
      </c>
      <c r="I10" s="473">
        <f>변경내역서!N12</f>
        <v>0</v>
      </c>
      <c r="J10" s="513">
        <f>변경내역서!G12</f>
        <v>0</v>
      </c>
      <c r="K10" s="474">
        <f>변경내역서!I12</f>
        <v>0</v>
      </c>
      <c r="L10" s="475">
        <f t="shared" si="0"/>
        <v>-64970</v>
      </c>
      <c r="M10" s="475">
        <f t="shared" si="0"/>
        <v>-1</v>
      </c>
      <c r="N10" s="476">
        <f t="shared" si="0"/>
        <v>-15857</v>
      </c>
    </row>
    <row r="11" spans="2:14" ht="16.5" customHeight="1">
      <c r="B11" s="468" t="s">
        <v>263</v>
      </c>
      <c r="C11" s="469" t="s">
        <v>264</v>
      </c>
      <c r="D11" s="470" t="s">
        <v>265</v>
      </c>
      <c r="E11" s="508">
        <v>1</v>
      </c>
      <c r="F11" s="471">
        <f>변경내역서!N15</f>
        <v>3124</v>
      </c>
      <c r="G11" s="471">
        <f>변경내역서!G15</f>
        <v>1</v>
      </c>
      <c r="H11" s="472">
        <f>변경내역서!I15</f>
        <v>3124</v>
      </c>
      <c r="I11" s="473">
        <f>변경내역서!N14</f>
        <v>0</v>
      </c>
      <c r="J11" s="513">
        <f>변경내역서!G14</f>
        <v>0</v>
      </c>
      <c r="K11" s="474">
        <f>변경내역서!I14</f>
        <v>0</v>
      </c>
      <c r="L11" s="475">
        <f t="shared" si="0"/>
        <v>-3124</v>
      </c>
      <c r="M11" s="475">
        <f t="shared" si="0"/>
        <v>-1</v>
      </c>
      <c r="N11" s="476">
        <f t="shared" si="0"/>
        <v>-3124</v>
      </c>
    </row>
    <row r="12" spans="2:14" ht="16.5" customHeight="1">
      <c r="B12" s="468" t="s">
        <v>266</v>
      </c>
      <c r="C12" s="469" t="s">
        <v>267</v>
      </c>
      <c r="D12" s="470" t="s">
        <v>265</v>
      </c>
      <c r="E12" s="508">
        <v>1</v>
      </c>
      <c r="F12" s="471">
        <f>변경내역서!N17</f>
        <v>101182</v>
      </c>
      <c r="G12" s="471">
        <f>변경내역서!G17</f>
        <v>1</v>
      </c>
      <c r="H12" s="472">
        <f>변경내역서!I17</f>
        <v>20945</v>
      </c>
      <c r="I12" s="473">
        <f>변경내역서!N16</f>
        <v>0</v>
      </c>
      <c r="J12" s="513">
        <f>변경내역서!G16</f>
        <v>0</v>
      </c>
      <c r="K12" s="474">
        <f>변경내역서!I16</f>
        <v>0</v>
      </c>
      <c r="L12" s="475">
        <f t="shared" si="0"/>
        <v>-101182</v>
      </c>
      <c r="M12" s="475">
        <f t="shared" si="0"/>
        <v>-1</v>
      </c>
      <c r="N12" s="476">
        <f t="shared" si="0"/>
        <v>-20945</v>
      </c>
    </row>
    <row r="13" spans="2:14" ht="16.5" customHeight="1">
      <c r="B13" s="468" t="s">
        <v>268</v>
      </c>
      <c r="C13" s="469" t="s">
        <v>269</v>
      </c>
      <c r="D13" s="470" t="s">
        <v>255</v>
      </c>
      <c r="E13" s="508">
        <v>986</v>
      </c>
      <c r="F13" s="471">
        <f>변경내역서!N19</f>
        <v>2112</v>
      </c>
      <c r="G13" s="471">
        <f>변경내역서!G19</f>
        <v>986</v>
      </c>
      <c r="H13" s="472">
        <f>변경내역서!I19</f>
        <v>726682</v>
      </c>
      <c r="I13" s="473">
        <f>변경내역서!N18</f>
        <v>0</v>
      </c>
      <c r="J13" s="513">
        <f>변경내역서!G18</f>
        <v>0</v>
      </c>
      <c r="K13" s="474">
        <f>변경내역서!I18</f>
        <v>0</v>
      </c>
      <c r="L13" s="475">
        <f t="shared" si="0"/>
        <v>-2112</v>
      </c>
      <c r="M13" s="475">
        <f t="shared" si="0"/>
        <v>-986</v>
      </c>
      <c r="N13" s="476">
        <f t="shared" si="0"/>
        <v>-726682</v>
      </c>
    </row>
    <row r="14" spans="2:14" ht="16.5" customHeight="1">
      <c r="B14" s="468" t="s">
        <v>270</v>
      </c>
      <c r="C14" s="469" t="s">
        <v>271</v>
      </c>
      <c r="D14" s="470" t="s">
        <v>255</v>
      </c>
      <c r="E14" s="508">
        <v>141</v>
      </c>
      <c r="F14" s="471">
        <f>변경내역서!N21</f>
        <v>4412</v>
      </c>
      <c r="G14" s="471">
        <f>변경내역서!G21</f>
        <v>141</v>
      </c>
      <c r="H14" s="472">
        <f>변경내역서!I21</f>
        <v>162150</v>
      </c>
      <c r="I14" s="473">
        <f>변경내역서!N20</f>
        <v>0</v>
      </c>
      <c r="J14" s="513">
        <f>변경내역서!G20</f>
        <v>0</v>
      </c>
      <c r="K14" s="474">
        <f>변경내역서!I20</f>
        <v>0</v>
      </c>
      <c r="L14" s="475">
        <f t="shared" si="0"/>
        <v>-4412</v>
      </c>
      <c r="M14" s="475">
        <f t="shared" si="0"/>
        <v>-141</v>
      </c>
      <c r="N14" s="476">
        <f t="shared" si="0"/>
        <v>-162150</v>
      </c>
    </row>
    <row r="15" spans="2:14" ht="16.5" customHeight="1">
      <c r="B15" s="468" t="s">
        <v>270</v>
      </c>
      <c r="C15" s="469" t="s">
        <v>272</v>
      </c>
      <c r="D15" s="470" t="s">
        <v>255</v>
      </c>
      <c r="E15" s="508">
        <v>147</v>
      </c>
      <c r="F15" s="471">
        <f>변경내역서!N23</f>
        <v>5276</v>
      </c>
      <c r="G15" s="471">
        <f>변경내역서!G23</f>
        <v>147</v>
      </c>
      <c r="H15" s="472">
        <f>변경내역서!I23</f>
        <v>296058</v>
      </c>
      <c r="I15" s="473">
        <f>변경내역서!N22</f>
        <v>0</v>
      </c>
      <c r="J15" s="513">
        <f>변경내역서!G22</f>
        <v>0</v>
      </c>
      <c r="K15" s="474">
        <f>변경내역서!I22</f>
        <v>0</v>
      </c>
      <c r="L15" s="475">
        <f t="shared" si="0"/>
        <v>-5276</v>
      </c>
      <c r="M15" s="475">
        <f t="shared" si="0"/>
        <v>-147</v>
      </c>
      <c r="N15" s="476">
        <f t="shared" si="0"/>
        <v>-296058</v>
      </c>
    </row>
    <row r="16" spans="2:14" ht="16.5" customHeight="1">
      <c r="B16" s="468" t="s">
        <v>270</v>
      </c>
      <c r="C16" s="469" t="s">
        <v>273</v>
      </c>
      <c r="D16" s="470" t="s">
        <v>255</v>
      </c>
      <c r="E16" s="508">
        <v>1619</v>
      </c>
      <c r="F16" s="471">
        <f>변경내역서!N25</f>
        <v>4946</v>
      </c>
      <c r="G16" s="471">
        <f>변경내역서!G25</f>
        <v>1619</v>
      </c>
      <c r="H16" s="472">
        <f>변경내역서!I25</f>
        <v>3250952</v>
      </c>
      <c r="I16" s="473">
        <f>변경내역서!N24</f>
        <v>0</v>
      </c>
      <c r="J16" s="513">
        <f>변경내역서!G24</f>
        <v>0</v>
      </c>
      <c r="K16" s="474">
        <f>변경내역서!I24</f>
        <v>0</v>
      </c>
      <c r="L16" s="475">
        <f t="shared" si="0"/>
        <v>-4946</v>
      </c>
      <c r="M16" s="475">
        <f t="shared" si="0"/>
        <v>-1619</v>
      </c>
      <c r="N16" s="476">
        <f t="shared" si="0"/>
        <v>-3250952</v>
      </c>
    </row>
    <row r="17" spans="2:14" ht="16.5" customHeight="1">
      <c r="B17" s="468" t="s">
        <v>270</v>
      </c>
      <c r="C17" s="469" t="s">
        <v>274</v>
      </c>
      <c r="D17" s="470" t="s">
        <v>255</v>
      </c>
      <c r="E17" s="508">
        <v>57</v>
      </c>
      <c r="F17" s="471">
        <f>변경내역서!N27</f>
        <v>4746</v>
      </c>
      <c r="G17" s="471">
        <f>변경내역서!G27</f>
        <v>57</v>
      </c>
      <c r="H17" s="472">
        <f>변경내역서!I27</f>
        <v>114228</v>
      </c>
      <c r="I17" s="473">
        <f>변경내역서!N26</f>
        <v>0</v>
      </c>
      <c r="J17" s="513">
        <f>변경내역서!G26</f>
        <v>0</v>
      </c>
      <c r="K17" s="474">
        <f>변경내역서!I26</f>
        <v>0</v>
      </c>
      <c r="L17" s="475">
        <f t="shared" si="0"/>
        <v>-4746</v>
      </c>
      <c r="M17" s="475">
        <f t="shared" si="0"/>
        <v>-57</v>
      </c>
      <c r="N17" s="476">
        <f t="shared" si="0"/>
        <v>-114228</v>
      </c>
    </row>
    <row r="18" spans="2:14" ht="16.5" customHeight="1">
      <c r="B18" s="468" t="s">
        <v>270</v>
      </c>
      <c r="C18" s="469" t="s">
        <v>275</v>
      </c>
      <c r="D18" s="470" t="s">
        <v>255</v>
      </c>
      <c r="E18" s="508">
        <v>111</v>
      </c>
      <c r="F18" s="471">
        <f>변경내역서!N29</f>
        <v>4711</v>
      </c>
      <c r="G18" s="471">
        <f>변경내역서!G29</f>
        <v>111</v>
      </c>
      <c r="H18" s="472">
        <f>변경내역서!I29</f>
        <v>222333</v>
      </c>
      <c r="I18" s="473">
        <f>변경내역서!N28</f>
        <v>0</v>
      </c>
      <c r="J18" s="513">
        <f>변경내역서!G28</f>
        <v>0</v>
      </c>
      <c r="K18" s="474">
        <f>변경내역서!I28</f>
        <v>0</v>
      </c>
      <c r="L18" s="475">
        <f t="shared" si="0"/>
        <v>-4711</v>
      </c>
      <c r="M18" s="475">
        <f t="shared" si="0"/>
        <v>-111</v>
      </c>
      <c r="N18" s="476">
        <f t="shared" si="0"/>
        <v>-222333</v>
      </c>
    </row>
    <row r="19" spans="2:14" ht="16.5" customHeight="1">
      <c r="B19" s="468" t="s">
        <v>276</v>
      </c>
      <c r="C19" s="469" t="s">
        <v>277</v>
      </c>
      <c r="D19" s="470" t="s">
        <v>255</v>
      </c>
      <c r="E19" s="508">
        <v>900</v>
      </c>
      <c r="F19" s="471">
        <f>변경내역서!N31</f>
        <v>494</v>
      </c>
      <c r="G19" s="471">
        <f>변경내역서!G31</f>
        <v>900</v>
      </c>
      <c r="H19" s="472">
        <f>변경내역서!I31</f>
        <v>218700</v>
      </c>
      <c r="I19" s="473">
        <f>변경내역서!N30</f>
        <v>0</v>
      </c>
      <c r="J19" s="513">
        <f>변경내역서!G30</f>
        <v>0</v>
      </c>
      <c r="K19" s="474">
        <f>변경내역서!I30</f>
        <v>0</v>
      </c>
      <c r="L19" s="475">
        <f t="shared" si="0"/>
        <v>-494</v>
      </c>
      <c r="M19" s="475">
        <f t="shared" si="0"/>
        <v>-900</v>
      </c>
      <c r="N19" s="476">
        <f t="shared" si="0"/>
        <v>-218700</v>
      </c>
    </row>
    <row r="20" spans="2:14" ht="16.5" customHeight="1">
      <c r="B20" s="468" t="s">
        <v>278</v>
      </c>
      <c r="C20" s="469" t="s">
        <v>279</v>
      </c>
      <c r="D20" s="470" t="s">
        <v>280</v>
      </c>
      <c r="E20" s="508">
        <v>30</v>
      </c>
      <c r="F20" s="471">
        <f>변경내역서!N33</f>
        <v>183741</v>
      </c>
      <c r="G20" s="471">
        <f>변경내역서!G33</f>
        <v>30</v>
      </c>
      <c r="H20" s="472">
        <f>변경내역서!I33</f>
        <v>3857820</v>
      </c>
      <c r="I20" s="473">
        <f>변경내역서!N32</f>
        <v>0</v>
      </c>
      <c r="J20" s="513">
        <f>변경내역서!G32</f>
        <v>0</v>
      </c>
      <c r="K20" s="474">
        <f>변경내역서!I32</f>
        <v>0</v>
      </c>
      <c r="L20" s="475">
        <f t="shared" si="0"/>
        <v>-183741</v>
      </c>
      <c r="M20" s="475">
        <f t="shared" si="0"/>
        <v>-30</v>
      </c>
      <c r="N20" s="476">
        <f t="shared" si="0"/>
        <v>-3857820</v>
      </c>
    </row>
    <row r="21" spans="2:14" ht="16.5" customHeight="1">
      <c r="B21" s="468" t="s">
        <v>281</v>
      </c>
      <c r="C21" s="469" t="s">
        <v>282</v>
      </c>
      <c r="D21" s="470" t="s">
        <v>280</v>
      </c>
      <c r="E21" s="508">
        <v>30</v>
      </c>
      <c r="F21" s="471">
        <f>변경내역서!N35</f>
        <v>98669</v>
      </c>
      <c r="G21" s="471">
        <f>변경내역서!G35</f>
        <v>30</v>
      </c>
      <c r="H21" s="472">
        <f>변경내역서!I35</f>
        <v>248610</v>
      </c>
      <c r="I21" s="473">
        <f>변경내역서!N34</f>
        <v>0</v>
      </c>
      <c r="J21" s="513">
        <f>변경내역서!G34</f>
        <v>0</v>
      </c>
      <c r="K21" s="474">
        <f>변경내역서!I34</f>
        <v>0</v>
      </c>
      <c r="L21" s="475">
        <f t="shared" si="0"/>
        <v>-98669</v>
      </c>
      <c r="M21" s="475">
        <f t="shared" si="0"/>
        <v>-30</v>
      </c>
      <c r="N21" s="476">
        <f t="shared" si="0"/>
        <v>-248610</v>
      </c>
    </row>
    <row r="22" spans="2:14" ht="16.5" customHeight="1">
      <c r="B22" s="468" t="s">
        <v>283</v>
      </c>
      <c r="C22" s="469" t="s">
        <v>284</v>
      </c>
      <c r="D22" s="470" t="s">
        <v>280</v>
      </c>
      <c r="E22" s="508">
        <v>22</v>
      </c>
      <c r="F22" s="471">
        <f>변경내역서!N37</f>
        <v>124369</v>
      </c>
      <c r="G22" s="471">
        <f>변경내역서!G37</f>
        <v>22</v>
      </c>
      <c r="H22" s="472">
        <f>변경내역서!I37</f>
        <v>1999448</v>
      </c>
      <c r="I22" s="473">
        <f>변경내역서!N36</f>
        <v>0</v>
      </c>
      <c r="J22" s="513">
        <f>변경내역서!G36</f>
        <v>0</v>
      </c>
      <c r="K22" s="474">
        <f>변경내역서!I36</f>
        <v>0</v>
      </c>
      <c r="L22" s="475">
        <f t="shared" si="0"/>
        <v>-124369</v>
      </c>
      <c r="M22" s="475">
        <f t="shared" si="0"/>
        <v>-22</v>
      </c>
      <c r="N22" s="476">
        <f t="shared" si="0"/>
        <v>-1999448</v>
      </c>
    </row>
    <row r="23" spans="2:14" ht="16.5" customHeight="1">
      <c r="B23" s="468" t="s">
        <v>285</v>
      </c>
      <c r="C23" s="469" t="s">
        <v>286</v>
      </c>
      <c r="D23" s="470" t="s">
        <v>287</v>
      </c>
      <c r="E23" s="508">
        <v>324</v>
      </c>
      <c r="F23" s="477">
        <f>변경내역서!N39</f>
        <v>1137</v>
      </c>
      <c r="G23" s="471">
        <f>변경내역서!G39</f>
        <v>324</v>
      </c>
      <c r="H23" s="472">
        <f>변경내역서!I39</f>
        <v>107892</v>
      </c>
      <c r="I23" s="473">
        <f>변경내역서!N38</f>
        <v>0</v>
      </c>
      <c r="J23" s="513">
        <f>변경내역서!G38</f>
        <v>0</v>
      </c>
      <c r="K23" s="474">
        <f>변경내역서!I38</f>
        <v>0</v>
      </c>
      <c r="L23" s="475">
        <f t="shared" si="0"/>
        <v>-1137</v>
      </c>
      <c r="M23" s="475">
        <f t="shared" si="0"/>
        <v>-324</v>
      </c>
      <c r="N23" s="476">
        <f t="shared" si="0"/>
        <v>-107892</v>
      </c>
    </row>
    <row r="24" spans="2:14" ht="16.5" customHeight="1">
      <c r="B24" s="468" t="s">
        <v>288</v>
      </c>
      <c r="C24" s="469" t="s">
        <v>286</v>
      </c>
      <c r="D24" s="470" t="s">
        <v>287</v>
      </c>
      <c r="E24" s="508">
        <v>324</v>
      </c>
      <c r="F24" s="477">
        <f>변경내역서!N41</f>
        <v>1137</v>
      </c>
      <c r="G24" s="471">
        <f>변경내역서!G41</f>
        <v>324</v>
      </c>
      <c r="H24" s="472">
        <f>변경내역서!I41</f>
        <v>107892</v>
      </c>
      <c r="I24" s="473">
        <f>변경내역서!N40</f>
        <v>0</v>
      </c>
      <c r="J24" s="513">
        <f>변경내역서!G40</f>
        <v>0</v>
      </c>
      <c r="K24" s="474">
        <f>변경내역서!I40</f>
        <v>0</v>
      </c>
      <c r="L24" s="475">
        <f t="shared" si="0"/>
        <v>-1137</v>
      </c>
      <c r="M24" s="475">
        <f t="shared" si="0"/>
        <v>-324</v>
      </c>
      <c r="N24" s="476">
        <f t="shared" si="0"/>
        <v>-107892</v>
      </c>
    </row>
    <row r="25" spans="2:14" ht="16.5" customHeight="1">
      <c r="B25" s="468" t="s">
        <v>289</v>
      </c>
      <c r="C25" s="469" t="s">
        <v>290</v>
      </c>
      <c r="D25" s="470" t="s">
        <v>291</v>
      </c>
      <c r="E25" s="508">
        <v>30</v>
      </c>
      <c r="F25" s="471">
        <f>변경내역서!N43</f>
        <v>84271</v>
      </c>
      <c r="G25" s="471">
        <f>변경내역서!G43</f>
        <v>30</v>
      </c>
      <c r="H25" s="472">
        <f>변경내역서!I43</f>
        <v>1221420</v>
      </c>
      <c r="I25" s="473">
        <f>변경내역서!N42</f>
        <v>0</v>
      </c>
      <c r="J25" s="513">
        <f>변경내역서!G42</f>
        <v>0</v>
      </c>
      <c r="K25" s="474">
        <f>변경내역서!I42</f>
        <v>0</v>
      </c>
      <c r="L25" s="475">
        <f t="shared" si="0"/>
        <v>-84271</v>
      </c>
      <c r="M25" s="475">
        <f t="shared" si="0"/>
        <v>-30</v>
      </c>
      <c r="N25" s="476">
        <f t="shared" si="0"/>
        <v>-1221420</v>
      </c>
    </row>
    <row r="26" spans="2:14" ht="16.5" customHeight="1">
      <c r="B26" s="468" t="s">
        <v>292</v>
      </c>
      <c r="C26" s="469" t="s">
        <v>293</v>
      </c>
      <c r="D26" s="470" t="s">
        <v>294</v>
      </c>
      <c r="E26" s="508">
        <v>30</v>
      </c>
      <c r="F26" s="471">
        <f>변경내역서!N45</f>
        <v>42790</v>
      </c>
      <c r="G26" s="471">
        <f>변경내역서!G45</f>
        <v>30</v>
      </c>
      <c r="H26" s="472">
        <f>변경내역서!I45</f>
        <v>25140</v>
      </c>
      <c r="I26" s="473">
        <f>변경내역서!N44</f>
        <v>0</v>
      </c>
      <c r="J26" s="513">
        <f>변경내역서!G44</f>
        <v>0</v>
      </c>
      <c r="K26" s="474">
        <f>변경내역서!I44</f>
        <v>0</v>
      </c>
      <c r="L26" s="475">
        <f t="shared" si="0"/>
        <v>-42790</v>
      </c>
      <c r="M26" s="475">
        <f t="shared" si="0"/>
        <v>-30</v>
      </c>
      <c r="N26" s="476">
        <f t="shared" si="0"/>
        <v>-25140</v>
      </c>
    </row>
    <row r="27" spans="2:14" ht="16.5" customHeight="1">
      <c r="B27" s="468" t="s">
        <v>295</v>
      </c>
      <c r="C27" s="469" t="s">
        <v>296</v>
      </c>
      <c r="D27" s="470" t="s">
        <v>294</v>
      </c>
      <c r="E27" s="508">
        <v>22</v>
      </c>
      <c r="F27" s="471">
        <f>변경내역서!N47</f>
        <v>36932</v>
      </c>
      <c r="G27" s="471">
        <f>변경내역서!G47</f>
        <v>22</v>
      </c>
      <c r="H27" s="472">
        <f>변경내역서!I47</f>
        <v>15906</v>
      </c>
      <c r="I27" s="473">
        <f>변경내역서!N46</f>
        <v>0</v>
      </c>
      <c r="J27" s="513">
        <f>변경내역서!G46</f>
        <v>0</v>
      </c>
      <c r="K27" s="474">
        <f>변경내역서!I46</f>
        <v>0</v>
      </c>
      <c r="L27" s="475">
        <f t="shared" si="0"/>
        <v>-36932</v>
      </c>
      <c r="M27" s="475">
        <f t="shared" si="0"/>
        <v>-22</v>
      </c>
      <c r="N27" s="476">
        <f t="shared" si="0"/>
        <v>-15906</v>
      </c>
    </row>
    <row r="28" spans="2:14" ht="16.5" customHeight="1">
      <c r="B28" s="468" t="s">
        <v>266</v>
      </c>
      <c r="C28" s="469" t="s">
        <v>297</v>
      </c>
      <c r="D28" s="470" t="s">
        <v>265</v>
      </c>
      <c r="E28" s="508"/>
      <c r="F28" s="471">
        <f>변경내역서!N49</f>
        <v>0</v>
      </c>
      <c r="G28" s="471">
        <f>변경내역서!G49</f>
        <v>0</v>
      </c>
      <c r="H28" s="472">
        <f>변경내역서!I49</f>
        <v>0</v>
      </c>
      <c r="I28" s="473">
        <f>변경내역서!N48</f>
        <v>0</v>
      </c>
      <c r="J28" s="513">
        <f>변경내역서!G48</f>
        <v>0</v>
      </c>
      <c r="K28" s="474">
        <f>변경내역서!I48</f>
        <v>0</v>
      </c>
      <c r="L28" s="475">
        <f t="shared" si="0"/>
        <v>0</v>
      </c>
      <c r="M28" s="475">
        <f t="shared" si="0"/>
        <v>0</v>
      </c>
      <c r="N28" s="476">
        <f t="shared" si="0"/>
        <v>0</v>
      </c>
    </row>
    <row r="29" spans="2:14" ht="16.5" customHeight="1">
      <c r="B29" s="468" t="s">
        <v>298</v>
      </c>
      <c r="C29" s="469" t="s">
        <v>299</v>
      </c>
      <c r="D29" s="470" t="s">
        <v>300</v>
      </c>
      <c r="E29" s="508">
        <v>4</v>
      </c>
      <c r="F29" s="471">
        <f>변경내역서!N51</f>
        <v>0</v>
      </c>
      <c r="G29" s="471">
        <f>변경내역서!G51</f>
        <v>0</v>
      </c>
      <c r="H29" s="472">
        <f>변경내역서!I51</f>
        <v>0</v>
      </c>
      <c r="I29" s="473">
        <f>변경내역서!N50</f>
        <v>12062</v>
      </c>
      <c r="J29" s="513">
        <f>변경내역서!G50</f>
        <v>4</v>
      </c>
      <c r="K29" s="474">
        <f>변경내역서!I50</f>
        <v>10652</v>
      </c>
      <c r="L29" s="475">
        <f t="shared" si="0"/>
        <v>12062</v>
      </c>
      <c r="M29" s="475">
        <f t="shared" si="0"/>
        <v>4</v>
      </c>
      <c r="N29" s="476">
        <f t="shared" si="0"/>
        <v>10652</v>
      </c>
    </row>
    <row r="30" spans="2:14" ht="16.5" customHeight="1">
      <c r="B30" s="468" t="s">
        <v>298</v>
      </c>
      <c r="C30" s="469" t="s">
        <v>301</v>
      </c>
      <c r="D30" s="470" t="s">
        <v>300</v>
      </c>
      <c r="E30" s="508">
        <v>564.5</v>
      </c>
      <c r="F30" s="471">
        <f>변경내역서!N53</f>
        <v>0</v>
      </c>
      <c r="G30" s="471">
        <f>변경내역서!G53</f>
        <v>0</v>
      </c>
      <c r="H30" s="472">
        <f>변경내역서!I53</f>
        <v>0</v>
      </c>
      <c r="I30" s="473">
        <f>변경내역서!N52</f>
        <v>3078</v>
      </c>
      <c r="J30" s="514">
        <f>변경내역서!G52</f>
        <v>564.5</v>
      </c>
      <c r="K30" s="474">
        <f>변경내역서!I52</f>
        <v>544178</v>
      </c>
      <c r="L30" s="475">
        <f t="shared" si="0"/>
        <v>3078</v>
      </c>
      <c r="M30" s="475">
        <f t="shared" si="0"/>
        <v>564.5</v>
      </c>
      <c r="N30" s="476">
        <f t="shared" si="0"/>
        <v>544178</v>
      </c>
    </row>
    <row r="31" spans="2:14" ht="16.5" customHeight="1">
      <c r="B31" s="468" t="s">
        <v>302</v>
      </c>
      <c r="C31" s="469" t="s">
        <v>303</v>
      </c>
      <c r="D31" s="470" t="s">
        <v>300</v>
      </c>
      <c r="E31" s="508">
        <v>654.5</v>
      </c>
      <c r="F31" s="471">
        <f>변경내역서!N55</f>
        <v>0</v>
      </c>
      <c r="G31" s="471">
        <f>변경내역서!G55</f>
        <v>0</v>
      </c>
      <c r="H31" s="472">
        <f>변경내역서!I55</f>
        <v>0</v>
      </c>
      <c r="I31" s="473">
        <f>변경내역서!N54</f>
        <v>3179</v>
      </c>
      <c r="J31" s="514">
        <f>변경내역서!G54</f>
        <v>654.5</v>
      </c>
      <c r="K31" s="474">
        <f>변경내역서!I54</f>
        <v>555670</v>
      </c>
      <c r="L31" s="475">
        <f t="shared" si="0"/>
        <v>3179</v>
      </c>
      <c r="M31" s="475">
        <f t="shared" si="0"/>
        <v>654.5</v>
      </c>
      <c r="N31" s="476">
        <f t="shared" si="0"/>
        <v>555670</v>
      </c>
    </row>
    <row r="32" spans="2:14" ht="16.5" customHeight="1">
      <c r="B32" s="468" t="s">
        <v>302</v>
      </c>
      <c r="C32" s="469" t="s">
        <v>304</v>
      </c>
      <c r="D32" s="470" t="s">
        <v>300</v>
      </c>
      <c r="E32" s="508">
        <v>564.5</v>
      </c>
      <c r="F32" s="471">
        <f>변경내역서!N57</f>
        <v>0</v>
      </c>
      <c r="G32" s="471">
        <f>변경내역서!G57</f>
        <v>0</v>
      </c>
      <c r="H32" s="472">
        <f>변경내역서!I57</f>
        <v>0</v>
      </c>
      <c r="I32" s="473">
        <f>변경내역서!N56</f>
        <v>5763</v>
      </c>
      <c r="J32" s="514">
        <f>변경내역서!G56</f>
        <v>564.5</v>
      </c>
      <c r="K32" s="474">
        <f>변경내역서!I56</f>
        <v>946666</v>
      </c>
      <c r="L32" s="475">
        <f t="shared" si="0"/>
        <v>5763</v>
      </c>
      <c r="M32" s="475">
        <f t="shared" si="0"/>
        <v>564.5</v>
      </c>
      <c r="N32" s="476">
        <f t="shared" si="0"/>
        <v>946666</v>
      </c>
    </row>
    <row r="33" spans="2:14" ht="16.5" customHeight="1">
      <c r="B33" s="468" t="s">
        <v>305</v>
      </c>
      <c r="C33" s="469" t="s">
        <v>306</v>
      </c>
      <c r="D33" s="470" t="s">
        <v>265</v>
      </c>
      <c r="E33" s="508">
        <v>960</v>
      </c>
      <c r="F33" s="471">
        <f>변경내역서!N59</f>
        <v>0</v>
      </c>
      <c r="G33" s="471">
        <f>변경내역서!G59</f>
        <v>0</v>
      </c>
      <c r="H33" s="472">
        <f>변경내역서!I59</f>
        <v>0</v>
      </c>
      <c r="I33" s="473">
        <f>변경내역서!N58</f>
        <v>5960</v>
      </c>
      <c r="J33" s="513">
        <f>변경내역서!G58</f>
        <v>960</v>
      </c>
      <c r="K33" s="474">
        <f>변경내역서!I58</f>
        <v>2184000</v>
      </c>
      <c r="L33" s="475">
        <f t="shared" si="0"/>
        <v>5960</v>
      </c>
      <c r="M33" s="475">
        <f t="shared" si="0"/>
        <v>960</v>
      </c>
      <c r="N33" s="476">
        <f t="shared" si="0"/>
        <v>2184000</v>
      </c>
    </row>
    <row r="34" spans="2:14" ht="16.5" customHeight="1">
      <c r="B34" s="468" t="s">
        <v>307</v>
      </c>
      <c r="C34" s="469" t="s">
        <v>308</v>
      </c>
      <c r="D34" s="470" t="s">
        <v>255</v>
      </c>
      <c r="E34" s="508">
        <v>16</v>
      </c>
      <c r="F34" s="471">
        <f>변경내역서!N61</f>
        <v>0</v>
      </c>
      <c r="G34" s="471">
        <f>변경내역서!G61</f>
        <v>0</v>
      </c>
      <c r="H34" s="472">
        <f>변경내역서!I61</f>
        <v>0</v>
      </c>
      <c r="I34" s="473">
        <f>변경내역서!N60</f>
        <v>72035</v>
      </c>
      <c r="J34" s="513">
        <f>변경내역서!G60</f>
        <v>16</v>
      </c>
      <c r="K34" s="474">
        <f>변경내역서!I60</f>
        <v>652496</v>
      </c>
      <c r="L34" s="475">
        <f t="shared" si="0"/>
        <v>72035</v>
      </c>
      <c r="M34" s="475">
        <f t="shared" si="0"/>
        <v>16</v>
      </c>
      <c r="N34" s="476">
        <f t="shared" si="0"/>
        <v>652496</v>
      </c>
    </row>
    <row r="35" spans="2:14" ht="16.5" customHeight="1">
      <c r="B35" s="468" t="s">
        <v>256</v>
      </c>
      <c r="C35" s="469" t="s">
        <v>309</v>
      </c>
      <c r="D35" s="470" t="s">
        <v>255</v>
      </c>
      <c r="E35" s="508">
        <v>1116.5</v>
      </c>
      <c r="F35" s="471">
        <f>변경내역서!N63</f>
        <v>0</v>
      </c>
      <c r="G35" s="471">
        <f>변경내역서!G63</f>
        <v>0</v>
      </c>
      <c r="H35" s="472">
        <f>변경내역서!I63</f>
        <v>0</v>
      </c>
      <c r="I35" s="473">
        <f>변경내역서!N62</f>
        <v>536</v>
      </c>
      <c r="J35" s="514">
        <f>변경내역서!G62</f>
        <v>1116.5</v>
      </c>
      <c r="K35" s="474">
        <f>변경내역서!I62</f>
        <v>301455</v>
      </c>
      <c r="L35" s="475">
        <f t="shared" si="0"/>
        <v>536</v>
      </c>
      <c r="M35" s="475">
        <f t="shared" si="0"/>
        <v>1116.5</v>
      </c>
      <c r="N35" s="476">
        <f t="shared" si="0"/>
        <v>301455</v>
      </c>
    </row>
    <row r="36" spans="2:14" ht="16.5" customHeight="1">
      <c r="B36" s="468" t="s">
        <v>310</v>
      </c>
      <c r="C36" s="469" t="s">
        <v>311</v>
      </c>
      <c r="D36" s="470" t="s">
        <v>255</v>
      </c>
      <c r="E36" s="508">
        <v>858.5</v>
      </c>
      <c r="F36" s="471">
        <f>변경내역서!N65</f>
        <v>0</v>
      </c>
      <c r="G36" s="471">
        <f>변경내역서!G65</f>
        <v>0</v>
      </c>
      <c r="H36" s="472">
        <f>변경내역서!I65</f>
        <v>0</v>
      </c>
      <c r="I36" s="473">
        <f>변경내역서!N64</f>
        <v>7022</v>
      </c>
      <c r="J36" s="514">
        <f>변경내역서!G64</f>
        <v>858.5</v>
      </c>
      <c r="K36" s="474">
        <f>변경내역서!I64</f>
        <v>418089</v>
      </c>
      <c r="L36" s="475">
        <f t="shared" si="0"/>
        <v>7022</v>
      </c>
      <c r="M36" s="475">
        <f t="shared" si="0"/>
        <v>858.5</v>
      </c>
      <c r="N36" s="476">
        <f t="shared" si="0"/>
        <v>418089</v>
      </c>
    </row>
    <row r="37" spans="2:14" ht="16.5" customHeight="1">
      <c r="B37" s="468" t="s">
        <v>312</v>
      </c>
      <c r="C37" s="469" t="s">
        <v>313</v>
      </c>
      <c r="D37" s="470" t="s">
        <v>300</v>
      </c>
      <c r="E37" s="508">
        <v>306</v>
      </c>
      <c r="F37" s="471">
        <f>변경내역서!N67</f>
        <v>0</v>
      </c>
      <c r="G37" s="471">
        <f>변경내역서!G67</f>
        <v>0</v>
      </c>
      <c r="H37" s="472">
        <f>변경내역서!I67</f>
        <v>0</v>
      </c>
      <c r="I37" s="473">
        <f>변경내역서!N66</f>
        <v>8634</v>
      </c>
      <c r="J37" s="513">
        <f>변경내역서!G66</f>
        <v>306</v>
      </c>
      <c r="K37" s="474">
        <f>변경내역서!I66</f>
        <v>195228</v>
      </c>
      <c r="L37" s="475">
        <f t="shared" si="0"/>
        <v>8634</v>
      </c>
      <c r="M37" s="475">
        <f t="shared" si="0"/>
        <v>306</v>
      </c>
      <c r="N37" s="476">
        <f t="shared" si="0"/>
        <v>195228</v>
      </c>
    </row>
    <row r="38" spans="2:14" ht="16.5" customHeight="1">
      <c r="B38" s="468" t="s">
        <v>314</v>
      </c>
      <c r="C38" s="469" t="s">
        <v>315</v>
      </c>
      <c r="D38" s="470" t="s">
        <v>265</v>
      </c>
      <c r="E38" s="508">
        <v>60</v>
      </c>
      <c r="F38" s="471">
        <f>변경내역서!N69</f>
        <v>0</v>
      </c>
      <c r="G38" s="471">
        <f>변경내역서!G69</f>
        <v>0</v>
      </c>
      <c r="H38" s="472">
        <f>변경내역서!I69</f>
        <v>0</v>
      </c>
      <c r="I38" s="473">
        <f>변경내역서!N68</f>
        <v>35556</v>
      </c>
      <c r="J38" s="513">
        <f>변경내역서!G68</f>
        <v>60</v>
      </c>
      <c r="K38" s="474">
        <f>변경내역서!I68</f>
        <v>300420</v>
      </c>
      <c r="L38" s="475">
        <f t="shared" ref="L38:N60" si="1">I38-F38</f>
        <v>35556</v>
      </c>
      <c r="M38" s="475">
        <f t="shared" si="1"/>
        <v>60</v>
      </c>
      <c r="N38" s="476">
        <f t="shared" si="1"/>
        <v>300420</v>
      </c>
    </row>
    <row r="39" spans="2:14" ht="16.5" customHeight="1">
      <c r="B39" s="468" t="s">
        <v>316</v>
      </c>
      <c r="C39" s="469" t="s">
        <v>317</v>
      </c>
      <c r="D39" s="470" t="s">
        <v>265</v>
      </c>
      <c r="E39" s="508">
        <v>60</v>
      </c>
      <c r="F39" s="471">
        <f>변경내역서!N71</f>
        <v>0</v>
      </c>
      <c r="G39" s="471">
        <f>변경내역서!G71</f>
        <v>0</v>
      </c>
      <c r="H39" s="472">
        <f>변경내역서!I71</f>
        <v>0</v>
      </c>
      <c r="I39" s="473">
        <f>변경내역서!N70</f>
        <v>33401</v>
      </c>
      <c r="J39" s="513">
        <f>변경내역서!G70</f>
        <v>60</v>
      </c>
      <c r="K39" s="474">
        <f>변경내역서!I70</f>
        <v>58320</v>
      </c>
      <c r="L39" s="475">
        <f t="shared" si="1"/>
        <v>33401</v>
      </c>
      <c r="M39" s="475">
        <f t="shared" si="1"/>
        <v>60</v>
      </c>
      <c r="N39" s="476">
        <f t="shared" si="1"/>
        <v>58320</v>
      </c>
    </row>
    <row r="40" spans="2:14" ht="16.5" customHeight="1">
      <c r="B40" s="468" t="s">
        <v>318</v>
      </c>
      <c r="C40" s="469"/>
      <c r="D40" s="470" t="s">
        <v>280</v>
      </c>
      <c r="E40" s="508">
        <v>36</v>
      </c>
      <c r="F40" s="471">
        <f>변경내역서!N73</f>
        <v>0</v>
      </c>
      <c r="G40" s="471">
        <f>변경내역서!G73</f>
        <v>0</v>
      </c>
      <c r="H40" s="472">
        <f>변경내역서!I73</f>
        <v>0</v>
      </c>
      <c r="I40" s="473">
        <f>변경내역서!N72</f>
        <v>50345</v>
      </c>
      <c r="J40" s="513">
        <f>변경내역서!G72</f>
        <v>36</v>
      </c>
      <c r="K40" s="474">
        <f>변경내역서!I72</f>
        <v>52776</v>
      </c>
      <c r="L40" s="475">
        <f t="shared" si="1"/>
        <v>50345</v>
      </c>
      <c r="M40" s="475">
        <f t="shared" si="1"/>
        <v>36</v>
      </c>
      <c r="N40" s="476">
        <f t="shared" si="1"/>
        <v>52776</v>
      </c>
    </row>
    <row r="41" spans="2:14" ht="16.5" customHeight="1">
      <c r="B41" s="468" t="s">
        <v>319</v>
      </c>
      <c r="C41" s="469" t="s">
        <v>320</v>
      </c>
      <c r="D41" s="470" t="s">
        <v>321</v>
      </c>
      <c r="E41" s="508">
        <v>36</v>
      </c>
      <c r="F41" s="471">
        <f>변경내역서!N75</f>
        <v>0</v>
      </c>
      <c r="G41" s="471">
        <f>변경내역서!G75</f>
        <v>0</v>
      </c>
      <c r="H41" s="472">
        <f>변경내역서!I75</f>
        <v>0</v>
      </c>
      <c r="I41" s="473">
        <f>변경내역서!N74</f>
        <v>112126</v>
      </c>
      <c r="J41" s="513">
        <f>변경내역서!G74</f>
        <v>36</v>
      </c>
      <c r="K41" s="474">
        <f>변경내역서!I74</f>
        <v>1735812</v>
      </c>
      <c r="L41" s="475">
        <f t="shared" si="1"/>
        <v>112126</v>
      </c>
      <c r="M41" s="475">
        <f t="shared" si="1"/>
        <v>36</v>
      </c>
      <c r="N41" s="476">
        <f t="shared" si="1"/>
        <v>1735812</v>
      </c>
    </row>
    <row r="42" spans="2:14" ht="16.5" customHeight="1">
      <c r="B42" s="468" t="s">
        <v>322</v>
      </c>
      <c r="C42" s="469" t="s">
        <v>320</v>
      </c>
      <c r="D42" s="470" t="s">
        <v>321</v>
      </c>
      <c r="E42" s="508">
        <v>1</v>
      </c>
      <c r="F42" s="471">
        <f>변경내역서!N77</f>
        <v>0</v>
      </c>
      <c r="G42" s="471">
        <f>변경내역서!G77</f>
        <v>0</v>
      </c>
      <c r="H42" s="472">
        <f>변경내역서!I77</f>
        <v>0</v>
      </c>
      <c r="I42" s="473">
        <f>변경내역서!N76</f>
        <v>1750411</v>
      </c>
      <c r="J42" s="513">
        <f>변경내역서!G76</f>
        <v>1</v>
      </c>
      <c r="K42" s="474">
        <f>변경내역서!I76</f>
        <v>1380760</v>
      </c>
      <c r="L42" s="475">
        <f t="shared" si="1"/>
        <v>1750411</v>
      </c>
      <c r="M42" s="475">
        <f t="shared" si="1"/>
        <v>1</v>
      </c>
      <c r="N42" s="476">
        <f t="shared" si="1"/>
        <v>1380760</v>
      </c>
    </row>
    <row r="43" spans="2:14" ht="16.5" customHeight="1">
      <c r="B43" s="468" t="s">
        <v>323</v>
      </c>
      <c r="C43" s="469" t="s">
        <v>324</v>
      </c>
      <c r="D43" s="470" t="s">
        <v>212</v>
      </c>
      <c r="E43" s="508">
        <v>1</v>
      </c>
      <c r="F43" s="471">
        <f>변경내역서!N79</f>
        <v>0</v>
      </c>
      <c r="G43" s="471">
        <f>변경내역서!G79</f>
        <v>0</v>
      </c>
      <c r="H43" s="472">
        <f>변경내역서!I79</f>
        <v>0</v>
      </c>
      <c r="I43" s="473">
        <f>변경내역서!N78</f>
        <v>1774678</v>
      </c>
      <c r="J43" s="513">
        <f>변경내역서!G78</f>
        <v>1</v>
      </c>
      <c r="K43" s="474">
        <f>변경내역서!I78</f>
        <v>1355677</v>
      </c>
      <c r="L43" s="475">
        <f t="shared" si="1"/>
        <v>1774678</v>
      </c>
      <c r="M43" s="475">
        <f t="shared" si="1"/>
        <v>1</v>
      </c>
      <c r="N43" s="476">
        <f t="shared" si="1"/>
        <v>1355677</v>
      </c>
    </row>
    <row r="44" spans="2:14" ht="16.5" customHeight="1">
      <c r="B44" s="468" t="s">
        <v>325</v>
      </c>
      <c r="C44" s="469" t="s">
        <v>325</v>
      </c>
      <c r="D44" s="470" t="s">
        <v>212</v>
      </c>
      <c r="E44" s="508">
        <v>1</v>
      </c>
      <c r="F44" s="471">
        <f>변경내역서!N81</f>
        <v>0</v>
      </c>
      <c r="G44" s="471">
        <f>변경내역서!G81</f>
        <v>0</v>
      </c>
      <c r="H44" s="472">
        <f>변경내역서!I81</f>
        <v>0</v>
      </c>
      <c r="I44" s="473">
        <f>변경내역서!N80</f>
        <v>178217</v>
      </c>
      <c r="J44" s="513">
        <f>변경내역서!G80</f>
        <v>1</v>
      </c>
      <c r="K44" s="474">
        <f>변경내역서!I80</f>
        <v>72386</v>
      </c>
      <c r="L44" s="475">
        <f t="shared" si="1"/>
        <v>178217</v>
      </c>
      <c r="M44" s="475">
        <f t="shared" si="1"/>
        <v>1</v>
      </c>
      <c r="N44" s="476">
        <f t="shared" si="1"/>
        <v>72386</v>
      </c>
    </row>
    <row r="45" spans="2:14" ht="16.5" customHeight="1">
      <c r="B45" s="468" t="s">
        <v>326</v>
      </c>
      <c r="C45" s="469"/>
      <c r="D45" s="470" t="s">
        <v>280</v>
      </c>
      <c r="E45" s="508">
        <v>2</v>
      </c>
      <c r="F45" s="471">
        <f>변경내역서!N83</f>
        <v>0</v>
      </c>
      <c r="G45" s="471">
        <f>변경내역서!G83</f>
        <v>0</v>
      </c>
      <c r="H45" s="472">
        <f>변경내역서!I83</f>
        <v>0</v>
      </c>
      <c r="I45" s="473">
        <f>변경내역서!N82</f>
        <v>178217</v>
      </c>
      <c r="J45" s="513">
        <f>변경내역서!G82</f>
        <v>2</v>
      </c>
      <c r="K45" s="474">
        <f>변경내역서!I82</f>
        <v>144772</v>
      </c>
      <c r="L45" s="475">
        <f t="shared" si="1"/>
        <v>178217</v>
      </c>
      <c r="M45" s="475">
        <f t="shared" si="1"/>
        <v>2</v>
      </c>
      <c r="N45" s="476">
        <f t="shared" si="1"/>
        <v>144772</v>
      </c>
    </row>
    <row r="46" spans="2:14" ht="16.5" customHeight="1">
      <c r="B46" s="468" t="s">
        <v>327</v>
      </c>
      <c r="C46" s="469" t="s">
        <v>328</v>
      </c>
      <c r="D46" s="470" t="s">
        <v>329</v>
      </c>
      <c r="E46" s="508">
        <v>15</v>
      </c>
      <c r="F46" s="471">
        <f>변경내역서!N85</f>
        <v>0</v>
      </c>
      <c r="G46" s="471">
        <f>변경내역서!G85</f>
        <v>0</v>
      </c>
      <c r="H46" s="472">
        <f>변경내역서!I85</f>
        <v>0</v>
      </c>
      <c r="I46" s="473">
        <f>변경내역서!N84</f>
        <v>140637</v>
      </c>
      <c r="J46" s="513">
        <f>변경내역서!G84</f>
        <v>15</v>
      </c>
      <c r="K46" s="474">
        <f>변경내역서!I84</f>
        <v>1150920</v>
      </c>
      <c r="L46" s="475">
        <f t="shared" si="1"/>
        <v>140637</v>
      </c>
      <c r="M46" s="475">
        <f t="shared" si="1"/>
        <v>15</v>
      </c>
      <c r="N46" s="476">
        <f t="shared" si="1"/>
        <v>1150920</v>
      </c>
    </row>
    <row r="47" spans="2:14" ht="16.5" customHeight="1">
      <c r="B47" s="468" t="s">
        <v>330</v>
      </c>
      <c r="C47" s="469" t="s">
        <v>331</v>
      </c>
      <c r="D47" s="470" t="s">
        <v>332</v>
      </c>
      <c r="E47" s="508">
        <v>15</v>
      </c>
      <c r="F47" s="471">
        <f>변경내역서!N87</f>
        <v>0</v>
      </c>
      <c r="G47" s="471">
        <f>변경내역서!G87</f>
        <v>0</v>
      </c>
      <c r="H47" s="472">
        <f>변경내역서!I87</f>
        <v>0</v>
      </c>
      <c r="I47" s="473">
        <f>변경내역서!N86</f>
        <v>44294</v>
      </c>
      <c r="J47" s="513">
        <f>변경내역서!G86</f>
        <v>15</v>
      </c>
      <c r="K47" s="474">
        <f>변경내역서!I86</f>
        <v>19350</v>
      </c>
      <c r="L47" s="475">
        <f t="shared" si="1"/>
        <v>44294</v>
      </c>
      <c r="M47" s="475">
        <f t="shared" si="1"/>
        <v>15</v>
      </c>
      <c r="N47" s="476">
        <f t="shared" si="1"/>
        <v>19350</v>
      </c>
    </row>
    <row r="48" spans="2:14" ht="16.5" customHeight="1">
      <c r="B48" s="468" t="s">
        <v>333</v>
      </c>
      <c r="C48" s="469" t="s">
        <v>333</v>
      </c>
      <c r="D48" s="470" t="s">
        <v>291</v>
      </c>
      <c r="E48" s="508">
        <v>15</v>
      </c>
      <c r="F48" s="471">
        <f>변경내역서!N89</f>
        <v>0</v>
      </c>
      <c r="G48" s="471">
        <f>변경내역서!G89</f>
        <v>0</v>
      </c>
      <c r="H48" s="472">
        <f>변경내역서!I89</f>
        <v>0</v>
      </c>
      <c r="I48" s="473">
        <f>변경내역서!N88</f>
        <v>102663</v>
      </c>
      <c r="J48" s="513">
        <f>변경내역서!G88</f>
        <v>15</v>
      </c>
      <c r="K48" s="474">
        <f>변경내역서!I88</f>
        <v>88695</v>
      </c>
      <c r="L48" s="475">
        <f t="shared" si="1"/>
        <v>102663</v>
      </c>
      <c r="M48" s="475">
        <f t="shared" si="1"/>
        <v>15</v>
      </c>
      <c r="N48" s="476">
        <f t="shared" si="1"/>
        <v>88695</v>
      </c>
    </row>
    <row r="49" spans="2:14" ht="16.5" customHeight="1">
      <c r="B49" s="468" t="s">
        <v>334</v>
      </c>
      <c r="C49" s="469" t="s">
        <v>334</v>
      </c>
      <c r="D49" s="470" t="s">
        <v>291</v>
      </c>
      <c r="E49" s="508">
        <v>27</v>
      </c>
      <c r="F49" s="471">
        <f>변경내역서!N91</f>
        <v>0</v>
      </c>
      <c r="G49" s="471">
        <f>변경내역서!G91</f>
        <v>0</v>
      </c>
      <c r="H49" s="472">
        <f>변경내역서!I91</f>
        <v>0</v>
      </c>
      <c r="I49" s="473">
        <f>변경내역서!N90</f>
        <v>102663</v>
      </c>
      <c r="J49" s="513">
        <f>변경내역서!G90</f>
        <v>27</v>
      </c>
      <c r="K49" s="474">
        <f>변경내역서!I90</f>
        <v>159651</v>
      </c>
      <c r="L49" s="475">
        <f t="shared" si="1"/>
        <v>102663</v>
      </c>
      <c r="M49" s="475">
        <f t="shared" si="1"/>
        <v>27</v>
      </c>
      <c r="N49" s="476">
        <f t="shared" si="1"/>
        <v>159651</v>
      </c>
    </row>
    <row r="50" spans="2:14" ht="16.5" customHeight="1">
      <c r="B50" s="468" t="s">
        <v>335</v>
      </c>
      <c r="C50" s="469" t="s">
        <v>336</v>
      </c>
      <c r="D50" s="470" t="s">
        <v>280</v>
      </c>
      <c r="E50" s="508">
        <v>62</v>
      </c>
      <c r="F50" s="471">
        <f>변경내역서!N93</f>
        <v>0</v>
      </c>
      <c r="G50" s="471">
        <f>변경내역서!G93</f>
        <v>0</v>
      </c>
      <c r="H50" s="472">
        <f>변경내역서!I93</f>
        <v>0</v>
      </c>
      <c r="I50" s="473">
        <f>변경내역서!N92</f>
        <v>58575</v>
      </c>
      <c r="J50" s="513">
        <f>변경내역서!G92</f>
        <v>62</v>
      </c>
      <c r="K50" s="474">
        <f>변경내역서!I92</f>
        <v>105772</v>
      </c>
      <c r="L50" s="475">
        <f t="shared" si="1"/>
        <v>58575</v>
      </c>
      <c r="M50" s="475">
        <f t="shared" si="1"/>
        <v>62</v>
      </c>
      <c r="N50" s="476">
        <f t="shared" si="1"/>
        <v>105772</v>
      </c>
    </row>
    <row r="51" spans="2:14" ht="16.5" customHeight="1">
      <c r="B51" s="468" t="s">
        <v>337</v>
      </c>
      <c r="C51" s="469" t="s">
        <v>338</v>
      </c>
      <c r="D51" s="470" t="s">
        <v>265</v>
      </c>
      <c r="E51" s="508">
        <v>27</v>
      </c>
      <c r="F51" s="471">
        <f>변경내역서!N95</f>
        <v>0</v>
      </c>
      <c r="G51" s="471">
        <f>변경내역서!G95</f>
        <v>0</v>
      </c>
      <c r="H51" s="472">
        <f>변경내역서!I95</f>
        <v>0</v>
      </c>
      <c r="I51" s="473">
        <f>변경내역서!N94</f>
        <v>112126</v>
      </c>
      <c r="J51" s="513">
        <f>변경내역서!G94</f>
        <v>27</v>
      </c>
      <c r="K51" s="474">
        <f>변경내역서!I94</f>
        <v>1301859</v>
      </c>
      <c r="L51" s="475">
        <f t="shared" si="1"/>
        <v>112126</v>
      </c>
      <c r="M51" s="475">
        <f t="shared" si="1"/>
        <v>27</v>
      </c>
      <c r="N51" s="476">
        <f t="shared" si="1"/>
        <v>1301859</v>
      </c>
    </row>
    <row r="52" spans="2:14" ht="16.5" customHeight="1">
      <c r="B52" s="468" t="s">
        <v>339</v>
      </c>
      <c r="C52" s="469" t="s">
        <v>340</v>
      </c>
      <c r="D52" s="470" t="s">
        <v>287</v>
      </c>
      <c r="E52" s="508">
        <v>15</v>
      </c>
      <c r="F52" s="471">
        <f>변경내역서!N97</f>
        <v>0</v>
      </c>
      <c r="G52" s="471">
        <f>변경내역서!G97</f>
        <v>0</v>
      </c>
      <c r="H52" s="472">
        <f>변경내역서!I97</f>
        <v>0</v>
      </c>
      <c r="I52" s="473">
        <f>변경내역서!N96</f>
        <v>52693</v>
      </c>
      <c r="J52" s="513">
        <f>변경내역서!G96</f>
        <v>15</v>
      </c>
      <c r="K52" s="474">
        <f>변경내역서!I96</f>
        <v>235770</v>
      </c>
      <c r="L52" s="475">
        <f t="shared" si="1"/>
        <v>52693</v>
      </c>
      <c r="M52" s="475">
        <f t="shared" si="1"/>
        <v>15</v>
      </c>
      <c r="N52" s="476">
        <f t="shared" si="1"/>
        <v>235770</v>
      </c>
    </row>
    <row r="53" spans="2:14" ht="16.5" customHeight="1">
      <c r="B53" s="468" t="s">
        <v>341</v>
      </c>
      <c r="C53" s="469" t="s">
        <v>342</v>
      </c>
      <c r="D53" s="470" t="s">
        <v>343</v>
      </c>
      <c r="E53" s="508">
        <v>404.55</v>
      </c>
      <c r="F53" s="471">
        <f>변경내역서!N99</f>
        <v>0</v>
      </c>
      <c r="G53" s="471">
        <f>변경내역서!G99</f>
        <v>0</v>
      </c>
      <c r="H53" s="472">
        <f>변경내역서!I99</f>
        <v>0</v>
      </c>
      <c r="I53" s="473">
        <f>변경내역서!N98</f>
        <v>7509</v>
      </c>
      <c r="J53" s="515">
        <f>변경내역서!G98</f>
        <v>404.55</v>
      </c>
      <c r="K53" s="474">
        <f>변경내역서!I98</f>
        <v>242730</v>
      </c>
      <c r="L53" s="475">
        <f t="shared" si="1"/>
        <v>7509</v>
      </c>
      <c r="M53" s="475">
        <f t="shared" si="1"/>
        <v>404.55</v>
      </c>
      <c r="N53" s="476">
        <f t="shared" si="1"/>
        <v>242730</v>
      </c>
    </row>
    <row r="54" spans="2:14" ht="16.5" customHeight="1">
      <c r="B54" s="468"/>
      <c r="C54" s="469"/>
      <c r="D54" s="470"/>
      <c r="E54" s="508">
        <v>404.55</v>
      </c>
      <c r="F54" s="471">
        <f>변경내역서!N101</f>
        <v>0</v>
      </c>
      <c r="G54" s="471">
        <f>변경내역서!G101</f>
        <v>0</v>
      </c>
      <c r="H54" s="472">
        <f>변경내역서!I101</f>
        <v>0</v>
      </c>
      <c r="I54" s="473">
        <f>변경내역서!N100</f>
        <v>7131</v>
      </c>
      <c r="J54" s="515">
        <f>변경내역서!G100</f>
        <v>404.55</v>
      </c>
      <c r="K54" s="474">
        <f>변경내역서!I100</f>
        <v>2672457</v>
      </c>
      <c r="L54" s="475">
        <f t="shared" si="1"/>
        <v>7131</v>
      </c>
      <c r="M54" s="475">
        <f t="shared" si="1"/>
        <v>404.55</v>
      </c>
      <c r="N54" s="476">
        <f t="shared" si="1"/>
        <v>2672457</v>
      </c>
    </row>
    <row r="55" spans="2:14" ht="16.5" customHeight="1">
      <c r="B55" s="468"/>
      <c r="C55" s="469"/>
      <c r="D55" s="470"/>
      <c r="E55" s="508"/>
      <c r="F55" s="471">
        <f>변경내역서!N103</f>
        <v>0</v>
      </c>
      <c r="G55" s="471">
        <f>변경내역서!G103</f>
        <v>0</v>
      </c>
      <c r="H55" s="472">
        <f>변경내역서!I103</f>
        <v>0</v>
      </c>
      <c r="I55" s="473">
        <f>변경내역서!N102</f>
        <v>0</v>
      </c>
      <c r="J55" s="513">
        <f>변경내역서!G102</f>
        <v>0</v>
      </c>
      <c r="K55" s="474">
        <f>변경내역서!I102</f>
        <v>0</v>
      </c>
      <c r="L55" s="475">
        <f t="shared" si="1"/>
        <v>0</v>
      </c>
      <c r="M55" s="475">
        <f t="shared" si="1"/>
        <v>0</v>
      </c>
      <c r="N55" s="476">
        <f t="shared" si="1"/>
        <v>0</v>
      </c>
    </row>
    <row r="56" spans="2:14" ht="16.5" customHeight="1">
      <c r="B56" s="468"/>
      <c r="C56" s="469"/>
      <c r="D56" s="470"/>
      <c r="E56" s="508"/>
      <c r="F56" s="471">
        <f>변경내역서!N105</f>
        <v>0</v>
      </c>
      <c r="G56" s="471">
        <f>변경내역서!G105</f>
        <v>0</v>
      </c>
      <c r="H56" s="472">
        <f>변경내역서!I105</f>
        <v>0</v>
      </c>
      <c r="I56" s="473">
        <f>변경내역서!N104</f>
        <v>0</v>
      </c>
      <c r="J56" s="513">
        <f>변경내역서!G104</f>
        <v>0</v>
      </c>
      <c r="K56" s="474">
        <f>변경내역서!I104</f>
        <v>0</v>
      </c>
      <c r="L56" s="475">
        <f t="shared" si="1"/>
        <v>0</v>
      </c>
      <c r="M56" s="475">
        <f t="shared" si="1"/>
        <v>0</v>
      </c>
      <c r="N56" s="476">
        <f t="shared" si="1"/>
        <v>0</v>
      </c>
    </row>
    <row r="57" spans="2:14" ht="16.5" customHeight="1">
      <c r="B57" s="468"/>
      <c r="C57" s="469"/>
      <c r="D57" s="470"/>
      <c r="E57" s="508"/>
      <c r="F57" s="471">
        <f>변경내역서!N107</f>
        <v>0</v>
      </c>
      <c r="G57" s="471">
        <f>변경내역서!G107</f>
        <v>0</v>
      </c>
      <c r="H57" s="472">
        <f>변경내역서!I107</f>
        <v>0</v>
      </c>
      <c r="I57" s="473">
        <f>변경내역서!N106</f>
        <v>0</v>
      </c>
      <c r="J57" s="513">
        <f>변경내역서!G106</f>
        <v>0</v>
      </c>
      <c r="K57" s="474">
        <f>변경내역서!I106</f>
        <v>0</v>
      </c>
      <c r="L57" s="475">
        <f t="shared" si="1"/>
        <v>0</v>
      </c>
      <c r="M57" s="475">
        <f t="shared" si="1"/>
        <v>0</v>
      </c>
      <c r="N57" s="476">
        <f t="shared" si="1"/>
        <v>0</v>
      </c>
    </row>
    <row r="58" spans="2:14" ht="16.5" customHeight="1">
      <c r="B58" s="468"/>
      <c r="C58" s="469"/>
      <c r="D58" s="470"/>
      <c r="E58" s="508"/>
      <c r="F58" s="471">
        <f>변경내역서!N109</f>
        <v>0</v>
      </c>
      <c r="G58" s="471">
        <f>변경내역서!G109</f>
        <v>0</v>
      </c>
      <c r="H58" s="472">
        <f>변경내역서!I109</f>
        <v>0</v>
      </c>
      <c r="I58" s="473">
        <f>변경내역서!N108</f>
        <v>0</v>
      </c>
      <c r="J58" s="513">
        <f>변경내역서!G108</f>
        <v>0</v>
      </c>
      <c r="K58" s="474">
        <f>변경내역서!I108</f>
        <v>0</v>
      </c>
      <c r="L58" s="475">
        <f t="shared" si="1"/>
        <v>0</v>
      </c>
      <c r="M58" s="475">
        <f t="shared" si="1"/>
        <v>0</v>
      </c>
      <c r="N58" s="476">
        <f t="shared" si="1"/>
        <v>0</v>
      </c>
    </row>
    <row r="59" spans="2:14" ht="16.5" customHeight="1">
      <c r="B59" s="468"/>
      <c r="C59" s="469"/>
      <c r="D59" s="470"/>
      <c r="E59" s="508"/>
      <c r="F59" s="471">
        <f>변경내역서!N111</f>
        <v>0</v>
      </c>
      <c r="G59" s="471">
        <f>변경내역서!G111</f>
        <v>0</v>
      </c>
      <c r="H59" s="472">
        <f>변경내역서!I111</f>
        <v>0</v>
      </c>
      <c r="I59" s="473">
        <f>변경내역서!N110</f>
        <v>0</v>
      </c>
      <c r="J59" s="513">
        <f>변경내역서!G110</f>
        <v>0</v>
      </c>
      <c r="K59" s="474">
        <f>변경내역서!I110</f>
        <v>0</v>
      </c>
      <c r="L59" s="475">
        <f t="shared" si="1"/>
        <v>0</v>
      </c>
      <c r="M59" s="475">
        <f t="shared" si="1"/>
        <v>0</v>
      </c>
      <c r="N59" s="476">
        <f t="shared" si="1"/>
        <v>0</v>
      </c>
    </row>
    <row r="60" spans="2:14" ht="16.5" customHeight="1">
      <c r="B60" s="478" t="s">
        <v>216</v>
      </c>
      <c r="C60" s="479"/>
      <c r="D60" s="480"/>
      <c r="E60" s="509"/>
      <c r="F60" s="481">
        <f>변경내역서!N113</f>
        <v>0</v>
      </c>
      <c r="G60" s="481">
        <f>변경내역서!G113</f>
        <v>0</v>
      </c>
      <c r="H60" s="482">
        <f>변경내역서!I113</f>
        <v>13168183</v>
      </c>
      <c r="I60" s="483">
        <f>변경내역서!N112</f>
        <v>0</v>
      </c>
      <c r="J60" s="516">
        <f>변경내역서!G112</f>
        <v>0</v>
      </c>
      <c r="K60" s="484">
        <f>변경내역서!I114</f>
        <v>16886561</v>
      </c>
      <c r="L60" s="485">
        <f t="shared" si="1"/>
        <v>0</v>
      </c>
      <c r="M60" s="485">
        <f t="shared" si="1"/>
        <v>0</v>
      </c>
      <c r="N60" s="486">
        <f t="shared" si="1"/>
        <v>3718378</v>
      </c>
    </row>
    <row r="61" spans="2:14" ht="16.5" customHeight="1">
      <c r="B61" s="468"/>
      <c r="C61" s="469"/>
      <c r="D61" s="470"/>
      <c r="E61" s="508"/>
      <c r="F61" s="471"/>
      <c r="G61" s="471"/>
      <c r="H61" s="472"/>
      <c r="I61" s="473"/>
      <c r="J61" s="513"/>
      <c r="K61" s="474"/>
      <c r="L61" s="475"/>
      <c r="M61" s="475"/>
      <c r="N61" s="476"/>
    </row>
    <row r="62" spans="2:14" ht="16.5" customHeight="1">
      <c r="B62" s="468" t="s">
        <v>344</v>
      </c>
      <c r="C62" s="469" t="s">
        <v>345</v>
      </c>
      <c r="D62" s="470" t="s">
        <v>255</v>
      </c>
      <c r="E62" s="508">
        <v>15</v>
      </c>
      <c r="F62" s="471">
        <f>변경내역서!N117</f>
        <v>0</v>
      </c>
      <c r="G62" s="471">
        <f>변경내역서!G117</f>
        <v>0</v>
      </c>
      <c r="H62" s="472">
        <f>변경내역서!I117</f>
        <v>0</v>
      </c>
      <c r="I62" s="473">
        <f>변경내역서!N116</f>
        <v>24173</v>
      </c>
      <c r="J62" s="513">
        <f>변경내역서!G116</f>
        <v>15</v>
      </c>
      <c r="K62" s="474">
        <f>변경내역서!I116</f>
        <v>18735</v>
      </c>
      <c r="L62" s="475">
        <f t="shared" ref="L62:N93" si="2">I62-F62</f>
        <v>24173</v>
      </c>
      <c r="M62" s="475">
        <f t="shared" si="2"/>
        <v>15</v>
      </c>
      <c r="N62" s="476">
        <f t="shared" si="2"/>
        <v>18735</v>
      </c>
    </row>
    <row r="63" spans="2:14" ht="16.5" customHeight="1">
      <c r="B63" s="468" t="s">
        <v>256</v>
      </c>
      <c r="C63" s="469" t="s">
        <v>346</v>
      </c>
      <c r="D63" s="470" t="s">
        <v>255</v>
      </c>
      <c r="E63" s="508">
        <v>52</v>
      </c>
      <c r="F63" s="471">
        <f>변경내역서!N119</f>
        <v>0</v>
      </c>
      <c r="G63" s="471">
        <f>변경내역서!G119</f>
        <v>0</v>
      </c>
      <c r="H63" s="472">
        <f>변경내역서!I119</f>
        <v>0</v>
      </c>
      <c r="I63" s="473">
        <f>변경내역서!N118</f>
        <v>4249</v>
      </c>
      <c r="J63" s="513">
        <f>변경내역서!G118</f>
        <v>52</v>
      </c>
      <c r="K63" s="474">
        <f>변경내역서!I118</f>
        <v>20384</v>
      </c>
      <c r="L63" s="475">
        <f t="shared" si="2"/>
        <v>4249</v>
      </c>
      <c r="M63" s="475">
        <f t="shared" si="2"/>
        <v>52</v>
      </c>
      <c r="N63" s="476">
        <f t="shared" si="2"/>
        <v>20384</v>
      </c>
    </row>
    <row r="64" spans="2:14" ht="16.5" customHeight="1">
      <c r="B64" s="468" t="s">
        <v>256</v>
      </c>
      <c r="C64" s="469" t="s">
        <v>347</v>
      </c>
      <c r="D64" s="470" t="s">
        <v>255</v>
      </c>
      <c r="E64" s="508">
        <v>125</v>
      </c>
      <c r="F64" s="471">
        <f>변경내역서!N121</f>
        <v>0</v>
      </c>
      <c r="G64" s="471">
        <f>변경내역서!G121</f>
        <v>0</v>
      </c>
      <c r="H64" s="472">
        <f>변경내역서!I121</f>
        <v>0</v>
      </c>
      <c r="I64" s="473">
        <f>변경내역서!N120</f>
        <v>14306</v>
      </c>
      <c r="J64" s="513">
        <f>변경내역서!G120</f>
        <v>125</v>
      </c>
      <c r="K64" s="474">
        <f>변경내역서!I120</f>
        <v>327000</v>
      </c>
      <c r="L64" s="475">
        <f t="shared" si="2"/>
        <v>14306</v>
      </c>
      <c r="M64" s="475">
        <f t="shared" si="2"/>
        <v>125</v>
      </c>
      <c r="N64" s="476">
        <f t="shared" si="2"/>
        <v>327000</v>
      </c>
    </row>
    <row r="65" spans="2:14" ht="16.5" customHeight="1">
      <c r="B65" s="468" t="s">
        <v>260</v>
      </c>
      <c r="C65" s="469" t="s">
        <v>348</v>
      </c>
      <c r="D65" s="470" t="s">
        <v>262</v>
      </c>
      <c r="E65" s="508">
        <v>4</v>
      </c>
      <c r="F65" s="471">
        <f>변경내역서!N123</f>
        <v>0</v>
      </c>
      <c r="G65" s="471">
        <f>변경내역서!G123</f>
        <v>0</v>
      </c>
      <c r="H65" s="472">
        <f>변경내역서!I123</f>
        <v>0</v>
      </c>
      <c r="I65" s="473">
        <f>변경내역서!N122</f>
        <v>59524</v>
      </c>
      <c r="J65" s="513">
        <f>변경내역서!G122</f>
        <v>4</v>
      </c>
      <c r="K65" s="474">
        <f>변경내역서!I122</f>
        <v>41644</v>
      </c>
      <c r="L65" s="475">
        <f t="shared" si="2"/>
        <v>59524</v>
      </c>
      <c r="M65" s="475">
        <f t="shared" si="2"/>
        <v>4</v>
      </c>
      <c r="N65" s="476">
        <f t="shared" si="2"/>
        <v>41644</v>
      </c>
    </row>
    <row r="66" spans="2:14" ht="16.5" customHeight="1">
      <c r="B66" s="468" t="s">
        <v>260</v>
      </c>
      <c r="C66" s="469" t="s">
        <v>349</v>
      </c>
      <c r="D66" s="470" t="s">
        <v>262</v>
      </c>
      <c r="E66" s="508">
        <v>1</v>
      </c>
      <c r="F66" s="471">
        <f>변경내역서!N125</f>
        <v>0</v>
      </c>
      <c r="G66" s="471">
        <f>변경내역서!G125</f>
        <v>0</v>
      </c>
      <c r="H66" s="472">
        <f>변경내역서!I125</f>
        <v>0</v>
      </c>
      <c r="I66" s="473">
        <f>변경내역서!N124</f>
        <v>92259</v>
      </c>
      <c r="J66" s="513">
        <f>변경내역서!G124</f>
        <v>1</v>
      </c>
      <c r="K66" s="474">
        <f>변경내역서!I124</f>
        <v>28371</v>
      </c>
      <c r="L66" s="475">
        <f t="shared" si="2"/>
        <v>92259</v>
      </c>
      <c r="M66" s="475">
        <f t="shared" si="2"/>
        <v>1</v>
      </c>
      <c r="N66" s="476">
        <f t="shared" si="2"/>
        <v>28371</v>
      </c>
    </row>
    <row r="67" spans="2:14" ht="16.5" customHeight="1">
      <c r="B67" s="468" t="s">
        <v>263</v>
      </c>
      <c r="C67" s="469" t="s">
        <v>350</v>
      </c>
      <c r="D67" s="470" t="s">
        <v>265</v>
      </c>
      <c r="E67" s="508">
        <v>2</v>
      </c>
      <c r="F67" s="471">
        <f>변경내역서!N127</f>
        <v>0</v>
      </c>
      <c r="G67" s="471">
        <f>변경내역서!G127</f>
        <v>0</v>
      </c>
      <c r="H67" s="472">
        <f>변경내역서!I127</f>
        <v>0</v>
      </c>
      <c r="I67" s="473">
        <f>변경내역서!N126</f>
        <v>808</v>
      </c>
      <c r="J67" s="513">
        <f>변경내역서!G126</f>
        <v>2</v>
      </c>
      <c r="K67" s="474">
        <f>변경내역서!I126</f>
        <v>1616</v>
      </c>
      <c r="L67" s="475">
        <f t="shared" si="2"/>
        <v>808</v>
      </c>
      <c r="M67" s="475">
        <f t="shared" si="2"/>
        <v>2</v>
      </c>
      <c r="N67" s="476">
        <f t="shared" si="2"/>
        <v>1616</v>
      </c>
    </row>
    <row r="68" spans="2:14" ht="16.5" customHeight="1">
      <c r="B68" s="468" t="s">
        <v>266</v>
      </c>
      <c r="C68" s="469" t="s">
        <v>351</v>
      </c>
      <c r="D68" s="470" t="s">
        <v>265</v>
      </c>
      <c r="E68" s="508">
        <v>2</v>
      </c>
      <c r="F68" s="471">
        <f>변경내역서!N129</f>
        <v>0</v>
      </c>
      <c r="G68" s="471">
        <f>변경내역서!G129</f>
        <v>0</v>
      </c>
      <c r="H68" s="472">
        <f>변경내역서!I129</f>
        <v>0</v>
      </c>
      <c r="I68" s="473">
        <f>변경내역서!N128</f>
        <v>53884</v>
      </c>
      <c r="J68" s="513">
        <f>변경내역서!G128</f>
        <v>2</v>
      </c>
      <c r="K68" s="474">
        <f>변경내역서!I128</f>
        <v>6900</v>
      </c>
      <c r="L68" s="475">
        <f t="shared" si="2"/>
        <v>53884</v>
      </c>
      <c r="M68" s="475">
        <f t="shared" si="2"/>
        <v>2</v>
      </c>
      <c r="N68" s="476">
        <f t="shared" si="2"/>
        <v>6900</v>
      </c>
    </row>
    <row r="69" spans="2:14" ht="16.5" customHeight="1">
      <c r="B69" s="468" t="s">
        <v>270</v>
      </c>
      <c r="C69" s="469" t="s">
        <v>352</v>
      </c>
      <c r="D69" s="470" t="s">
        <v>255</v>
      </c>
      <c r="E69" s="508">
        <v>514</v>
      </c>
      <c r="F69" s="471">
        <f>변경내역서!N131</f>
        <v>0</v>
      </c>
      <c r="G69" s="471">
        <f>변경내역서!G131</f>
        <v>0</v>
      </c>
      <c r="H69" s="472">
        <f>변경내역서!I131</f>
        <v>0</v>
      </c>
      <c r="I69" s="473">
        <f>변경내역서!N130</f>
        <v>30988</v>
      </c>
      <c r="J69" s="513">
        <f>변경내역서!G130</f>
        <v>514</v>
      </c>
      <c r="K69" s="474">
        <f>변경내역서!I130</f>
        <v>12921960</v>
      </c>
      <c r="L69" s="475">
        <f t="shared" si="2"/>
        <v>30988</v>
      </c>
      <c r="M69" s="475">
        <f t="shared" si="2"/>
        <v>514</v>
      </c>
      <c r="N69" s="476">
        <f t="shared" si="2"/>
        <v>12921960</v>
      </c>
    </row>
    <row r="70" spans="2:14" ht="16.5" customHeight="1">
      <c r="B70" s="468" t="s">
        <v>270</v>
      </c>
      <c r="C70" s="469" t="s">
        <v>353</v>
      </c>
      <c r="D70" s="470" t="s">
        <v>255</v>
      </c>
      <c r="E70" s="508">
        <v>71</v>
      </c>
      <c r="F70" s="471">
        <f>변경내역서!N133</f>
        <v>0</v>
      </c>
      <c r="G70" s="471">
        <f>변경내역서!G133</f>
        <v>0</v>
      </c>
      <c r="H70" s="472">
        <f>변경내역서!I133</f>
        <v>0</v>
      </c>
      <c r="I70" s="473">
        <f>변경내역서!N132</f>
        <v>7975</v>
      </c>
      <c r="J70" s="513">
        <f>변경내역서!G132</f>
        <v>71</v>
      </c>
      <c r="K70" s="474">
        <f>변경내역서!I132</f>
        <v>249068</v>
      </c>
      <c r="L70" s="475">
        <f t="shared" si="2"/>
        <v>7975</v>
      </c>
      <c r="M70" s="475">
        <f t="shared" si="2"/>
        <v>71</v>
      </c>
      <c r="N70" s="476">
        <f t="shared" si="2"/>
        <v>249068</v>
      </c>
    </row>
    <row r="71" spans="2:14" ht="16.5" customHeight="1">
      <c r="B71" s="468" t="s">
        <v>354</v>
      </c>
      <c r="C71" s="469" t="s">
        <v>355</v>
      </c>
      <c r="D71" s="470" t="s">
        <v>265</v>
      </c>
      <c r="E71" s="508">
        <v>8</v>
      </c>
      <c r="F71" s="471">
        <f>변경내역서!N135</f>
        <v>0</v>
      </c>
      <c r="G71" s="471">
        <f>변경내역서!G135</f>
        <v>0</v>
      </c>
      <c r="H71" s="472">
        <f>변경내역서!I135</f>
        <v>0</v>
      </c>
      <c r="I71" s="473">
        <f>변경내역서!N134</f>
        <v>60519</v>
      </c>
      <c r="J71" s="513">
        <f>변경내역서!G134</f>
        <v>8</v>
      </c>
      <c r="K71" s="474">
        <f>변경내역서!I134</f>
        <v>39560</v>
      </c>
      <c r="L71" s="475">
        <f t="shared" si="2"/>
        <v>60519</v>
      </c>
      <c r="M71" s="475">
        <f t="shared" si="2"/>
        <v>8</v>
      </c>
      <c r="N71" s="476">
        <f t="shared" si="2"/>
        <v>39560</v>
      </c>
    </row>
    <row r="72" spans="2:14" ht="16.5" customHeight="1">
      <c r="B72" s="468" t="s">
        <v>276</v>
      </c>
      <c r="C72" s="469" t="s">
        <v>277</v>
      </c>
      <c r="D72" s="470" t="s">
        <v>255</v>
      </c>
      <c r="E72" s="508">
        <v>175</v>
      </c>
      <c r="F72" s="471">
        <f>변경내역서!N137</f>
        <v>0</v>
      </c>
      <c r="G72" s="471">
        <f>변경내역서!G137</f>
        <v>0</v>
      </c>
      <c r="H72" s="472">
        <f>변경내역서!I137</f>
        <v>0</v>
      </c>
      <c r="I72" s="473">
        <f>변경내역서!N136</f>
        <v>494</v>
      </c>
      <c r="J72" s="513">
        <f>변경내역서!G136</f>
        <v>175</v>
      </c>
      <c r="K72" s="474">
        <f>변경내역서!I136</f>
        <v>42525</v>
      </c>
      <c r="L72" s="475">
        <f t="shared" si="2"/>
        <v>494</v>
      </c>
      <c r="M72" s="475">
        <f t="shared" si="2"/>
        <v>175</v>
      </c>
      <c r="N72" s="476">
        <f t="shared" si="2"/>
        <v>42525</v>
      </c>
    </row>
    <row r="73" spans="2:14" ht="16.5" customHeight="1">
      <c r="B73" s="468" t="s">
        <v>356</v>
      </c>
      <c r="C73" s="469" t="s">
        <v>357</v>
      </c>
      <c r="D73" s="470" t="s">
        <v>280</v>
      </c>
      <c r="E73" s="508">
        <v>2</v>
      </c>
      <c r="F73" s="471">
        <f>변경내역서!N139</f>
        <v>0</v>
      </c>
      <c r="G73" s="471">
        <f>변경내역서!G139</f>
        <v>0</v>
      </c>
      <c r="H73" s="472">
        <f>변경내역서!I139</f>
        <v>0</v>
      </c>
      <c r="I73" s="473">
        <f>변경내역서!N138</f>
        <v>1038120</v>
      </c>
      <c r="J73" s="513">
        <f>변경내역서!G138</f>
        <v>2</v>
      </c>
      <c r="K73" s="474">
        <f>변경내역서!I138</f>
        <v>1185470</v>
      </c>
      <c r="L73" s="475">
        <f t="shared" si="2"/>
        <v>1038120</v>
      </c>
      <c r="M73" s="475">
        <f t="shared" si="2"/>
        <v>2</v>
      </c>
      <c r="N73" s="476">
        <f t="shared" si="2"/>
        <v>1185470</v>
      </c>
    </row>
    <row r="74" spans="2:14" ht="16.5" customHeight="1">
      <c r="B74" s="468" t="s">
        <v>285</v>
      </c>
      <c r="C74" s="469" t="s">
        <v>286</v>
      </c>
      <c r="D74" s="470" t="s">
        <v>287</v>
      </c>
      <c r="E74" s="508">
        <v>126</v>
      </c>
      <c r="F74" s="471">
        <f>변경내역서!N141</f>
        <v>0</v>
      </c>
      <c r="G74" s="471">
        <f>변경내역서!G141</f>
        <v>0</v>
      </c>
      <c r="H74" s="472">
        <f>변경내역서!I141</f>
        <v>0</v>
      </c>
      <c r="I74" s="487">
        <f>변경내역서!N140</f>
        <v>1137</v>
      </c>
      <c r="J74" s="513">
        <f>변경내역서!G140</f>
        <v>126</v>
      </c>
      <c r="K74" s="474">
        <f>변경내역서!I140</f>
        <v>41958</v>
      </c>
      <c r="L74" s="475">
        <f t="shared" si="2"/>
        <v>1137</v>
      </c>
      <c r="M74" s="475">
        <f t="shared" si="2"/>
        <v>126</v>
      </c>
      <c r="N74" s="476">
        <f t="shared" si="2"/>
        <v>41958</v>
      </c>
    </row>
    <row r="75" spans="2:14" ht="16.5" customHeight="1">
      <c r="B75" s="468" t="s">
        <v>288</v>
      </c>
      <c r="C75" s="469" t="s">
        <v>286</v>
      </c>
      <c r="D75" s="470" t="s">
        <v>287</v>
      </c>
      <c r="E75" s="508">
        <v>126</v>
      </c>
      <c r="F75" s="471">
        <f>변경내역서!N143</f>
        <v>0</v>
      </c>
      <c r="G75" s="471">
        <f>변경내역서!G143</f>
        <v>0</v>
      </c>
      <c r="H75" s="472">
        <f>변경내역서!I143</f>
        <v>0</v>
      </c>
      <c r="I75" s="487">
        <f>변경내역서!N142</f>
        <v>1137</v>
      </c>
      <c r="J75" s="513">
        <f>변경내역서!G142</f>
        <v>126</v>
      </c>
      <c r="K75" s="474">
        <f>변경내역서!I142</f>
        <v>41958</v>
      </c>
      <c r="L75" s="475">
        <f t="shared" si="2"/>
        <v>1137</v>
      </c>
      <c r="M75" s="475">
        <f t="shared" si="2"/>
        <v>126</v>
      </c>
      <c r="N75" s="476">
        <f t="shared" si="2"/>
        <v>41958</v>
      </c>
    </row>
    <row r="76" spans="2:14" ht="16.5" customHeight="1">
      <c r="B76" s="468" t="s">
        <v>358</v>
      </c>
      <c r="C76" s="469" t="s">
        <v>359</v>
      </c>
      <c r="D76" s="470" t="s">
        <v>255</v>
      </c>
      <c r="E76" s="508">
        <v>10</v>
      </c>
      <c r="F76" s="471">
        <f>변경내역서!N145</f>
        <v>137631</v>
      </c>
      <c r="G76" s="471">
        <f>변경내역서!G145</f>
        <v>10</v>
      </c>
      <c r="H76" s="472">
        <f>변경내역서!I145</f>
        <v>79120</v>
      </c>
      <c r="I76" s="473">
        <f>변경내역서!N144</f>
        <v>0</v>
      </c>
      <c r="J76" s="513">
        <f>변경내역서!G144</f>
        <v>0</v>
      </c>
      <c r="K76" s="474">
        <f>변경내역서!I144</f>
        <v>0</v>
      </c>
      <c r="L76" s="475">
        <f t="shared" si="2"/>
        <v>-137631</v>
      </c>
      <c r="M76" s="475">
        <f t="shared" si="2"/>
        <v>-10</v>
      </c>
      <c r="N76" s="476">
        <f t="shared" si="2"/>
        <v>-79120</v>
      </c>
    </row>
    <row r="77" spans="2:14" ht="16.5" customHeight="1">
      <c r="B77" s="468" t="s">
        <v>360</v>
      </c>
      <c r="C77" s="469" t="s">
        <v>361</v>
      </c>
      <c r="D77" s="470" t="s">
        <v>300</v>
      </c>
      <c r="E77" s="508">
        <v>1</v>
      </c>
      <c r="F77" s="471">
        <f>변경내역서!N147</f>
        <v>91699</v>
      </c>
      <c r="G77" s="471">
        <f>변경내역서!G147</f>
        <v>1</v>
      </c>
      <c r="H77" s="472">
        <f>변경내역서!I147</f>
        <v>35300</v>
      </c>
      <c r="I77" s="473">
        <f>변경내역서!N146</f>
        <v>0</v>
      </c>
      <c r="J77" s="513">
        <f>변경내역서!G146</f>
        <v>0</v>
      </c>
      <c r="K77" s="474">
        <f>변경내역서!I146</f>
        <v>0</v>
      </c>
      <c r="L77" s="475">
        <f t="shared" si="2"/>
        <v>-91699</v>
      </c>
      <c r="M77" s="475">
        <f t="shared" si="2"/>
        <v>-1</v>
      </c>
      <c r="N77" s="476">
        <f t="shared" si="2"/>
        <v>-35300</v>
      </c>
    </row>
    <row r="78" spans="2:14" ht="16.5" customHeight="1">
      <c r="B78" s="468" t="s">
        <v>298</v>
      </c>
      <c r="C78" s="469" t="s">
        <v>299</v>
      </c>
      <c r="D78" s="470" t="s">
        <v>300</v>
      </c>
      <c r="E78" s="508">
        <v>72</v>
      </c>
      <c r="F78" s="471">
        <f>변경내역서!N149</f>
        <v>3078</v>
      </c>
      <c r="G78" s="471">
        <f>변경내역서!G149</f>
        <v>72</v>
      </c>
      <c r="H78" s="472">
        <f>변경내역서!I149</f>
        <v>69408</v>
      </c>
      <c r="I78" s="473">
        <f>변경내역서!N148</f>
        <v>0</v>
      </c>
      <c r="J78" s="513">
        <f>변경내역서!G148</f>
        <v>0</v>
      </c>
      <c r="K78" s="474">
        <f>변경내역서!I148</f>
        <v>0</v>
      </c>
      <c r="L78" s="475">
        <f t="shared" si="2"/>
        <v>-3078</v>
      </c>
      <c r="M78" s="475">
        <f t="shared" si="2"/>
        <v>-72</v>
      </c>
      <c r="N78" s="476">
        <f t="shared" si="2"/>
        <v>-69408</v>
      </c>
    </row>
    <row r="79" spans="2:14" ht="16.5" customHeight="1">
      <c r="B79" s="468" t="s">
        <v>298</v>
      </c>
      <c r="C79" s="469" t="s">
        <v>301</v>
      </c>
      <c r="D79" s="470" t="s">
        <v>300</v>
      </c>
      <c r="E79" s="508">
        <v>47</v>
      </c>
      <c r="F79" s="471">
        <f>변경내역서!N151</f>
        <v>3179</v>
      </c>
      <c r="G79" s="471">
        <f>변경내역서!G151</f>
        <v>47</v>
      </c>
      <c r="H79" s="472">
        <f>변경내역서!I151</f>
        <v>39903</v>
      </c>
      <c r="I79" s="473">
        <f>변경내역서!N150</f>
        <v>0</v>
      </c>
      <c r="J79" s="513">
        <f>변경내역서!G150</f>
        <v>0</v>
      </c>
      <c r="K79" s="474">
        <f>변경내역서!I150</f>
        <v>0</v>
      </c>
      <c r="L79" s="475">
        <f t="shared" si="2"/>
        <v>-3179</v>
      </c>
      <c r="M79" s="475">
        <f t="shared" si="2"/>
        <v>-47</v>
      </c>
      <c r="N79" s="476">
        <f t="shared" si="2"/>
        <v>-39903</v>
      </c>
    </row>
    <row r="80" spans="2:14" ht="16.5" customHeight="1">
      <c r="B80" s="468" t="s">
        <v>298</v>
      </c>
      <c r="C80" s="469" t="s">
        <v>362</v>
      </c>
      <c r="D80" s="470" t="s">
        <v>300</v>
      </c>
      <c r="E80" s="508">
        <v>165</v>
      </c>
      <c r="F80" s="471">
        <f>변경내역서!N153</f>
        <v>4430</v>
      </c>
      <c r="G80" s="471">
        <f>변경내역서!G153</f>
        <v>165</v>
      </c>
      <c r="H80" s="472">
        <f>변경내역서!I153</f>
        <v>323895</v>
      </c>
      <c r="I80" s="473">
        <f>변경내역서!N152</f>
        <v>0</v>
      </c>
      <c r="J80" s="513">
        <f>변경내역서!G152</f>
        <v>0</v>
      </c>
      <c r="K80" s="474">
        <f>변경내역서!I152</f>
        <v>0</v>
      </c>
      <c r="L80" s="475">
        <f t="shared" si="2"/>
        <v>-4430</v>
      </c>
      <c r="M80" s="475">
        <f t="shared" si="2"/>
        <v>-165</v>
      </c>
      <c r="N80" s="476">
        <f t="shared" si="2"/>
        <v>-323895</v>
      </c>
    </row>
    <row r="81" spans="2:14" ht="16.5" customHeight="1">
      <c r="B81" s="468" t="s">
        <v>298</v>
      </c>
      <c r="C81" s="469" t="s">
        <v>362</v>
      </c>
      <c r="D81" s="470" t="s">
        <v>300</v>
      </c>
      <c r="E81" s="508">
        <v>165</v>
      </c>
      <c r="F81" s="471">
        <f>변경내역서!N155</f>
        <v>4430</v>
      </c>
      <c r="G81" s="471">
        <f>변경내역서!G155</f>
        <v>165</v>
      </c>
      <c r="H81" s="472">
        <f>변경내역서!I155</f>
        <v>323895</v>
      </c>
      <c r="I81" s="473">
        <f>변경내역서!N154</f>
        <v>0</v>
      </c>
      <c r="J81" s="513">
        <f>변경내역서!G154</f>
        <v>0</v>
      </c>
      <c r="K81" s="474">
        <f>변경내역서!I154</f>
        <v>0</v>
      </c>
      <c r="L81" s="475">
        <f t="shared" si="2"/>
        <v>-4430</v>
      </c>
      <c r="M81" s="475">
        <f t="shared" si="2"/>
        <v>-165</v>
      </c>
      <c r="N81" s="476">
        <f t="shared" si="2"/>
        <v>-323895</v>
      </c>
    </row>
    <row r="82" spans="2:14" ht="16.5" customHeight="1">
      <c r="B82" s="468" t="s">
        <v>298</v>
      </c>
      <c r="C82" s="469" t="s">
        <v>363</v>
      </c>
      <c r="D82" s="470" t="s">
        <v>300</v>
      </c>
      <c r="E82" s="508">
        <v>228</v>
      </c>
      <c r="F82" s="471">
        <f>변경내역서!N157</f>
        <v>6296</v>
      </c>
      <c r="G82" s="471">
        <f>변경내역서!G157</f>
        <v>228</v>
      </c>
      <c r="H82" s="472">
        <f>변경내역서!I157</f>
        <v>873012</v>
      </c>
      <c r="I82" s="473">
        <f>변경내역서!N156</f>
        <v>0</v>
      </c>
      <c r="J82" s="513">
        <f>변경내역서!G156</f>
        <v>0</v>
      </c>
      <c r="K82" s="474">
        <f>변경내역서!I156</f>
        <v>0</v>
      </c>
      <c r="L82" s="475">
        <f t="shared" si="2"/>
        <v>-6296</v>
      </c>
      <c r="M82" s="475">
        <f t="shared" si="2"/>
        <v>-228</v>
      </c>
      <c r="N82" s="476">
        <f t="shared" si="2"/>
        <v>-873012</v>
      </c>
    </row>
    <row r="83" spans="2:14" ht="16.5" customHeight="1">
      <c r="B83" s="468" t="s">
        <v>298</v>
      </c>
      <c r="C83" s="469" t="s">
        <v>364</v>
      </c>
      <c r="D83" s="470" t="s">
        <v>300</v>
      </c>
      <c r="E83" s="508">
        <v>19.5</v>
      </c>
      <c r="F83" s="471">
        <f>변경내역서!N159</f>
        <v>30857</v>
      </c>
      <c r="G83" s="488">
        <f>변경내역서!G159</f>
        <v>19.5</v>
      </c>
      <c r="H83" s="472">
        <f>변경내역서!I159</f>
        <v>505498</v>
      </c>
      <c r="I83" s="473">
        <f>변경내역서!N158</f>
        <v>0</v>
      </c>
      <c r="J83" s="513">
        <f>변경내역서!G158</f>
        <v>0</v>
      </c>
      <c r="K83" s="474">
        <f>변경내역서!I158</f>
        <v>0</v>
      </c>
      <c r="L83" s="475">
        <f t="shared" si="2"/>
        <v>-30857</v>
      </c>
      <c r="M83" s="475">
        <f t="shared" si="2"/>
        <v>-19.5</v>
      </c>
      <c r="N83" s="476">
        <f t="shared" si="2"/>
        <v>-505498</v>
      </c>
    </row>
    <row r="84" spans="2:14" ht="16.5" customHeight="1">
      <c r="B84" s="468" t="s">
        <v>365</v>
      </c>
      <c r="C84" s="469" t="s">
        <v>366</v>
      </c>
      <c r="D84" s="470" t="s">
        <v>300</v>
      </c>
      <c r="E84" s="508">
        <v>912</v>
      </c>
      <c r="F84" s="471">
        <f>변경내역서!N161</f>
        <v>10009</v>
      </c>
      <c r="G84" s="471">
        <f>변경내역서!G161</f>
        <v>912</v>
      </c>
      <c r="H84" s="472">
        <f>변경내역서!I161</f>
        <v>6898368</v>
      </c>
      <c r="I84" s="473">
        <f>변경내역서!N160</f>
        <v>0</v>
      </c>
      <c r="J84" s="513">
        <f>변경내역서!G160</f>
        <v>0</v>
      </c>
      <c r="K84" s="474">
        <f>변경내역서!I160</f>
        <v>0</v>
      </c>
      <c r="L84" s="475">
        <f t="shared" si="2"/>
        <v>-10009</v>
      </c>
      <c r="M84" s="475">
        <f t="shared" si="2"/>
        <v>-912</v>
      </c>
      <c r="N84" s="476">
        <f t="shared" si="2"/>
        <v>-6898368</v>
      </c>
    </row>
    <row r="85" spans="2:14" ht="16.5" customHeight="1">
      <c r="B85" s="468" t="s">
        <v>365</v>
      </c>
      <c r="C85" s="469" t="s">
        <v>367</v>
      </c>
      <c r="D85" s="470" t="s">
        <v>300</v>
      </c>
      <c r="E85" s="508">
        <v>212</v>
      </c>
      <c r="F85" s="471">
        <f>변경내역서!N163</f>
        <v>33368</v>
      </c>
      <c r="G85" s="471">
        <f>변경내역서!G163</f>
        <v>212</v>
      </c>
      <c r="H85" s="472">
        <f>변경내역서!I163</f>
        <v>5986880</v>
      </c>
      <c r="I85" s="473">
        <f>변경내역서!N162</f>
        <v>0</v>
      </c>
      <c r="J85" s="513">
        <f>변경내역서!G162</f>
        <v>0</v>
      </c>
      <c r="K85" s="474">
        <f>변경내역서!I162</f>
        <v>0</v>
      </c>
      <c r="L85" s="475">
        <f t="shared" si="2"/>
        <v>-33368</v>
      </c>
      <c r="M85" s="475">
        <f t="shared" si="2"/>
        <v>-212</v>
      </c>
      <c r="N85" s="476">
        <f t="shared" si="2"/>
        <v>-5986880</v>
      </c>
    </row>
    <row r="86" spans="2:14" ht="16.5" customHeight="1">
      <c r="B86" s="468" t="s">
        <v>302</v>
      </c>
      <c r="C86" s="469" t="s">
        <v>303</v>
      </c>
      <c r="D86" s="470" t="s">
        <v>300</v>
      </c>
      <c r="E86" s="508">
        <v>72</v>
      </c>
      <c r="F86" s="471">
        <f>변경내역서!N165</f>
        <v>5763</v>
      </c>
      <c r="G86" s="471">
        <f>변경내역서!G165</f>
        <v>72</v>
      </c>
      <c r="H86" s="472">
        <f>변경내역서!I165</f>
        <v>120744</v>
      </c>
      <c r="I86" s="473">
        <f>변경내역서!N164</f>
        <v>0</v>
      </c>
      <c r="J86" s="513">
        <f>변경내역서!G164</f>
        <v>0</v>
      </c>
      <c r="K86" s="474">
        <f>변경내역서!I164</f>
        <v>0</v>
      </c>
      <c r="L86" s="475">
        <f t="shared" si="2"/>
        <v>-5763</v>
      </c>
      <c r="M86" s="475">
        <f t="shared" si="2"/>
        <v>-72</v>
      </c>
      <c r="N86" s="476">
        <f t="shared" si="2"/>
        <v>-120744</v>
      </c>
    </row>
    <row r="87" spans="2:14" ht="16.5" customHeight="1">
      <c r="B87" s="468" t="s">
        <v>302</v>
      </c>
      <c r="C87" s="469" t="s">
        <v>368</v>
      </c>
      <c r="D87" s="470" t="s">
        <v>300</v>
      </c>
      <c r="E87" s="508">
        <v>47</v>
      </c>
      <c r="F87" s="471">
        <f>변경내역서!N167</f>
        <v>13284</v>
      </c>
      <c r="G87" s="471">
        <f>변경내역서!G167</f>
        <v>47</v>
      </c>
      <c r="H87" s="472">
        <f>변경내역서!I167</f>
        <v>190162</v>
      </c>
      <c r="I87" s="473">
        <f>변경내역서!N166</f>
        <v>0</v>
      </c>
      <c r="J87" s="513">
        <f>변경내역서!G166</f>
        <v>0</v>
      </c>
      <c r="K87" s="474">
        <f>변경내역서!I166</f>
        <v>0</v>
      </c>
      <c r="L87" s="475">
        <f t="shared" si="2"/>
        <v>-13284</v>
      </c>
      <c r="M87" s="475">
        <f t="shared" si="2"/>
        <v>-47</v>
      </c>
      <c r="N87" s="476">
        <f t="shared" si="2"/>
        <v>-190162</v>
      </c>
    </row>
    <row r="88" spans="2:14" ht="16.5" customHeight="1">
      <c r="B88" s="468" t="s">
        <v>302</v>
      </c>
      <c r="C88" s="469" t="s">
        <v>369</v>
      </c>
      <c r="D88" s="470" t="s">
        <v>300</v>
      </c>
      <c r="E88" s="508">
        <v>165</v>
      </c>
      <c r="F88" s="471">
        <f>변경내역서!N169</f>
        <v>26256</v>
      </c>
      <c r="G88" s="471">
        <f>변경내역서!G169</f>
        <v>165</v>
      </c>
      <c r="H88" s="472">
        <f>변경내역서!I169</f>
        <v>1812360</v>
      </c>
      <c r="I88" s="473">
        <f>변경내역서!N168</f>
        <v>0</v>
      </c>
      <c r="J88" s="513">
        <f>변경내역서!G168</f>
        <v>0</v>
      </c>
      <c r="K88" s="474">
        <f>변경내역서!I168</f>
        <v>0</v>
      </c>
      <c r="L88" s="475">
        <f t="shared" si="2"/>
        <v>-26256</v>
      </c>
      <c r="M88" s="475">
        <f t="shared" si="2"/>
        <v>-165</v>
      </c>
      <c r="N88" s="476">
        <f t="shared" si="2"/>
        <v>-1812360</v>
      </c>
    </row>
    <row r="89" spans="2:14" ht="16.5" customHeight="1">
      <c r="B89" s="468" t="s">
        <v>307</v>
      </c>
      <c r="C89" s="469" t="s">
        <v>308</v>
      </c>
      <c r="D89" s="470" t="s">
        <v>255</v>
      </c>
      <c r="E89" s="508">
        <v>252.5</v>
      </c>
      <c r="F89" s="471">
        <f>변경내역서!N171</f>
        <v>536</v>
      </c>
      <c r="G89" s="488">
        <f>변경내역서!G171</f>
        <v>252.5</v>
      </c>
      <c r="H89" s="472">
        <f>변경내역서!I171</f>
        <v>68175</v>
      </c>
      <c r="I89" s="473">
        <f>변경내역서!N170</f>
        <v>0</v>
      </c>
      <c r="J89" s="513">
        <f>변경내역서!G170</f>
        <v>0</v>
      </c>
      <c r="K89" s="474">
        <f>변경내역서!I170</f>
        <v>0</v>
      </c>
      <c r="L89" s="475">
        <f t="shared" si="2"/>
        <v>-536</v>
      </c>
      <c r="M89" s="475">
        <f t="shared" si="2"/>
        <v>-252.5</v>
      </c>
      <c r="N89" s="476">
        <f t="shared" si="2"/>
        <v>-68175</v>
      </c>
    </row>
    <row r="90" spans="2:14" ht="16.5" customHeight="1">
      <c r="B90" s="468" t="s">
        <v>370</v>
      </c>
      <c r="C90" s="469" t="s">
        <v>371</v>
      </c>
      <c r="D90" s="470" t="s">
        <v>265</v>
      </c>
      <c r="E90" s="508">
        <v>20</v>
      </c>
      <c r="F90" s="471">
        <f>변경내역서!N173</f>
        <v>21511</v>
      </c>
      <c r="G90" s="471">
        <f>변경내역서!G173</f>
        <v>20</v>
      </c>
      <c r="H90" s="472">
        <f>변경내역서!I173</f>
        <v>16480</v>
      </c>
      <c r="I90" s="473">
        <f>변경내역서!N172</f>
        <v>0</v>
      </c>
      <c r="J90" s="513">
        <f>변경내역서!G172</f>
        <v>0</v>
      </c>
      <c r="K90" s="474">
        <f>변경내역서!I172</f>
        <v>0</v>
      </c>
      <c r="L90" s="475">
        <f t="shared" si="2"/>
        <v>-21511</v>
      </c>
      <c r="M90" s="475">
        <f t="shared" si="2"/>
        <v>-20</v>
      </c>
      <c r="N90" s="476">
        <f t="shared" si="2"/>
        <v>-16480</v>
      </c>
    </row>
    <row r="91" spans="2:14" ht="16.5" customHeight="1">
      <c r="B91" s="468" t="s">
        <v>370</v>
      </c>
      <c r="C91" s="469" t="s">
        <v>372</v>
      </c>
      <c r="D91" s="470" t="s">
        <v>265</v>
      </c>
      <c r="E91" s="508">
        <v>6</v>
      </c>
      <c r="F91" s="471">
        <f>변경내역서!N175</f>
        <v>16083</v>
      </c>
      <c r="G91" s="471">
        <f>변경내역서!G175</f>
        <v>6</v>
      </c>
      <c r="H91" s="472">
        <f>변경내역서!I175</f>
        <v>4560</v>
      </c>
      <c r="I91" s="473">
        <f>변경내역서!N174</f>
        <v>0</v>
      </c>
      <c r="J91" s="513">
        <f>변경내역서!G174</f>
        <v>0</v>
      </c>
      <c r="K91" s="474">
        <f>변경내역서!I174</f>
        <v>0</v>
      </c>
      <c r="L91" s="475">
        <f t="shared" si="2"/>
        <v>-16083</v>
      </c>
      <c r="M91" s="475">
        <f t="shared" si="2"/>
        <v>-6</v>
      </c>
      <c r="N91" s="476">
        <f t="shared" si="2"/>
        <v>-4560</v>
      </c>
    </row>
    <row r="92" spans="2:14" ht="16.5" customHeight="1">
      <c r="B92" s="468" t="s">
        <v>370</v>
      </c>
      <c r="C92" s="469" t="s">
        <v>373</v>
      </c>
      <c r="D92" s="470" t="s">
        <v>265</v>
      </c>
      <c r="E92" s="508">
        <v>24</v>
      </c>
      <c r="F92" s="471">
        <f>변경내역서!N177</f>
        <v>32177</v>
      </c>
      <c r="G92" s="471">
        <f>변경내역서!G177</f>
        <v>24</v>
      </c>
      <c r="H92" s="472">
        <f>변경내역서!I177</f>
        <v>36720</v>
      </c>
      <c r="I92" s="473">
        <f>변경내역서!N176</f>
        <v>0</v>
      </c>
      <c r="J92" s="513">
        <f>변경내역서!G176</f>
        <v>0</v>
      </c>
      <c r="K92" s="474">
        <f>변경내역서!I176</f>
        <v>0</v>
      </c>
      <c r="L92" s="475">
        <f t="shared" si="2"/>
        <v>-32177</v>
      </c>
      <c r="M92" s="475">
        <f t="shared" si="2"/>
        <v>-24</v>
      </c>
      <c r="N92" s="476">
        <f t="shared" si="2"/>
        <v>-36720</v>
      </c>
    </row>
    <row r="93" spans="2:14" ht="16.5" customHeight="1">
      <c r="B93" s="468" t="s">
        <v>370</v>
      </c>
      <c r="C93" s="469" t="s">
        <v>374</v>
      </c>
      <c r="D93" s="470" t="s">
        <v>265</v>
      </c>
      <c r="E93" s="508">
        <v>27</v>
      </c>
      <c r="F93" s="471">
        <f>변경내역서!N179</f>
        <v>58674</v>
      </c>
      <c r="G93" s="471">
        <f>변경내역서!G179</f>
        <v>27</v>
      </c>
      <c r="H93" s="472">
        <f>변경내역서!I179</f>
        <v>177498</v>
      </c>
      <c r="I93" s="473">
        <f>변경내역서!N178</f>
        <v>0</v>
      </c>
      <c r="J93" s="513">
        <f>변경내역서!G178</f>
        <v>0</v>
      </c>
      <c r="K93" s="474">
        <f>변경내역서!I178</f>
        <v>0</v>
      </c>
      <c r="L93" s="475">
        <f t="shared" si="2"/>
        <v>-58674</v>
      </c>
      <c r="M93" s="475">
        <f t="shared" si="2"/>
        <v>-27</v>
      </c>
      <c r="N93" s="476">
        <f t="shared" si="2"/>
        <v>-177498</v>
      </c>
    </row>
    <row r="94" spans="2:14" ht="16.5" customHeight="1">
      <c r="B94" s="468" t="s">
        <v>375</v>
      </c>
      <c r="C94" s="469" t="s">
        <v>376</v>
      </c>
      <c r="D94" s="470" t="s">
        <v>262</v>
      </c>
      <c r="E94" s="508">
        <v>3</v>
      </c>
      <c r="F94" s="471">
        <f>변경내역서!N181</f>
        <v>1186530</v>
      </c>
      <c r="G94" s="471">
        <f>변경내역서!G181</f>
        <v>3</v>
      </c>
      <c r="H94" s="472">
        <f>변경내역서!I181</f>
        <v>2251491</v>
      </c>
      <c r="I94" s="473">
        <f>변경내역서!N180</f>
        <v>0</v>
      </c>
      <c r="J94" s="513">
        <f>변경내역서!G180</f>
        <v>0</v>
      </c>
      <c r="K94" s="474">
        <f>변경내역서!I180</f>
        <v>0</v>
      </c>
      <c r="L94" s="475">
        <f t="shared" ref="L94:N112" si="3">I94-F94</f>
        <v>-1186530</v>
      </c>
      <c r="M94" s="475">
        <f t="shared" si="3"/>
        <v>-3</v>
      </c>
      <c r="N94" s="476">
        <f t="shared" si="3"/>
        <v>-2251491</v>
      </c>
    </row>
    <row r="95" spans="2:14" ht="16.5" customHeight="1">
      <c r="B95" s="468" t="s">
        <v>377</v>
      </c>
      <c r="C95" s="469" t="s">
        <v>378</v>
      </c>
      <c r="D95" s="470" t="s">
        <v>280</v>
      </c>
      <c r="E95" s="508">
        <v>1</v>
      </c>
      <c r="F95" s="471">
        <f>변경내역서!N183</f>
        <v>179393</v>
      </c>
      <c r="G95" s="471">
        <f>변경내역서!G183</f>
        <v>1</v>
      </c>
      <c r="H95" s="472">
        <f>변경내역서!I183</f>
        <v>52854</v>
      </c>
      <c r="I95" s="473">
        <f>변경내역서!N182</f>
        <v>0</v>
      </c>
      <c r="J95" s="513">
        <f>변경내역서!G182</f>
        <v>0</v>
      </c>
      <c r="K95" s="474">
        <f>변경내역서!I182</f>
        <v>0</v>
      </c>
      <c r="L95" s="475">
        <f t="shared" si="3"/>
        <v>-179393</v>
      </c>
      <c r="M95" s="475">
        <f t="shared" si="3"/>
        <v>-1</v>
      </c>
      <c r="N95" s="476">
        <f t="shared" si="3"/>
        <v>-52854</v>
      </c>
    </row>
    <row r="96" spans="2:14" ht="16.5" customHeight="1">
      <c r="B96" s="468" t="s">
        <v>256</v>
      </c>
      <c r="C96" s="469" t="s">
        <v>309</v>
      </c>
      <c r="D96" s="470" t="s">
        <v>255</v>
      </c>
      <c r="E96" s="508">
        <v>70</v>
      </c>
      <c r="F96" s="471">
        <f>변경내역서!N185</f>
        <v>7022</v>
      </c>
      <c r="G96" s="471">
        <f>변경내역서!G185</f>
        <v>70</v>
      </c>
      <c r="H96" s="472">
        <f>변경내역서!I185</f>
        <v>34090</v>
      </c>
      <c r="I96" s="473">
        <f>변경내역서!N184</f>
        <v>0</v>
      </c>
      <c r="J96" s="513">
        <f>변경내역서!G184</f>
        <v>0</v>
      </c>
      <c r="K96" s="474">
        <f>변경내역서!I184</f>
        <v>0</v>
      </c>
      <c r="L96" s="475">
        <f t="shared" si="3"/>
        <v>-7022</v>
      </c>
      <c r="M96" s="475">
        <f t="shared" si="3"/>
        <v>-70</v>
      </c>
      <c r="N96" s="476">
        <f t="shared" si="3"/>
        <v>-34090</v>
      </c>
    </row>
    <row r="97" spans="2:14" ht="16.5" customHeight="1">
      <c r="B97" s="468" t="s">
        <v>310</v>
      </c>
      <c r="C97" s="469" t="s">
        <v>311</v>
      </c>
      <c r="D97" s="470" t="s">
        <v>255</v>
      </c>
      <c r="E97" s="508">
        <v>45</v>
      </c>
      <c r="F97" s="471">
        <f>변경내역서!N187</f>
        <v>8634</v>
      </c>
      <c r="G97" s="471">
        <f>변경내역서!G187</f>
        <v>45</v>
      </c>
      <c r="H97" s="472">
        <f>변경내역서!I187</f>
        <v>28710</v>
      </c>
      <c r="I97" s="473">
        <f>변경내역서!N186</f>
        <v>0</v>
      </c>
      <c r="J97" s="513">
        <f>변경내역서!G186</f>
        <v>0</v>
      </c>
      <c r="K97" s="474">
        <f>변경내역서!I186</f>
        <v>0</v>
      </c>
      <c r="L97" s="475">
        <f t="shared" si="3"/>
        <v>-8634</v>
      </c>
      <c r="M97" s="475">
        <f t="shared" si="3"/>
        <v>-45</v>
      </c>
      <c r="N97" s="476">
        <f t="shared" si="3"/>
        <v>-28710</v>
      </c>
    </row>
    <row r="98" spans="2:14" ht="16.5" customHeight="1">
      <c r="B98" s="468" t="s">
        <v>310</v>
      </c>
      <c r="C98" s="469" t="s">
        <v>379</v>
      </c>
      <c r="D98" s="470" t="s">
        <v>255</v>
      </c>
      <c r="E98" s="508">
        <v>172.5</v>
      </c>
      <c r="F98" s="471">
        <f>변경내역서!N189</f>
        <v>5892</v>
      </c>
      <c r="G98" s="488">
        <f>변경내역서!G189</f>
        <v>172.5</v>
      </c>
      <c r="H98" s="472">
        <f>변경내역서!I189</f>
        <v>159907</v>
      </c>
      <c r="I98" s="473">
        <f>변경내역서!N188</f>
        <v>0</v>
      </c>
      <c r="J98" s="513">
        <f>변경내역서!G188</f>
        <v>0</v>
      </c>
      <c r="K98" s="474">
        <f>변경내역서!I188</f>
        <v>0</v>
      </c>
      <c r="L98" s="475">
        <f t="shared" si="3"/>
        <v>-5892</v>
      </c>
      <c r="M98" s="475">
        <f t="shared" si="3"/>
        <v>-172.5</v>
      </c>
      <c r="N98" s="476">
        <f t="shared" si="3"/>
        <v>-159907</v>
      </c>
    </row>
    <row r="99" spans="2:14" ht="16.5" customHeight="1">
      <c r="B99" s="468" t="s">
        <v>310</v>
      </c>
      <c r="C99" s="469" t="s">
        <v>380</v>
      </c>
      <c r="D99" s="470" t="s">
        <v>255</v>
      </c>
      <c r="E99" s="508">
        <v>220</v>
      </c>
      <c r="F99" s="471">
        <f>변경내역서!N191</f>
        <v>7342</v>
      </c>
      <c r="G99" s="471">
        <f>변경내역서!G191</f>
        <v>220</v>
      </c>
      <c r="H99" s="472">
        <f>변경내역서!I191</f>
        <v>245740</v>
      </c>
      <c r="I99" s="473">
        <f>변경내역서!N190</f>
        <v>0</v>
      </c>
      <c r="J99" s="513">
        <f>변경내역서!G190</f>
        <v>0</v>
      </c>
      <c r="K99" s="474">
        <f>변경내역서!I190</f>
        <v>0</v>
      </c>
      <c r="L99" s="475">
        <f t="shared" si="3"/>
        <v>-7342</v>
      </c>
      <c r="M99" s="475">
        <f t="shared" si="3"/>
        <v>-220</v>
      </c>
      <c r="N99" s="476">
        <f t="shared" si="3"/>
        <v>-245740</v>
      </c>
    </row>
    <row r="100" spans="2:14" ht="16.5" customHeight="1">
      <c r="B100" s="468" t="s">
        <v>310</v>
      </c>
      <c r="C100" s="469" t="s">
        <v>381</v>
      </c>
      <c r="D100" s="470" t="s">
        <v>255</v>
      </c>
      <c r="E100" s="508">
        <v>45</v>
      </c>
      <c r="F100" s="471">
        <f>변경내역서!N193</f>
        <v>11616</v>
      </c>
      <c r="G100" s="471">
        <f>변경내역서!G193</f>
        <v>45</v>
      </c>
      <c r="H100" s="472">
        <f>변경내역서!I193</f>
        <v>107505</v>
      </c>
      <c r="I100" s="473">
        <f>변경내역서!N192</f>
        <v>0</v>
      </c>
      <c r="J100" s="513">
        <f>변경내역서!G192</f>
        <v>0</v>
      </c>
      <c r="K100" s="474">
        <f>변경내역서!I192</f>
        <v>0</v>
      </c>
      <c r="L100" s="475">
        <f t="shared" si="3"/>
        <v>-11616</v>
      </c>
      <c r="M100" s="475">
        <f t="shared" si="3"/>
        <v>-45</v>
      </c>
      <c r="N100" s="476">
        <f t="shared" si="3"/>
        <v>-107505</v>
      </c>
    </row>
    <row r="101" spans="2:14" ht="16.5" customHeight="1">
      <c r="B101" s="468" t="s">
        <v>323</v>
      </c>
      <c r="C101" s="469" t="s">
        <v>324</v>
      </c>
      <c r="D101" s="470" t="s">
        <v>212</v>
      </c>
      <c r="E101" s="508">
        <v>1</v>
      </c>
      <c r="F101" s="471">
        <f>변경내역서!N195</f>
        <v>178217</v>
      </c>
      <c r="G101" s="471">
        <f>변경내역서!G195</f>
        <v>1</v>
      </c>
      <c r="H101" s="472">
        <f>변경내역서!I195</f>
        <v>72386</v>
      </c>
      <c r="I101" s="473">
        <f>변경내역서!N194</f>
        <v>0</v>
      </c>
      <c r="J101" s="513">
        <f>변경내역서!G194</f>
        <v>0</v>
      </c>
      <c r="K101" s="474">
        <f>변경내역서!I194</f>
        <v>0</v>
      </c>
      <c r="L101" s="475">
        <f t="shared" si="3"/>
        <v>-178217</v>
      </c>
      <c r="M101" s="475">
        <f t="shared" si="3"/>
        <v>-1</v>
      </c>
      <c r="N101" s="476">
        <f t="shared" si="3"/>
        <v>-72386</v>
      </c>
    </row>
    <row r="102" spans="2:14" ht="16.5" customHeight="1">
      <c r="B102" s="468" t="s">
        <v>382</v>
      </c>
      <c r="C102" s="469" t="s">
        <v>378</v>
      </c>
      <c r="D102" s="470" t="s">
        <v>321</v>
      </c>
      <c r="E102" s="508">
        <v>1</v>
      </c>
      <c r="F102" s="471">
        <f>변경내역서!N197</f>
        <v>229945</v>
      </c>
      <c r="G102" s="471">
        <f>변경내역서!G197</f>
        <v>1</v>
      </c>
      <c r="H102" s="472">
        <f>변경내역서!I197</f>
        <v>6697</v>
      </c>
      <c r="I102" s="473">
        <f>변경내역서!N196</f>
        <v>0</v>
      </c>
      <c r="J102" s="513">
        <f>변경내역서!G196</f>
        <v>0</v>
      </c>
      <c r="K102" s="474">
        <f>변경내역서!I196</f>
        <v>0</v>
      </c>
      <c r="L102" s="475">
        <f t="shared" si="3"/>
        <v>-229945</v>
      </c>
      <c r="M102" s="475">
        <f t="shared" si="3"/>
        <v>-1</v>
      </c>
      <c r="N102" s="476">
        <f t="shared" si="3"/>
        <v>-6697</v>
      </c>
    </row>
    <row r="103" spans="2:14" ht="16.5" customHeight="1">
      <c r="B103" s="468" t="s">
        <v>383</v>
      </c>
      <c r="C103" s="469" t="s">
        <v>384</v>
      </c>
      <c r="D103" s="470" t="s">
        <v>321</v>
      </c>
      <c r="E103" s="508">
        <v>1</v>
      </c>
      <c r="F103" s="471">
        <f>변경내역서!N199</f>
        <v>297719</v>
      </c>
      <c r="G103" s="471">
        <f>변경내역서!G199</f>
        <v>1</v>
      </c>
      <c r="H103" s="472">
        <f>변경내역서!I199</f>
        <v>8671</v>
      </c>
      <c r="I103" s="473">
        <f>변경내역서!N198</f>
        <v>0</v>
      </c>
      <c r="J103" s="513">
        <f>변경내역서!G198</f>
        <v>0</v>
      </c>
      <c r="K103" s="474">
        <f>변경내역서!I198</f>
        <v>0</v>
      </c>
      <c r="L103" s="475">
        <f t="shared" si="3"/>
        <v>-297719</v>
      </c>
      <c r="M103" s="475">
        <f t="shared" si="3"/>
        <v>-1</v>
      </c>
      <c r="N103" s="476">
        <f t="shared" si="3"/>
        <v>-8671</v>
      </c>
    </row>
    <row r="104" spans="2:14" ht="16.5" customHeight="1">
      <c r="B104" s="468" t="s">
        <v>385</v>
      </c>
      <c r="C104" s="469" t="s">
        <v>386</v>
      </c>
      <c r="D104" s="470" t="s">
        <v>321</v>
      </c>
      <c r="E104" s="508">
        <v>1</v>
      </c>
      <c r="F104" s="471">
        <f>변경내역서!N201</f>
        <v>3328950</v>
      </c>
      <c r="G104" s="471">
        <f>변경내역서!G201</f>
        <v>1</v>
      </c>
      <c r="H104" s="472">
        <f>변경내역서!I201</f>
        <v>3105702</v>
      </c>
      <c r="I104" s="473">
        <f>변경내역서!N200</f>
        <v>0</v>
      </c>
      <c r="J104" s="513">
        <f>변경내역서!G200</f>
        <v>0</v>
      </c>
      <c r="K104" s="474">
        <f>변경내역서!I200</f>
        <v>0</v>
      </c>
      <c r="L104" s="475">
        <f t="shared" si="3"/>
        <v>-3328950</v>
      </c>
      <c r="M104" s="475">
        <f t="shared" si="3"/>
        <v>-1</v>
      </c>
      <c r="N104" s="476">
        <f t="shared" si="3"/>
        <v>-3105702</v>
      </c>
    </row>
    <row r="105" spans="2:14" ht="16.5" customHeight="1">
      <c r="B105" s="468" t="s">
        <v>387</v>
      </c>
      <c r="C105" s="469" t="s">
        <v>320</v>
      </c>
      <c r="D105" s="470" t="s">
        <v>321</v>
      </c>
      <c r="E105" s="508">
        <v>1</v>
      </c>
      <c r="F105" s="471">
        <f>변경내역서!N203</f>
        <v>246888</v>
      </c>
      <c r="G105" s="471">
        <f>변경내역서!G203</f>
        <v>1</v>
      </c>
      <c r="H105" s="472">
        <f>변경내역서!I203</f>
        <v>7190</v>
      </c>
      <c r="I105" s="473">
        <f>변경내역서!N202</f>
        <v>0</v>
      </c>
      <c r="J105" s="513">
        <f>변경내역서!G202</f>
        <v>0</v>
      </c>
      <c r="K105" s="474">
        <f>변경내역서!I202</f>
        <v>0</v>
      </c>
      <c r="L105" s="475">
        <f t="shared" si="3"/>
        <v>-246888</v>
      </c>
      <c r="M105" s="475">
        <f t="shared" si="3"/>
        <v>-1</v>
      </c>
      <c r="N105" s="476">
        <f t="shared" si="3"/>
        <v>-7190</v>
      </c>
    </row>
    <row r="106" spans="2:14" ht="16.5" customHeight="1">
      <c r="B106" s="468" t="s">
        <v>388</v>
      </c>
      <c r="C106" s="469" t="s">
        <v>389</v>
      </c>
      <c r="D106" s="470" t="s">
        <v>265</v>
      </c>
      <c r="E106" s="508">
        <v>2</v>
      </c>
      <c r="F106" s="471">
        <f>변경내역서!N205</f>
        <v>81639</v>
      </c>
      <c r="G106" s="471">
        <f>변경내역서!G205</f>
        <v>2</v>
      </c>
      <c r="H106" s="472">
        <f>변경내역서!I205</f>
        <v>106880</v>
      </c>
      <c r="I106" s="473">
        <f>변경내역서!N204</f>
        <v>0</v>
      </c>
      <c r="J106" s="513">
        <f>변경내역서!G204</f>
        <v>0</v>
      </c>
      <c r="K106" s="474">
        <f>변경내역서!I204</f>
        <v>0</v>
      </c>
      <c r="L106" s="475">
        <f t="shared" si="3"/>
        <v>-81639</v>
      </c>
      <c r="M106" s="475">
        <f t="shared" si="3"/>
        <v>-2</v>
      </c>
      <c r="N106" s="476">
        <f t="shared" si="3"/>
        <v>-106880</v>
      </c>
    </row>
    <row r="107" spans="2:14" ht="16.5" customHeight="1">
      <c r="B107" s="468" t="s">
        <v>339</v>
      </c>
      <c r="C107" s="469" t="s">
        <v>340</v>
      </c>
      <c r="D107" s="470" t="s">
        <v>287</v>
      </c>
      <c r="E107" s="508">
        <v>123.75</v>
      </c>
      <c r="F107" s="471">
        <f>변경내역서!N207</f>
        <v>7509</v>
      </c>
      <c r="G107" s="518">
        <f>변경내역서!G207</f>
        <v>123.75</v>
      </c>
      <c r="H107" s="472">
        <f>변경내역서!I207</f>
        <v>74250</v>
      </c>
      <c r="I107" s="473">
        <f>변경내역서!N206</f>
        <v>0</v>
      </c>
      <c r="J107" s="513">
        <f>변경내역서!G206</f>
        <v>0</v>
      </c>
      <c r="K107" s="474">
        <f>변경내역서!I206</f>
        <v>0</v>
      </c>
      <c r="L107" s="475">
        <f t="shared" si="3"/>
        <v>-7509</v>
      </c>
      <c r="M107" s="475">
        <f t="shared" si="3"/>
        <v>-123.75</v>
      </c>
      <c r="N107" s="476">
        <f t="shared" si="3"/>
        <v>-74250</v>
      </c>
    </row>
    <row r="108" spans="2:14" ht="16.5" customHeight="1">
      <c r="B108" s="468" t="s">
        <v>341</v>
      </c>
      <c r="C108" s="469" t="s">
        <v>342</v>
      </c>
      <c r="D108" s="470" t="s">
        <v>343</v>
      </c>
      <c r="E108" s="508">
        <v>123.75</v>
      </c>
      <c r="F108" s="471">
        <f>변경내역서!N209</f>
        <v>7131</v>
      </c>
      <c r="G108" s="518">
        <f>변경내역서!G209</f>
        <v>123.75</v>
      </c>
      <c r="H108" s="472">
        <f>변경내역서!I209</f>
        <v>817492</v>
      </c>
      <c r="I108" s="473">
        <f>변경내역서!N208</f>
        <v>0</v>
      </c>
      <c r="J108" s="513">
        <f>변경내역서!G208</f>
        <v>0</v>
      </c>
      <c r="K108" s="474">
        <f>변경내역서!I208</f>
        <v>0</v>
      </c>
      <c r="L108" s="475">
        <f t="shared" si="3"/>
        <v>-7131</v>
      </c>
      <c r="M108" s="475">
        <f t="shared" si="3"/>
        <v>-123.75</v>
      </c>
      <c r="N108" s="476">
        <f t="shared" si="3"/>
        <v>-817492</v>
      </c>
    </row>
    <row r="109" spans="2:14" ht="16.5" customHeight="1">
      <c r="B109" s="468" t="s">
        <v>390</v>
      </c>
      <c r="C109" s="469" t="s">
        <v>391</v>
      </c>
      <c r="D109" s="470" t="s">
        <v>280</v>
      </c>
      <c r="E109" s="508">
        <v>1</v>
      </c>
      <c r="F109" s="471">
        <f>변경내역서!N211</f>
        <v>1729102</v>
      </c>
      <c r="G109" s="471">
        <f>변경내역서!G211</f>
        <v>1</v>
      </c>
      <c r="H109" s="472">
        <f>변경내역서!I211</f>
        <v>835710</v>
      </c>
      <c r="I109" s="473">
        <f>변경내역서!N210</f>
        <v>0</v>
      </c>
      <c r="J109" s="513">
        <f>변경내역서!G210</f>
        <v>0</v>
      </c>
      <c r="K109" s="474">
        <f>변경내역서!I210</f>
        <v>0</v>
      </c>
      <c r="L109" s="475">
        <f t="shared" si="3"/>
        <v>-1729102</v>
      </c>
      <c r="M109" s="475">
        <f t="shared" si="3"/>
        <v>-1</v>
      </c>
      <c r="N109" s="476">
        <f t="shared" si="3"/>
        <v>-835710</v>
      </c>
    </row>
    <row r="110" spans="2:14" ht="16.5" customHeight="1">
      <c r="B110" s="468"/>
      <c r="C110" s="469"/>
      <c r="D110" s="470"/>
      <c r="E110" s="508"/>
      <c r="F110" s="471">
        <f>변경내역서!N213</f>
        <v>0</v>
      </c>
      <c r="G110" s="471">
        <f>변경내역서!G213</f>
        <v>0</v>
      </c>
      <c r="H110" s="472">
        <f>변경내역서!I213</f>
        <v>0</v>
      </c>
      <c r="I110" s="473">
        <f>변경내역서!N212</f>
        <v>0</v>
      </c>
      <c r="J110" s="513">
        <f>변경내역서!G212</f>
        <v>0</v>
      </c>
      <c r="K110" s="474">
        <f>변경내역서!I212</f>
        <v>0</v>
      </c>
      <c r="L110" s="475">
        <f t="shared" si="3"/>
        <v>0</v>
      </c>
      <c r="M110" s="475">
        <f t="shared" si="3"/>
        <v>0</v>
      </c>
      <c r="N110" s="476">
        <f t="shared" si="3"/>
        <v>0</v>
      </c>
    </row>
    <row r="111" spans="2:14" ht="16.5" customHeight="1">
      <c r="B111" s="468"/>
      <c r="C111" s="469"/>
      <c r="D111" s="470"/>
      <c r="E111" s="508"/>
      <c r="F111" s="471">
        <f>변경내역서!N215</f>
        <v>0</v>
      </c>
      <c r="G111" s="471">
        <f>변경내역서!G215</f>
        <v>0</v>
      </c>
      <c r="H111" s="472">
        <f>변경내역서!I215</f>
        <v>0</v>
      </c>
      <c r="I111" s="473">
        <f>변경내역서!N214</f>
        <v>0</v>
      </c>
      <c r="J111" s="513">
        <f>변경내역서!G214</f>
        <v>0</v>
      </c>
      <c r="K111" s="474">
        <f>변경내역서!I214</f>
        <v>0</v>
      </c>
      <c r="L111" s="475">
        <f t="shared" si="3"/>
        <v>0</v>
      </c>
      <c r="M111" s="475">
        <f t="shared" si="3"/>
        <v>0</v>
      </c>
      <c r="N111" s="476">
        <f t="shared" si="3"/>
        <v>0</v>
      </c>
    </row>
    <row r="112" spans="2:14" ht="16.5" customHeight="1">
      <c r="B112" s="478" t="s">
        <v>216</v>
      </c>
      <c r="C112" s="479"/>
      <c r="D112" s="480"/>
      <c r="E112" s="509"/>
      <c r="F112" s="481">
        <f>변경내역서!N217</f>
        <v>0</v>
      </c>
      <c r="G112" s="481">
        <f>변경내역서!G217</f>
        <v>0</v>
      </c>
      <c r="H112" s="482">
        <f>변경내역서!I217</f>
        <v>25477253</v>
      </c>
      <c r="I112" s="483">
        <f>변경내역서!N216</f>
        <v>0</v>
      </c>
      <c r="J112" s="516">
        <f>변경내역서!G216</f>
        <v>0</v>
      </c>
      <c r="K112" s="484">
        <f>변경내역서!I216</f>
        <v>14967149</v>
      </c>
      <c r="L112" s="485">
        <f t="shared" si="3"/>
        <v>0</v>
      </c>
      <c r="M112" s="485">
        <f t="shared" si="3"/>
        <v>0</v>
      </c>
      <c r="N112" s="486">
        <f t="shared" si="3"/>
        <v>-10510104</v>
      </c>
    </row>
    <row r="113" spans="2:14" ht="16.5" customHeight="1">
      <c r="B113" s="468"/>
      <c r="C113" s="469"/>
      <c r="D113" s="470"/>
      <c r="E113" s="508"/>
      <c r="F113" s="471"/>
      <c r="G113" s="471"/>
      <c r="H113" s="472"/>
      <c r="I113" s="473"/>
      <c r="J113" s="513"/>
      <c r="K113" s="474"/>
      <c r="L113" s="475"/>
      <c r="M113" s="475"/>
      <c r="N113" s="476"/>
    </row>
    <row r="114" spans="2:14" ht="16.5" customHeight="1">
      <c r="B114" s="468" t="s">
        <v>392</v>
      </c>
      <c r="C114" s="469" t="s">
        <v>393</v>
      </c>
      <c r="D114" s="470" t="s">
        <v>255</v>
      </c>
      <c r="E114" s="508">
        <v>11</v>
      </c>
      <c r="F114" s="471">
        <f>변경내역서!N219</f>
        <v>50848</v>
      </c>
      <c r="G114" s="471">
        <f>변경내역서!G219</f>
        <v>11</v>
      </c>
      <c r="H114" s="472">
        <f>변경내역서!I219</f>
        <v>54978</v>
      </c>
      <c r="I114" s="473">
        <f>변경내역서!N218</f>
        <v>0</v>
      </c>
      <c r="J114" s="513">
        <f>변경내역서!G218</f>
        <v>0</v>
      </c>
      <c r="K114" s="474">
        <f>변경내역서!I218</f>
        <v>0</v>
      </c>
      <c r="L114" s="475">
        <f t="shared" ref="L114:N145" si="4">I114-F114</f>
        <v>-50848</v>
      </c>
      <c r="M114" s="475">
        <f t="shared" si="4"/>
        <v>-11</v>
      </c>
      <c r="N114" s="476">
        <f t="shared" si="4"/>
        <v>-54978</v>
      </c>
    </row>
    <row r="115" spans="2:14" ht="16.5" customHeight="1">
      <c r="B115" s="468" t="s">
        <v>394</v>
      </c>
      <c r="C115" s="469" t="s">
        <v>395</v>
      </c>
      <c r="D115" s="470" t="s">
        <v>255</v>
      </c>
      <c r="E115" s="508">
        <v>2</v>
      </c>
      <c r="F115" s="471">
        <f>변경내역서!N221</f>
        <v>181511</v>
      </c>
      <c r="G115" s="471">
        <f>변경내역서!G221</f>
        <v>2</v>
      </c>
      <c r="H115" s="472">
        <f>변경내역서!I221</f>
        <v>37484</v>
      </c>
      <c r="I115" s="473">
        <f>변경내역서!N220</f>
        <v>0</v>
      </c>
      <c r="J115" s="513">
        <f>변경내역서!G220</f>
        <v>0</v>
      </c>
      <c r="K115" s="474">
        <f>변경내역서!I220</f>
        <v>0</v>
      </c>
      <c r="L115" s="475">
        <f t="shared" si="4"/>
        <v>-181511</v>
      </c>
      <c r="M115" s="475">
        <f t="shared" si="4"/>
        <v>-2</v>
      </c>
      <c r="N115" s="476">
        <f t="shared" si="4"/>
        <v>-37484</v>
      </c>
    </row>
    <row r="116" spans="2:14" ht="16.5" customHeight="1">
      <c r="B116" s="468" t="s">
        <v>344</v>
      </c>
      <c r="C116" s="469" t="s">
        <v>345</v>
      </c>
      <c r="D116" s="470" t="s">
        <v>255</v>
      </c>
      <c r="E116" s="508">
        <v>5</v>
      </c>
      <c r="F116" s="471">
        <f>변경내역서!N223</f>
        <v>24173</v>
      </c>
      <c r="G116" s="471">
        <f>변경내역서!G223</f>
        <v>5</v>
      </c>
      <c r="H116" s="472">
        <f>변경내역서!I223</f>
        <v>6245</v>
      </c>
      <c r="I116" s="473">
        <f>변경내역서!N222</f>
        <v>0</v>
      </c>
      <c r="J116" s="513">
        <f>변경내역서!G222</f>
        <v>0</v>
      </c>
      <c r="K116" s="474">
        <f>변경내역서!I222</f>
        <v>0</v>
      </c>
      <c r="L116" s="475">
        <f t="shared" si="4"/>
        <v>-24173</v>
      </c>
      <c r="M116" s="475">
        <f t="shared" si="4"/>
        <v>-5</v>
      </c>
      <c r="N116" s="476">
        <f t="shared" si="4"/>
        <v>-6245</v>
      </c>
    </row>
    <row r="117" spans="2:14" ht="16.5" customHeight="1">
      <c r="B117" s="468" t="s">
        <v>344</v>
      </c>
      <c r="C117" s="469" t="s">
        <v>396</v>
      </c>
      <c r="D117" s="470" t="s">
        <v>255</v>
      </c>
      <c r="E117" s="508">
        <v>11</v>
      </c>
      <c r="F117" s="471">
        <f>변경내역서!N225</f>
        <v>31366</v>
      </c>
      <c r="G117" s="471">
        <f>변경내역서!G225</f>
        <v>11</v>
      </c>
      <c r="H117" s="472">
        <f>변경내역서!I225</f>
        <v>17204</v>
      </c>
      <c r="I117" s="473">
        <f>변경내역서!N224</f>
        <v>0</v>
      </c>
      <c r="J117" s="513">
        <f>변경내역서!G224</f>
        <v>0</v>
      </c>
      <c r="K117" s="474">
        <f>변경내역서!I224</f>
        <v>0</v>
      </c>
      <c r="L117" s="475">
        <f t="shared" si="4"/>
        <v>-31366</v>
      </c>
      <c r="M117" s="475">
        <f t="shared" si="4"/>
        <v>-11</v>
      </c>
      <c r="N117" s="476">
        <f t="shared" si="4"/>
        <v>-17204</v>
      </c>
    </row>
    <row r="118" spans="2:14" ht="16.5" customHeight="1">
      <c r="B118" s="468" t="s">
        <v>344</v>
      </c>
      <c r="C118" s="469" t="s">
        <v>397</v>
      </c>
      <c r="D118" s="470" t="s">
        <v>255</v>
      </c>
      <c r="E118" s="508">
        <v>14</v>
      </c>
      <c r="F118" s="471">
        <f>변경내역서!N227</f>
        <v>111393</v>
      </c>
      <c r="G118" s="471">
        <f>변경내역서!G227</f>
        <v>14</v>
      </c>
      <c r="H118" s="472">
        <f>변경내역서!I227</f>
        <v>83132</v>
      </c>
      <c r="I118" s="473">
        <f>변경내역서!N226</f>
        <v>0</v>
      </c>
      <c r="J118" s="513">
        <f>변경내역서!G226</f>
        <v>0</v>
      </c>
      <c r="K118" s="474">
        <f>변경내역서!I226</f>
        <v>0</v>
      </c>
      <c r="L118" s="475">
        <f t="shared" si="4"/>
        <v>-111393</v>
      </c>
      <c r="M118" s="475">
        <f t="shared" si="4"/>
        <v>-14</v>
      </c>
      <c r="N118" s="476">
        <f t="shared" si="4"/>
        <v>-83132</v>
      </c>
    </row>
    <row r="119" spans="2:14" ht="16.5" customHeight="1">
      <c r="B119" s="468" t="s">
        <v>260</v>
      </c>
      <c r="C119" s="469" t="s">
        <v>398</v>
      </c>
      <c r="D119" s="470" t="s">
        <v>262</v>
      </c>
      <c r="E119" s="508">
        <v>1</v>
      </c>
      <c r="F119" s="471">
        <f>변경내역서!N229</f>
        <v>67360</v>
      </c>
      <c r="G119" s="471">
        <f>변경내역서!G229</f>
        <v>1</v>
      </c>
      <c r="H119" s="472">
        <f>변경내역서!I229</f>
        <v>18247</v>
      </c>
      <c r="I119" s="473">
        <f>변경내역서!N228</f>
        <v>0</v>
      </c>
      <c r="J119" s="513">
        <f>변경내역서!G228</f>
        <v>0</v>
      </c>
      <c r="K119" s="474">
        <f>변경내역서!I228</f>
        <v>0</v>
      </c>
      <c r="L119" s="475">
        <f t="shared" si="4"/>
        <v>-67360</v>
      </c>
      <c r="M119" s="475">
        <f t="shared" si="4"/>
        <v>-1</v>
      </c>
      <c r="N119" s="476">
        <f t="shared" si="4"/>
        <v>-18247</v>
      </c>
    </row>
    <row r="120" spans="2:14" ht="16.5" customHeight="1">
      <c r="B120" s="468" t="s">
        <v>399</v>
      </c>
      <c r="C120" s="469" t="s">
        <v>400</v>
      </c>
      <c r="D120" s="470" t="s">
        <v>265</v>
      </c>
      <c r="E120" s="508">
        <v>1</v>
      </c>
      <c r="F120" s="471">
        <f>변경내역서!N231</f>
        <v>3629</v>
      </c>
      <c r="G120" s="471">
        <f>변경내역서!G231</f>
        <v>1</v>
      </c>
      <c r="H120" s="472">
        <f>변경내역서!I231</f>
        <v>3629</v>
      </c>
      <c r="I120" s="473">
        <f>변경내역서!N230</f>
        <v>0</v>
      </c>
      <c r="J120" s="513">
        <f>변경내역서!G230</f>
        <v>0</v>
      </c>
      <c r="K120" s="474">
        <f>변경내역서!I230</f>
        <v>0</v>
      </c>
      <c r="L120" s="475">
        <f t="shared" si="4"/>
        <v>-3629</v>
      </c>
      <c r="M120" s="475">
        <f t="shared" si="4"/>
        <v>-1</v>
      </c>
      <c r="N120" s="476">
        <f t="shared" si="4"/>
        <v>-3629</v>
      </c>
    </row>
    <row r="121" spans="2:14" ht="16.5" customHeight="1">
      <c r="B121" s="468" t="s">
        <v>263</v>
      </c>
      <c r="C121" s="469" t="s">
        <v>401</v>
      </c>
      <c r="D121" s="470" t="s">
        <v>265</v>
      </c>
      <c r="E121" s="508">
        <v>3</v>
      </c>
      <c r="F121" s="471">
        <f>변경내역서!N233</f>
        <v>6640</v>
      </c>
      <c r="G121" s="471">
        <f>변경내역서!G233</f>
        <v>3</v>
      </c>
      <c r="H121" s="472">
        <f>변경내역서!I233</f>
        <v>19920</v>
      </c>
      <c r="I121" s="473">
        <f>변경내역서!N232</f>
        <v>0</v>
      </c>
      <c r="J121" s="513">
        <f>변경내역서!G232</f>
        <v>0</v>
      </c>
      <c r="K121" s="474">
        <f>변경내역서!I232</f>
        <v>0</v>
      </c>
      <c r="L121" s="475">
        <f t="shared" si="4"/>
        <v>-6640</v>
      </c>
      <c r="M121" s="475">
        <f t="shared" si="4"/>
        <v>-3</v>
      </c>
      <c r="N121" s="476">
        <f t="shared" si="4"/>
        <v>-19920</v>
      </c>
    </row>
    <row r="122" spans="2:14" ht="16.5" customHeight="1">
      <c r="B122" s="468" t="s">
        <v>266</v>
      </c>
      <c r="C122" s="469" t="s">
        <v>402</v>
      </c>
      <c r="D122" s="470" t="s">
        <v>265</v>
      </c>
      <c r="E122" s="508">
        <v>2</v>
      </c>
      <c r="F122" s="471">
        <f>변경내역서!N235</f>
        <v>57590</v>
      </c>
      <c r="G122" s="471">
        <f>변경내역서!G235</f>
        <v>2</v>
      </c>
      <c r="H122" s="472">
        <f>변경내역서!I235</f>
        <v>14312</v>
      </c>
      <c r="I122" s="473">
        <f>변경내역서!N234</f>
        <v>0</v>
      </c>
      <c r="J122" s="513">
        <f>변경내역서!G234</f>
        <v>0</v>
      </c>
      <c r="K122" s="474">
        <f>변경내역서!I234</f>
        <v>0</v>
      </c>
      <c r="L122" s="475">
        <f t="shared" si="4"/>
        <v>-57590</v>
      </c>
      <c r="M122" s="475">
        <f t="shared" si="4"/>
        <v>-2</v>
      </c>
      <c r="N122" s="476">
        <f t="shared" si="4"/>
        <v>-14312</v>
      </c>
    </row>
    <row r="123" spans="2:14" ht="16.5" customHeight="1">
      <c r="B123" s="468" t="s">
        <v>266</v>
      </c>
      <c r="C123" s="469" t="s">
        <v>403</v>
      </c>
      <c r="D123" s="470" t="s">
        <v>265</v>
      </c>
      <c r="E123" s="508">
        <v>2</v>
      </c>
      <c r="F123" s="471">
        <f>변경내역서!N237</f>
        <v>90179</v>
      </c>
      <c r="G123" s="471">
        <f>변경내역서!G237</f>
        <v>2</v>
      </c>
      <c r="H123" s="472">
        <f>변경내역서!I237</f>
        <v>19884</v>
      </c>
      <c r="I123" s="473">
        <f>변경내역서!N236</f>
        <v>0</v>
      </c>
      <c r="J123" s="513">
        <f>변경내역서!G236</f>
        <v>0</v>
      </c>
      <c r="K123" s="474">
        <f>변경내역서!I236</f>
        <v>0</v>
      </c>
      <c r="L123" s="475">
        <f t="shared" si="4"/>
        <v>-90179</v>
      </c>
      <c r="M123" s="475">
        <f t="shared" si="4"/>
        <v>-2</v>
      </c>
      <c r="N123" s="476">
        <f t="shared" si="4"/>
        <v>-19884</v>
      </c>
    </row>
    <row r="124" spans="2:14" ht="16.5" customHeight="1">
      <c r="B124" s="468" t="s">
        <v>266</v>
      </c>
      <c r="C124" s="469" t="s">
        <v>267</v>
      </c>
      <c r="D124" s="470" t="s">
        <v>265</v>
      </c>
      <c r="E124" s="508">
        <v>1</v>
      </c>
      <c r="F124" s="471">
        <f>변경내역서!N239</f>
        <v>101182</v>
      </c>
      <c r="G124" s="471">
        <f>변경내역서!G239</f>
        <v>1</v>
      </c>
      <c r="H124" s="472">
        <f>변경내역서!I239</f>
        <v>20945</v>
      </c>
      <c r="I124" s="473">
        <f>변경내역서!N238</f>
        <v>0</v>
      </c>
      <c r="J124" s="513">
        <f>변경내역서!G238</f>
        <v>0</v>
      </c>
      <c r="K124" s="474">
        <f>변경내역서!I238</f>
        <v>0</v>
      </c>
      <c r="L124" s="475">
        <f t="shared" si="4"/>
        <v>-101182</v>
      </c>
      <c r="M124" s="475">
        <f t="shared" si="4"/>
        <v>-1</v>
      </c>
      <c r="N124" s="476">
        <f t="shared" si="4"/>
        <v>-20945</v>
      </c>
    </row>
    <row r="125" spans="2:14" ht="16.5" customHeight="1">
      <c r="B125" s="468" t="s">
        <v>268</v>
      </c>
      <c r="C125" s="469" t="s">
        <v>404</v>
      </c>
      <c r="D125" s="470" t="s">
        <v>255</v>
      </c>
      <c r="E125" s="508">
        <v>18</v>
      </c>
      <c r="F125" s="471">
        <f>변경내역서!N241</f>
        <v>2814</v>
      </c>
      <c r="G125" s="471">
        <f>변경내역서!G241</f>
        <v>18</v>
      </c>
      <c r="H125" s="472">
        <f>변경내역서!I241</f>
        <v>13518</v>
      </c>
      <c r="I125" s="473">
        <f>변경내역서!N240</f>
        <v>0</v>
      </c>
      <c r="J125" s="513">
        <f>변경내역서!G240</f>
        <v>0</v>
      </c>
      <c r="K125" s="474">
        <f>변경내역서!I240</f>
        <v>0</v>
      </c>
      <c r="L125" s="475">
        <f t="shared" si="4"/>
        <v>-2814</v>
      </c>
      <c r="M125" s="475">
        <f t="shared" si="4"/>
        <v>-18</v>
      </c>
      <c r="N125" s="476">
        <f t="shared" si="4"/>
        <v>-13518</v>
      </c>
    </row>
    <row r="126" spans="2:14" ht="16.5" customHeight="1">
      <c r="B126" s="468" t="s">
        <v>268</v>
      </c>
      <c r="C126" s="469" t="s">
        <v>405</v>
      </c>
      <c r="D126" s="470" t="s">
        <v>255</v>
      </c>
      <c r="E126" s="508">
        <v>9</v>
      </c>
      <c r="F126" s="471">
        <f>변경내역서!N243</f>
        <v>11852</v>
      </c>
      <c r="G126" s="471">
        <f>변경내역서!G243</f>
        <v>9</v>
      </c>
      <c r="H126" s="472">
        <f>변경내역서!I243</f>
        <v>81909</v>
      </c>
      <c r="I126" s="473">
        <f>변경내역서!N242</f>
        <v>0</v>
      </c>
      <c r="J126" s="513">
        <f>변경내역서!G242</f>
        <v>0</v>
      </c>
      <c r="K126" s="474">
        <f>변경내역서!I242</f>
        <v>0</v>
      </c>
      <c r="L126" s="475">
        <f t="shared" si="4"/>
        <v>-11852</v>
      </c>
      <c r="M126" s="475">
        <f t="shared" si="4"/>
        <v>-9</v>
      </c>
      <c r="N126" s="476">
        <f t="shared" si="4"/>
        <v>-81909</v>
      </c>
    </row>
    <row r="127" spans="2:14" ht="16.5" customHeight="1">
      <c r="B127" s="468" t="s">
        <v>268</v>
      </c>
      <c r="C127" s="469" t="s">
        <v>406</v>
      </c>
      <c r="D127" s="470" t="s">
        <v>255</v>
      </c>
      <c r="E127" s="508">
        <v>35</v>
      </c>
      <c r="F127" s="471">
        <f>변경내역서!N245</f>
        <v>14623</v>
      </c>
      <c r="G127" s="471">
        <f>변경내역서!G245</f>
        <v>35</v>
      </c>
      <c r="H127" s="472">
        <f>변경내역서!I245</f>
        <v>379435</v>
      </c>
      <c r="I127" s="473">
        <f>변경내역서!N244</f>
        <v>0</v>
      </c>
      <c r="J127" s="513">
        <f>변경내역서!G244</f>
        <v>0</v>
      </c>
      <c r="K127" s="474">
        <f>변경내역서!I244</f>
        <v>0</v>
      </c>
      <c r="L127" s="475">
        <f t="shared" si="4"/>
        <v>-14623</v>
      </c>
      <c r="M127" s="475">
        <f t="shared" si="4"/>
        <v>-35</v>
      </c>
      <c r="N127" s="476">
        <f t="shared" si="4"/>
        <v>-379435</v>
      </c>
    </row>
    <row r="128" spans="2:14" ht="16.5" customHeight="1">
      <c r="B128" s="468" t="s">
        <v>270</v>
      </c>
      <c r="C128" s="469" t="s">
        <v>407</v>
      </c>
      <c r="D128" s="470" t="s">
        <v>255</v>
      </c>
      <c r="E128" s="508">
        <v>37</v>
      </c>
      <c r="F128" s="471">
        <f>변경내역서!N247</f>
        <v>35926</v>
      </c>
      <c r="G128" s="471">
        <f>변경내역서!G247</f>
        <v>37</v>
      </c>
      <c r="H128" s="472">
        <f>변경내역서!I247</f>
        <v>595330</v>
      </c>
      <c r="I128" s="473">
        <f>변경내역서!N246</f>
        <v>0</v>
      </c>
      <c r="J128" s="513">
        <f>변경내역서!G246</f>
        <v>0</v>
      </c>
      <c r="K128" s="474">
        <f>변경내역서!I246</f>
        <v>0</v>
      </c>
      <c r="L128" s="475">
        <f t="shared" si="4"/>
        <v>-35926</v>
      </c>
      <c r="M128" s="475">
        <f t="shared" si="4"/>
        <v>-37</v>
      </c>
      <c r="N128" s="476">
        <f t="shared" si="4"/>
        <v>-595330</v>
      </c>
    </row>
    <row r="129" spans="2:14" ht="16.5" customHeight="1">
      <c r="B129" s="468" t="s">
        <v>270</v>
      </c>
      <c r="C129" s="469" t="s">
        <v>408</v>
      </c>
      <c r="D129" s="470" t="s">
        <v>255</v>
      </c>
      <c r="E129" s="508">
        <v>46</v>
      </c>
      <c r="F129" s="471">
        <f>변경내역서!N249</f>
        <v>53391</v>
      </c>
      <c r="G129" s="471">
        <f>변경내역서!G249</f>
        <v>46</v>
      </c>
      <c r="H129" s="472">
        <f>변경내역서!I249</f>
        <v>1176680</v>
      </c>
      <c r="I129" s="473">
        <f>변경내역서!N248</f>
        <v>0</v>
      </c>
      <c r="J129" s="513">
        <f>변경내역서!G248</f>
        <v>0</v>
      </c>
      <c r="K129" s="474">
        <f>변경내역서!I248</f>
        <v>0</v>
      </c>
      <c r="L129" s="475">
        <f t="shared" si="4"/>
        <v>-53391</v>
      </c>
      <c r="M129" s="475">
        <f t="shared" si="4"/>
        <v>-46</v>
      </c>
      <c r="N129" s="476">
        <f t="shared" si="4"/>
        <v>-1176680</v>
      </c>
    </row>
    <row r="130" spans="2:14" ht="16.5" customHeight="1">
      <c r="B130" s="468" t="s">
        <v>270</v>
      </c>
      <c r="C130" s="469" t="s">
        <v>409</v>
      </c>
      <c r="D130" s="470" t="s">
        <v>255</v>
      </c>
      <c r="E130" s="508">
        <v>18</v>
      </c>
      <c r="F130" s="471">
        <f>변경내역서!N251</f>
        <v>11761</v>
      </c>
      <c r="G130" s="471">
        <f>변경내역서!G251</f>
        <v>18</v>
      </c>
      <c r="H130" s="472">
        <f>변경내역서!I251</f>
        <v>64476</v>
      </c>
      <c r="I130" s="473">
        <f>변경내역서!N250</f>
        <v>0</v>
      </c>
      <c r="J130" s="513">
        <f>변경내역서!G250</f>
        <v>0</v>
      </c>
      <c r="K130" s="474">
        <f>변경내역서!I250</f>
        <v>0</v>
      </c>
      <c r="L130" s="475">
        <f t="shared" si="4"/>
        <v>-11761</v>
      </c>
      <c r="M130" s="475">
        <f t="shared" si="4"/>
        <v>-18</v>
      </c>
      <c r="N130" s="476">
        <f t="shared" si="4"/>
        <v>-64476</v>
      </c>
    </row>
    <row r="131" spans="2:14" ht="16.5" customHeight="1">
      <c r="B131" s="468" t="s">
        <v>354</v>
      </c>
      <c r="C131" s="469" t="s">
        <v>410</v>
      </c>
      <c r="D131" s="470" t="s">
        <v>265</v>
      </c>
      <c r="E131" s="508">
        <v>2</v>
      </c>
      <c r="F131" s="471">
        <f>변경내역서!N253</f>
        <v>37995</v>
      </c>
      <c r="G131" s="471">
        <f>변경내역서!G253</f>
        <v>2</v>
      </c>
      <c r="H131" s="472">
        <f>변경내역서!I253</f>
        <v>3816</v>
      </c>
      <c r="I131" s="473">
        <f>변경내역서!N252</f>
        <v>0</v>
      </c>
      <c r="J131" s="513">
        <f>변경내역서!G252</f>
        <v>0</v>
      </c>
      <c r="K131" s="474">
        <f>변경내역서!I252</f>
        <v>0</v>
      </c>
      <c r="L131" s="475">
        <f t="shared" si="4"/>
        <v>-37995</v>
      </c>
      <c r="M131" s="475">
        <f t="shared" si="4"/>
        <v>-2</v>
      </c>
      <c r="N131" s="476">
        <f t="shared" si="4"/>
        <v>-3816</v>
      </c>
    </row>
    <row r="132" spans="2:14" ht="16.5" customHeight="1">
      <c r="B132" s="468" t="s">
        <v>354</v>
      </c>
      <c r="C132" s="469" t="s">
        <v>411</v>
      </c>
      <c r="D132" s="470" t="s">
        <v>265</v>
      </c>
      <c r="E132" s="508">
        <v>2</v>
      </c>
      <c r="F132" s="471">
        <f>변경내역서!N255</f>
        <v>44051</v>
      </c>
      <c r="G132" s="471">
        <f>변경내역서!G255</f>
        <v>2</v>
      </c>
      <c r="H132" s="472">
        <f>변경내역서!I255</f>
        <v>5824</v>
      </c>
      <c r="I132" s="473">
        <f>변경내역서!N254</f>
        <v>0</v>
      </c>
      <c r="J132" s="513">
        <f>변경내역서!G254</f>
        <v>0</v>
      </c>
      <c r="K132" s="474">
        <f>변경내역서!I254</f>
        <v>0</v>
      </c>
      <c r="L132" s="475">
        <f t="shared" si="4"/>
        <v>-44051</v>
      </c>
      <c r="M132" s="475">
        <f t="shared" si="4"/>
        <v>-2</v>
      </c>
      <c r="N132" s="476">
        <f t="shared" si="4"/>
        <v>-5824</v>
      </c>
    </row>
    <row r="133" spans="2:14" ht="16.5" customHeight="1">
      <c r="B133" s="468" t="s">
        <v>354</v>
      </c>
      <c r="C133" s="469" t="s">
        <v>412</v>
      </c>
      <c r="D133" s="470" t="s">
        <v>265</v>
      </c>
      <c r="E133" s="508">
        <v>8</v>
      </c>
      <c r="F133" s="471">
        <f>변경내역서!N257</f>
        <v>49956</v>
      </c>
      <c r="G133" s="471">
        <f>변경내역서!G257</f>
        <v>8</v>
      </c>
      <c r="H133" s="472">
        <f>변경내역서!I257</f>
        <v>30120</v>
      </c>
      <c r="I133" s="473">
        <f>변경내역서!N256</f>
        <v>0</v>
      </c>
      <c r="J133" s="513">
        <f>변경내역서!G256</f>
        <v>0</v>
      </c>
      <c r="K133" s="474">
        <f>변경내역서!I256</f>
        <v>0</v>
      </c>
      <c r="L133" s="475">
        <f t="shared" si="4"/>
        <v>-49956</v>
      </c>
      <c r="M133" s="475">
        <f t="shared" si="4"/>
        <v>-8</v>
      </c>
      <c r="N133" s="476">
        <f t="shared" si="4"/>
        <v>-30120</v>
      </c>
    </row>
    <row r="134" spans="2:14" ht="16.5" customHeight="1">
      <c r="B134" s="468" t="s">
        <v>354</v>
      </c>
      <c r="C134" s="469" t="s">
        <v>355</v>
      </c>
      <c r="D134" s="470" t="s">
        <v>265</v>
      </c>
      <c r="E134" s="508">
        <v>8</v>
      </c>
      <c r="F134" s="471">
        <f>변경내역서!N259</f>
        <v>60519</v>
      </c>
      <c r="G134" s="471">
        <f>변경내역서!G259</f>
        <v>8</v>
      </c>
      <c r="H134" s="472">
        <f>변경내역서!I259</f>
        <v>39560</v>
      </c>
      <c r="I134" s="473">
        <f>변경내역서!N258</f>
        <v>0</v>
      </c>
      <c r="J134" s="513">
        <f>변경내역서!G258</f>
        <v>0</v>
      </c>
      <c r="K134" s="474">
        <f>변경내역서!I258</f>
        <v>0</v>
      </c>
      <c r="L134" s="475">
        <f t="shared" si="4"/>
        <v>-60519</v>
      </c>
      <c r="M134" s="475">
        <f t="shared" si="4"/>
        <v>-8</v>
      </c>
      <c r="N134" s="476">
        <f t="shared" si="4"/>
        <v>-39560</v>
      </c>
    </row>
    <row r="135" spans="2:14" ht="16.5" customHeight="1">
      <c r="B135" s="468" t="s">
        <v>413</v>
      </c>
      <c r="C135" s="469" t="s">
        <v>414</v>
      </c>
      <c r="D135" s="470" t="s">
        <v>280</v>
      </c>
      <c r="E135" s="508">
        <v>7</v>
      </c>
      <c r="F135" s="471">
        <f>변경내역서!N261</f>
        <v>9801</v>
      </c>
      <c r="G135" s="471">
        <f>변경내역서!G261</f>
        <v>7</v>
      </c>
      <c r="H135" s="472">
        <f>변경내역서!I261</f>
        <v>10836</v>
      </c>
      <c r="I135" s="473">
        <f>변경내역서!N260</f>
        <v>0</v>
      </c>
      <c r="J135" s="513">
        <f>변경내역서!G260</f>
        <v>0</v>
      </c>
      <c r="K135" s="474">
        <f>변경내역서!I260</f>
        <v>0</v>
      </c>
      <c r="L135" s="475">
        <f t="shared" si="4"/>
        <v>-9801</v>
      </c>
      <c r="M135" s="475">
        <f t="shared" si="4"/>
        <v>-7</v>
      </c>
      <c r="N135" s="476">
        <f t="shared" si="4"/>
        <v>-10836</v>
      </c>
    </row>
    <row r="136" spans="2:14" ht="16.5" customHeight="1">
      <c r="B136" s="468" t="s">
        <v>413</v>
      </c>
      <c r="C136" s="469" t="s">
        <v>415</v>
      </c>
      <c r="D136" s="470" t="s">
        <v>280</v>
      </c>
      <c r="E136" s="508">
        <v>1</v>
      </c>
      <c r="F136" s="471">
        <f>변경내역서!N263</f>
        <v>10587</v>
      </c>
      <c r="G136" s="471">
        <f>변경내역서!G263</f>
        <v>1</v>
      </c>
      <c r="H136" s="472">
        <f>변경내역서!I263</f>
        <v>2334</v>
      </c>
      <c r="I136" s="473">
        <f>변경내역서!N262</f>
        <v>0</v>
      </c>
      <c r="J136" s="513">
        <f>변경내역서!G262</f>
        <v>0</v>
      </c>
      <c r="K136" s="474">
        <f>변경내역서!I262</f>
        <v>0</v>
      </c>
      <c r="L136" s="475">
        <f t="shared" si="4"/>
        <v>-10587</v>
      </c>
      <c r="M136" s="475">
        <f t="shared" si="4"/>
        <v>-1</v>
      </c>
      <c r="N136" s="476">
        <f t="shared" si="4"/>
        <v>-2334</v>
      </c>
    </row>
    <row r="137" spans="2:14" ht="16.5" customHeight="1">
      <c r="B137" s="468" t="s">
        <v>416</v>
      </c>
      <c r="C137" s="469" t="s">
        <v>417</v>
      </c>
      <c r="D137" s="470" t="s">
        <v>280</v>
      </c>
      <c r="E137" s="508">
        <v>1</v>
      </c>
      <c r="F137" s="471">
        <f>변경내역서!N265</f>
        <v>161351</v>
      </c>
      <c r="G137" s="471">
        <f>변경내역서!G265</f>
        <v>1</v>
      </c>
      <c r="H137" s="472">
        <f>변경내역서!I265</f>
        <v>46798</v>
      </c>
      <c r="I137" s="473">
        <f>변경내역서!N264</f>
        <v>0</v>
      </c>
      <c r="J137" s="513">
        <f>변경내역서!G264</f>
        <v>0</v>
      </c>
      <c r="K137" s="474">
        <f>변경내역서!I264</f>
        <v>0</v>
      </c>
      <c r="L137" s="475">
        <f t="shared" si="4"/>
        <v>-161351</v>
      </c>
      <c r="M137" s="475">
        <f t="shared" si="4"/>
        <v>-1</v>
      </c>
      <c r="N137" s="476">
        <f t="shared" si="4"/>
        <v>-46798</v>
      </c>
    </row>
    <row r="138" spans="2:14" ht="16.5" customHeight="1">
      <c r="B138" s="468" t="s">
        <v>418</v>
      </c>
      <c r="C138" s="469" t="s">
        <v>419</v>
      </c>
      <c r="D138" s="470" t="s">
        <v>321</v>
      </c>
      <c r="E138" s="508">
        <v>1</v>
      </c>
      <c r="F138" s="471">
        <f>변경내역서!N267</f>
        <v>154331</v>
      </c>
      <c r="G138" s="471">
        <f>변경내역서!G267</f>
        <v>1</v>
      </c>
      <c r="H138" s="472">
        <f>변경내역서!I267</f>
        <v>3025</v>
      </c>
      <c r="I138" s="473">
        <f>변경내역서!N266</f>
        <v>0</v>
      </c>
      <c r="J138" s="513">
        <f>변경내역서!G266</f>
        <v>0</v>
      </c>
      <c r="K138" s="474">
        <f>변경내역서!I266</f>
        <v>0</v>
      </c>
      <c r="L138" s="475">
        <f t="shared" si="4"/>
        <v>-154331</v>
      </c>
      <c r="M138" s="475">
        <f t="shared" si="4"/>
        <v>-1</v>
      </c>
      <c r="N138" s="476">
        <f t="shared" si="4"/>
        <v>-3025</v>
      </c>
    </row>
    <row r="139" spans="2:14" ht="16.5" customHeight="1">
      <c r="B139" s="468" t="s">
        <v>418</v>
      </c>
      <c r="C139" s="469" t="s">
        <v>420</v>
      </c>
      <c r="D139" s="470" t="s">
        <v>321</v>
      </c>
      <c r="E139" s="508">
        <v>1</v>
      </c>
      <c r="F139" s="471">
        <f>변경내역서!N269</f>
        <v>154331</v>
      </c>
      <c r="G139" s="471">
        <f>변경내역서!G269</f>
        <v>1</v>
      </c>
      <c r="H139" s="472">
        <f>변경내역서!I269</f>
        <v>3025</v>
      </c>
      <c r="I139" s="473">
        <f>변경내역서!N268</f>
        <v>0</v>
      </c>
      <c r="J139" s="513">
        <f>변경내역서!G268</f>
        <v>0</v>
      </c>
      <c r="K139" s="474">
        <f>변경내역서!I268</f>
        <v>0</v>
      </c>
      <c r="L139" s="475">
        <f t="shared" si="4"/>
        <v>-154331</v>
      </c>
      <c r="M139" s="475">
        <f t="shared" si="4"/>
        <v>-1</v>
      </c>
      <c r="N139" s="476">
        <f t="shared" si="4"/>
        <v>-3025</v>
      </c>
    </row>
    <row r="140" spans="2:14" ht="16.5" customHeight="1">
      <c r="B140" s="468" t="s">
        <v>418</v>
      </c>
      <c r="C140" s="469" t="s">
        <v>421</v>
      </c>
      <c r="D140" s="470" t="s">
        <v>321</v>
      </c>
      <c r="E140" s="508">
        <v>1</v>
      </c>
      <c r="F140" s="471">
        <f>변경내역서!N271</f>
        <v>154331</v>
      </c>
      <c r="G140" s="471">
        <f>변경내역서!G271</f>
        <v>1</v>
      </c>
      <c r="H140" s="472">
        <f>변경내역서!I271</f>
        <v>3025</v>
      </c>
      <c r="I140" s="473">
        <f>변경내역서!N270</f>
        <v>0</v>
      </c>
      <c r="J140" s="513">
        <f>변경내역서!G270</f>
        <v>0</v>
      </c>
      <c r="K140" s="474">
        <f>변경내역서!I270</f>
        <v>0</v>
      </c>
      <c r="L140" s="475">
        <f t="shared" si="4"/>
        <v>-154331</v>
      </c>
      <c r="M140" s="475">
        <f t="shared" si="4"/>
        <v>-1</v>
      </c>
      <c r="N140" s="476">
        <f t="shared" si="4"/>
        <v>-3025</v>
      </c>
    </row>
    <row r="141" spans="2:14" ht="16.5" customHeight="1">
      <c r="B141" s="468" t="s">
        <v>344</v>
      </c>
      <c r="C141" s="469" t="s">
        <v>345</v>
      </c>
      <c r="D141" s="470" t="s">
        <v>255</v>
      </c>
      <c r="E141" s="508"/>
      <c r="F141" s="471">
        <f>변경내역서!N273</f>
        <v>0</v>
      </c>
      <c r="G141" s="471">
        <f>변경내역서!G273</f>
        <v>0</v>
      </c>
      <c r="H141" s="472">
        <f>변경내역서!I273</f>
        <v>0</v>
      </c>
      <c r="I141" s="473">
        <f>변경내역서!N272</f>
        <v>0</v>
      </c>
      <c r="J141" s="513">
        <f>변경내역서!G272</f>
        <v>0</v>
      </c>
      <c r="K141" s="474">
        <f>변경내역서!I272</f>
        <v>0</v>
      </c>
      <c r="L141" s="475">
        <f t="shared" si="4"/>
        <v>0</v>
      </c>
      <c r="M141" s="475">
        <f t="shared" si="4"/>
        <v>0</v>
      </c>
      <c r="N141" s="476">
        <f t="shared" si="4"/>
        <v>0</v>
      </c>
    </row>
    <row r="142" spans="2:14" ht="16.5" customHeight="1">
      <c r="B142" s="468" t="s">
        <v>422</v>
      </c>
      <c r="C142" s="469" t="s">
        <v>423</v>
      </c>
      <c r="D142" s="470" t="s">
        <v>255</v>
      </c>
      <c r="E142" s="508">
        <v>30.7</v>
      </c>
      <c r="F142" s="471">
        <f>변경내역서!N275</f>
        <v>0</v>
      </c>
      <c r="G142" s="471">
        <f>변경내역서!G275</f>
        <v>0</v>
      </c>
      <c r="H142" s="472">
        <f>변경내역서!I275</f>
        <v>0</v>
      </c>
      <c r="I142" s="473">
        <f>변경내역서!N274</f>
        <v>27302</v>
      </c>
      <c r="J142" s="514">
        <f>변경내역서!G274</f>
        <v>30.7</v>
      </c>
      <c r="K142" s="474">
        <f>변경내역서!I274</f>
        <v>43317</v>
      </c>
      <c r="L142" s="475">
        <f t="shared" si="4"/>
        <v>27302</v>
      </c>
      <c r="M142" s="475">
        <f t="shared" si="4"/>
        <v>30.7</v>
      </c>
      <c r="N142" s="476">
        <f t="shared" si="4"/>
        <v>43317</v>
      </c>
    </row>
    <row r="143" spans="2:14" ht="16.5" customHeight="1">
      <c r="B143" s="468" t="s">
        <v>344</v>
      </c>
      <c r="C143" s="469" t="s">
        <v>397</v>
      </c>
      <c r="D143" s="470" t="s">
        <v>255</v>
      </c>
      <c r="E143" s="508">
        <v>29.4</v>
      </c>
      <c r="F143" s="471">
        <f>변경내역서!N277</f>
        <v>0</v>
      </c>
      <c r="G143" s="471">
        <f>변경내역서!G277</f>
        <v>0</v>
      </c>
      <c r="H143" s="472">
        <f>변경내역서!I277</f>
        <v>0</v>
      </c>
      <c r="I143" s="473">
        <f>변경내역서!N276</f>
        <v>47020</v>
      </c>
      <c r="J143" s="514">
        <f>변경내역서!G276</f>
        <v>29.4</v>
      </c>
      <c r="K143" s="474">
        <f>변경내역서!I276</f>
        <v>69707</v>
      </c>
      <c r="L143" s="475">
        <f t="shared" si="4"/>
        <v>47020</v>
      </c>
      <c r="M143" s="475">
        <f t="shared" si="4"/>
        <v>29.4</v>
      </c>
      <c r="N143" s="476">
        <f t="shared" si="4"/>
        <v>69707</v>
      </c>
    </row>
    <row r="144" spans="2:14" ht="16.5" customHeight="1">
      <c r="B144" s="468" t="s">
        <v>360</v>
      </c>
      <c r="C144" s="469" t="s">
        <v>361</v>
      </c>
      <c r="D144" s="470" t="s">
        <v>300</v>
      </c>
      <c r="E144" s="508">
        <v>1.5</v>
      </c>
      <c r="F144" s="471">
        <f>변경내역서!N279</f>
        <v>0</v>
      </c>
      <c r="G144" s="471">
        <f>변경내역서!G279</f>
        <v>0</v>
      </c>
      <c r="H144" s="472">
        <f>변경내역서!I279</f>
        <v>0</v>
      </c>
      <c r="I144" s="473">
        <f>변경내역서!N278</f>
        <v>125808</v>
      </c>
      <c r="J144" s="514">
        <f>변경내역서!G278</f>
        <v>1.5</v>
      </c>
      <c r="K144" s="474">
        <f>변경내역서!I278</f>
        <v>10060</v>
      </c>
      <c r="L144" s="475">
        <f t="shared" si="4"/>
        <v>125808</v>
      </c>
      <c r="M144" s="475">
        <f t="shared" si="4"/>
        <v>1.5</v>
      </c>
      <c r="N144" s="476">
        <f t="shared" si="4"/>
        <v>10060</v>
      </c>
    </row>
    <row r="145" spans="2:14" ht="16.5" customHeight="1">
      <c r="B145" s="468" t="s">
        <v>298</v>
      </c>
      <c r="C145" s="469" t="s">
        <v>301</v>
      </c>
      <c r="D145" s="470" t="s">
        <v>300</v>
      </c>
      <c r="E145" s="508">
        <v>1</v>
      </c>
      <c r="F145" s="471">
        <f>변경내역서!N281</f>
        <v>0</v>
      </c>
      <c r="G145" s="471">
        <f>변경내역서!G281</f>
        <v>0</v>
      </c>
      <c r="H145" s="472">
        <f>변경내역서!I281</f>
        <v>0</v>
      </c>
      <c r="I145" s="473">
        <f>변경내역서!N280</f>
        <v>91699</v>
      </c>
      <c r="J145" s="513">
        <f>변경내역서!G280</f>
        <v>1</v>
      </c>
      <c r="K145" s="474">
        <f>변경내역서!I280</f>
        <v>35300</v>
      </c>
      <c r="L145" s="475">
        <f t="shared" si="4"/>
        <v>91699</v>
      </c>
      <c r="M145" s="475">
        <f t="shared" si="4"/>
        <v>1</v>
      </c>
      <c r="N145" s="476">
        <f t="shared" si="4"/>
        <v>35300</v>
      </c>
    </row>
    <row r="146" spans="2:14" ht="16.5" customHeight="1">
      <c r="B146" s="468" t="s">
        <v>298</v>
      </c>
      <c r="C146" s="469" t="s">
        <v>362</v>
      </c>
      <c r="D146" s="470" t="s">
        <v>300</v>
      </c>
      <c r="E146" s="508">
        <v>32.700000000000003</v>
      </c>
      <c r="F146" s="471">
        <f>변경내역서!N283</f>
        <v>0</v>
      </c>
      <c r="G146" s="471">
        <f>변경내역서!G283</f>
        <v>0</v>
      </c>
      <c r="H146" s="472">
        <f>변경내역서!I283</f>
        <v>0</v>
      </c>
      <c r="I146" s="473">
        <f>변경내역서!N282</f>
        <v>3179</v>
      </c>
      <c r="J146" s="514">
        <f>변경내역서!G282</f>
        <v>32.700000000000003</v>
      </c>
      <c r="K146" s="474">
        <f>변경내역서!I282</f>
        <v>27762</v>
      </c>
      <c r="L146" s="475">
        <f t="shared" ref="L146:N167" si="5">I146-F146</f>
        <v>3179</v>
      </c>
      <c r="M146" s="475">
        <f t="shared" si="5"/>
        <v>32.700000000000003</v>
      </c>
      <c r="N146" s="476">
        <f t="shared" si="5"/>
        <v>27762</v>
      </c>
    </row>
    <row r="147" spans="2:14" ht="16.5" customHeight="1">
      <c r="B147" s="468" t="s">
        <v>424</v>
      </c>
      <c r="C147" s="469" t="s">
        <v>425</v>
      </c>
      <c r="D147" s="470" t="s">
        <v>300</v>
      </c>
      <c r="E147" s="508">
        <v>31.4</v>
      </c>
      <c r="F147" s="471">
        <f>변경내역서!N285</f>
        <v>0</v>
      </c>
      <c r="G147" s="471">
        <f>변경내역서!G285</f>
        <v>0</v>
      </c>
      <c r="H147" s="472">
        <f>변경내역서!I285</f>
        <v>0</v>
      </c>
      <c r="I147" s="473">
        <f>변경내역서!N284</f>
        <v>4430</v>
      </c>
      <c r="J147" s="514">
        <f>변경내역서!G284</f>
        <v>31.4</v>
      </c>
      <c r="K147" s="474">
        <f>변경내역서!I284</f>
        <v>61638</v>
      </c>
      <c r="L147" s="475">
        <f t="shared" si="5"/>
        <v>4430</v>
      </c>
      <c r="M147" s="475">
        <f t="shared" si="5"/>
        <v>31.4</v>
      </c>
      <c r="N147" s="476">
        <f t="shared" si="5"/>
        <v>61638</v>
      </c>
    </row>
    <row r="148" spans="2:14" ht="16.5" customHeight="1">
      <c r="B148" s="468" t="s">
        <v>302</v>
      </c>
      <c r="C148" s="469" t="s">
        <v>426</v>
      </c>
      <c r="D148" s="470" t="s">
        <v>300</v>
      </c>
      <c r="E148" s="508">
        <v>4.5</v>
      </c>
      <c r="F148" s="471">
        <f>변경내역서!N287</f>
        <v>0</v>
      </c>
      <c r="G148" s="471">
        <f>변경내역서!G287</f>
        <v>0</v>
      </c>
      <c r="H148" s="472">
        <f>변경내역서!I287</f>
        <v>0</v>
      </c>
      <c r="I148" s="473">
        <f>변경내역서!N286</f>
        <v>12402</v>
      </c>
      <c r="J148" s="514">
        <f>변경내역서!G286</f>
        <v>4.5</v>
      </c>
      <c r="K148" s="474">
        <f>변경내역서!I286</f>
        <v>43123</v>
      </c>
      <c r="L148" s="475">
        <f t="shared" si="5"/>
        <v>12402</v>
      </c>
      <c r="M148" s="475">
        <f t="shared" si="5"/>
        <v>4.5</v>
      </c>
      <c r="N148" s="476">
        <f t="shared" si="5"/>
        <v>43123</v>
      </c>
    </row>
    <row r="149" spans="2:14" ht="16.5" customHeight="1">
      <c r="B149" s="468" t="s">
        <v>302</v>
      </c>
      <c r="C149" s="469" t="s">
        <v>304</v>
      </c>
      <c r="D149" s="470" t="s">
        <v>300</v>
      </c>
      <c r="E149" s="508">
        <v>18</v>
      </c>
      <c r="F149" s="471">
        <f>변경내역서!N289</f>
        <v>0</v>
      </c>
      <c r="G149" s="471">
        <f>변경내역서!G289</f>
        <v>0</v>
      </c>
      <c r="H149" s="472">
        <f>변경내역서!I289</f>
        <v>0</v>
      </c>
      <c r="I149" s="473">
        <f>변경내역서!N288</f>
        <v>37840</v>
      </c>
      <c r="J149" s="513">
        <f>변경내역서!G288</f>
        <v>18</v>
      </c>
      <c r="K149" s="474">
        <f>변경내역서!I288</f>
        <v>302328</v>
      </c>
      <c r="L149" s="475">
        <f t="shared" si="5"/>
        <v>37840</v>
      </c>
      <c r="M149" s="475">
        <f t="shared" si="5"/>
        <v>18</v>
      </c>
      <c r="N149" s="476">
        <f t="shared" si="5"/>
        <v>302328</v>
      </c>
    </row>
    <row r="150" spans="2:14" ht="16.5" customHeight="1">
      <c r="B150" s="468" t="s">
        <v>302</v>
      </c>
      <c r="C150" s="469" t="s">
        <v>368</v>
      </c>
      <c r="D150" s="470" t="s">
        <v>300</v>
      </c>
      <c r="E150" s="508">
        <v>20.399999999999999</v>
      </c>
      <c r="F150" s="471">
        <f>변경내역서!N291</f>
        <v>0</v>
      </c>
      <c r="G150" s="471">
        <f>변경내역서!G291</f>
        <v>0</v>
      </c>
      <c r="H150" s="472">
        <f>변경내역서!I291</f>
        <v>0</v>
      </c>
      <c r="I150" s="473">
        <f>변경내역서!N290</f>
        <v>5960</v>
      </c>
      <c r="J150" s="514">
        <f>변경내역서!G290</f>
        <v>20.399999999999999</v>
      </c>
      <c r="K150" s="474">
        <f>변경내역서!I290</f>
        <v>46410</v>
      </c>
      <c r="L150" s="475">
        <f t="shared" si="5"/>
        <v>5960</v>
      </c>
      <c r="M150" s="475">
        <f t="shared" si="5"/>
        <v>20.399999999999999</v>
      </c>
      <c r="N150" s="476">
        <f t="shared" si="5"/>
        <v>46410</v>
      </c>
    </row>
    <row r="151" spans="2:14" ht="16.5" customHeight="1">
      <c r="B151" s="468" t="s">
        <v>302</v>
      </c>
      <c r="C151" s="469" t="s">
        <v>369</v>
      </c>
      <c r="D151" s="470" t="s">
        <v>300</v>
      </c>
      <c r="E151" s="508">
        <v>12.3</v>
      </c>
      <c r="F151" s="471">
        <f>변경내역서!N293</f>
        <v>0</v>
      </c>
      <c r="G151" s="471">
        <f>변경내역서!G293</f>
        <v>0</v>
      </c>
      <c r="H151" s="472">
        <f>변경내역서!I293</f>
        <v>0</v>
      </c>
      <c r="I151" s="473">
        <f>변경내역서!N292</f>
        <v>13284</v>
      </c>
      <c r="J151" s="514">
        <f>변경내역서!G292</f>
        <v>12.3</v>
      </c>
      <c r="K151" s="474">
        <f>변경내역서!I292</f>
        <v>49765</v>
      </c>
      <c r="L151" s="475">
        <f t="shared" si="5"/>
        <v>13284</v>
      </c>
      <c r="M151" s="475">
        <f t="shared" si="5"/>
        <v>12.3</v>
      </c>
      <c r="N151" s="476">
        <f t="shared" si="5"/>
        <v>49765</v>
      </c>
    </row>
    <row r="152" spans="2:14" ht="16.5" customHeight="1">
      <c r="B152" s="468" t="s">
        <v>302</v>
      </c>
      <c r="C152" s="469" t="s">
        <v>427</v>
      </c>
      <c r="D152" s="470" t="s">
        <v>300</v>
      </c>
      <c r="E152" s="508">
        <v>22.2</v>
      </c>
      <c r="F152" s="471">
        <f>변경내역서!N295</f>
        <v>0</v>
      </c>
      <c r="G152" s="471">
        <f>변경내역서!G295</f>
        <v>0</v>
      </c>
      <c r="H152" s="472">
        <f>변경내역서!I295</f>
        <v>0</v>
      </c>
      <c r="I152" s="473">
        <f>변경내역서!N294</f>
        <v>26256</v>
      </c>
      <c r="J152" s="514">
        <f>변경내역서!G294</f>
        <v>22.2</v>
      </c>
      <c r="K152" s="474">
        <f>변경내역서!I294</f>
        <v>243844</v>
      </c>
      <c r="L152" s="475">
        <f t="shared" si="5"/>
        <v>26256</v>
      </c>
      <c r="M152" s="475">
        <f t="shared" si="5"/>
        <v>22.2</v>
      </c>
      <c r="N152" s="476">
        <f t="shared" si="5"/>
        <v>243844</v>
      </c>
    </row>
    <row r="153" spans="2:14" ht="16.5" customHeight="1">
      <c r="B153" s="468" t="s">
        <v>370</v>
      </c>
      <c r="C153" s="469" t="s">
        <v>371</v>
      </c>
      <c r="D153" s="470" t="s">
        <v>265</v>
      </c>
      <c r="E153" s="508">
        <v>9.1999999999999993</v>
      </c>
      <c r="F153" s="471">
        <f>변경내역서!N297</f>
        <v>0</v>
      </c>
      <c r="G153" s="471">
        <f>변경내역서!G297</f>
        <v>0</v>
      </c>
      <c r="H153" s="472">
        <f>변경내역서!I297</f>
        <v>0</v>
      </c>
      <c r="I153" s="473">
        <f>변경내역서!N296</f>
        <v>37104</v>
      </c>
      <c r="J153" s="514">
        <f>변경내역서!G296</f>
        <v>9.1999999999999993</v>
      </c>
      <c r="K153" s="474">
        <f>변경내역서!I296</f>
        <v>158092</v>
      </c>
      <c r="L153" s="475">
        <f t="shared" si="5"/>
        <v>37104</v>
      </c>
      <c r="M153" s="475">
        <f t="shared" si="5"/>
        <v>9.1999999999999993</v>
      </c>
      <c r="N153" s="476">
        <f t="shared" si="5"/>
        <v>158092</v>
      </c>
    </row>
    <row r="154" spans="2:14" ht="16.5" customHeight="1">
      <c r="B154" s="468" t="s">
        <v>370</v>
      </c>
      <c r="C154" s="469" t="s">
        <v>372</v>
      </c>
      <c r="D154" s="470" t="s">
        <v>265</v>
      </c>
      <c r="E154" s="508">
        <v>12</v>
      </c>
      <c r="F154" s="471">
        <f>변경내역서!N299</f>
        <v>0</v>
      </c>
      <c r="G154" s="471">
        <f>변경내역서!G299</f>
        <v>0</v>
      </c>
      <c r="H154" s="472">
        <f>변경내역서!I299</f>
        <v>0</v>
      </c>
      <c r="I154" s="473">
        <f>변경내역서!N298</f>
        <v>21511</v>
      </c>
      <c r="J154" s="513">
        <f>변경내역서!G298</f>
        <v>12</v>
      </c>
      <c r="K154" s="474">
        <f>변경내역서!I298</f>
        <v>9888</v>
      </c>
      <c r="L154" s="475">
        <f t="shared" si="5"/>
        <v>21511</v>
      </c>
      <c r="M154" s="475">
        <f t="shared" si="5"/>
        <v>12</v>
      </c>
      <c r="N154" s="476">
        <f t="shared" si="5"/>
        <v>9888</v>
      </c>
    </row>
    <row r="155" spans="2:14" ht="16.5" customHeight="1">
      <c r="B155" s="468" t="s">
        <v>370</v>
      </c>
      <c r="C155" s="469" t="s">
        <v>428</v>
      </c>
      <c r="D155" s="470" t="s">
        <v>265</v>
      </c>
      <c r="E155" s="508">
        <v>8</v>
      </c>
      <c r="F155" s="471">
        <f>변경내역서!N301</f>
        <v>0</v>
      </c>
      <c r="G155" s="471">
        <f>변경내역서!G301</f>
        <v>0</v>
      </c>
      <c r="H155" s="472">
        <f>변경내역서!I301</f>
        <v>0</v>
      </c>
      <c r="I155" s="473">
        <f>변경내역서!N300</f>
        <v>16083</v>
      </c>
      <c r="J155" s="513">
        <f>변경내역서!G300</f>
        <v>8</v>
      </c>
      <c r="K155" s="474">
        <f>변경내역서!I300</f>
        <v>6080</v>
      </c>
      <c r="L155" s="475">
        <f t="shared" si="5"/>
        <v>16083</v>
      </c>
      <c r="M155" s="475">
        <f t="shared" si="5"/>
        <v>8</v>
      </c>
      <c r="N155" s="476">
        <f t="shared" si="5"/>
        <v>6080</v>
      </c>
    </row>
    <row r="156" spans="2:14" ht="16.5" customHeight="1">
      <c r="B156" s="468" t="s">
        <v>370</v>
      </c>
      <c r="C156" s="469" t="s">
        <v>429</v>
      </c>
      <c r="D156" s="470" t="s">
        <v>265</v>
      </c>
      <c r="E156" s="508">
        <v>2</v>
      </c>
      <c r="F156" s="471">
        <f>변경내역서!N303</f>
        <v>0</v>
      </c>
      <c r="G156" s="471">
        <f>변경내역서!G303</f>
        <v>0</v>
      </c>
      <c r="H156" s="472">
        <f>변경내역서!I303</f>
        <v>0</v>
      </c>
      <c r="I156" s="473">
        <f>변경내역서!N302</f>
        <v>40830</v>
      </c>
      <c r="J156" s="513">
        <f>변경내역서!G302</f>
        <v>2</v>
      </c>
      <c r="K156" s="474">
        <f>변경내역서!I302</f>
        <v>5042</v>
      </c>
      <c r="L156" s="475">
        <f t="shared" si="5"/>
        <v>40830</v>
      </c>
      <c r="M156" s="475">
        <f t="shared" si="5"/>
        <v>2</v>
      </c>
      <c r="N156" s="476">
        <f t="shared" si="5"/>
        <v>5042</v>
      </c>
    </row>
    <row r="157" spans="2:14" ht="16.5" customHeight="1">
      <c r="B157" s="468" t="s">
        <v>430</v>
      </c>
      <c r="C157" s="469" t="s">
        <v>431</v>
      </c>
      <c r="D157" s="470" t="s">
        <v>321</v>
      </c>
      <c r="E157" s="508">
        <v>8</v>
      </c>
      <c r="F157" s="471">
        <f>변경내역서!N305</f>
        <v>0</v>
      </c>
      <c r="G157" s="471">
        <f>변경내역서!G305</f>
        <v>0</v>
      </c>
      <c r="H157" s="472">
        <f>변경내역서!I305</f>
        <v>0</v>
      </c>
      <c r="I157" s="473">
        <f>변경내역서!N304</f>
        <v>56422</v>
      </c>
      <c r="J157" s="513">
        <f>변경내역서!G304</f>
        <v>8</v>
      </c>
      <c r="K157" s="474">
        <f>변경내역서!I304</f>
        <v>34024</v>
      </c>
      <c r="L157" s="475">
        <f t="shared" si="5"/>
        <v>56422</v>
      </c>
      <c r="M157" s="475">
        <f t="shared" si="5"/>
        <v>8</v>
      </c>
      <c r="N157" s="476">
        <f t="shared" si="5"/>
        <v>34024</v>
      </c>
    </row>
    <row r="158" spans="2:14" ht="16.5" customHeight="1">
      <c r="B158" s="468" t="s">
        <v>430</v>
      </c>
      <c r="C158" s="469" t="s">
        <v>432</v>
      </c>
      <c r="D158" s="470" t="s">
        <v>321</v>
      </c>
      <c r="E158" s="508">
        <v>1</v>
      </c>
      <c r="F158" s="471">
        <f>변경내역서!N307</f>
        <v>0</v>
      </c>
      <c r="G158" s="471">
        <f>변경내역서!G307</f>
        <v>0</v>
      </c>
      <c r="H158" s="472">
        <f>변경내역서!I307</f>
        <v>0</v>
      </c>
      <c r="I158" s="473">
        <f>변경내역서!N306</f>
        <v>297719</v>
      </c>
      <c r="J158" s="513">
        <f>변경내역서!G306</f>
        <v>1</v>
      </c>
      <c r="K158" s="474">
        <f>변경내역서!I306</f>
        <v>8671</v>
      </c>
      <c r="L158" s="475">
        <f t="shared" si="5"/>
        <v>297719</v>
      </c>
      <c r="M158" s="475">
        <f t="shared" si="5"/>
        <v>1</v>
      </c>
      <c r="N158" s="476">
        <f t="shared" si="5"/>
        <v>8671</v>
      </c>
    </row>
    <row r="159" spans="2:14" ht="16.5" customHeight="1">
      <c r="B159" s="468" t="s">
        <v>430</v>
      </c>
      <c r="C159" s="469" t="s">
        <v>433</v>
      </c>
      <c r="D159" s="470" t="s">
        <v>321</v>
      </c>
      <c r="E159" s="508">
        <v>1</v>
      </c>
      <c r="F159" s="471">
        <f>변경내역서!N309</f>
        <v>0</v>
      </c>
      <c r="G159" s="471">
        <f>변경내역서!G309</f>
        <v>0</v>
      </c>
      <c r="H159" s="472">
        <f>변경내역서!I309</f>
        <v>0</v>
      </c>
      <c r="I159" s="473">
        <f>변경내역서!N308</f>
        <v>297719</v>
      </c>
      <c r="J159" s="513">
        <f>변경내역서!G308</f>
        <v>1</v>
      </c>
      <c r="K159" s="474">
        <f>변경내역서!I308</f>
        <v>8671</v>
      </c>
      <c r="L159" s="475">
        <f t="shared" si="5"/>
        <v>297719</v>
      </c>
      <c r="M159" s="475">
        <f t="shared" si="5"/>
        <v>1</v>
      </c>
      <c r="N159" s="476">
        <f t="shared" si="5"/>
        <v>8671</v>
      </c>
    </row>
    <row r="160" spans="2:14" ht="16.5" customHeight="1">
      <c r="B160" s="468" t="s">
        <v>430</v>
      </c>
      <c r="C160" s="469" t="s">
        <v>434</v>
      </c>
      <c r="D160" s="470" t="s">
        <v>321</v>
      </c>
      <c r="E160" s="508">
        <v>1</v>
      </c>
      <c r="F160" s="471">
        <f>변경내역서!N311</f>
        <v>0</v>
      </c>
      <c r="G160" s="471">
        <f>변경내역서!G311</f>
        <v>0</v>
      </c>
      <c r="H160" s="472">
        <f>변경내역서!I311</f>
        <v>0</v>
      </c>
      <c r="I160" s="473">
        <f>변경내역서!N310</f>
        <v>297719</v>
      </c>
      <c r="J160" s="513">
        <f>변경내역서!G310</f>
        <v>1</v>
      </c>
      <c r="K160" s="474">
        <f>변경내역서!I310</f>
        <v>8671</v>
      </c>
      <c r="L160" s="475">
        <f t="shared" si="5"/>
        <v>297719</v>
      </c>
      <c r="M160" s="475">
        <f t="shared" si="5"/>
        <v>1</v>
      </c>
      <c r="N160" s="476">
        <f t="shared" si="5"/>
        <v>8671</v>
      </c>
    </row>
    <row r="161" spans="2:14" ht="16.5" customHeight="1">
      <c r="B161" s="468" t="s">
        <v>430</v>
      </c>
      <c r="C161" s="469" t="s">
        <v>435</v>
      </c>
      <c r="D161" s="470" t="s">
        <v>321</v>
      </c>
      <c r="E161" s="508">
        <v>1</v>
      </c>
      <c r="F161" s="471">
        <f>변경내역서!N313</f>
        <v>0</v>
      </c>
      <c r="G161" s="471">
        <f>변경내역서!G313</f>
        <v>0</v>
      </c>
      <c r="H161" s="472">
        <f>변경내역서!I313</f>
        <v>0</v>
      </c>
      <c r="I161" s="473">
        <f>변경내역서!N312</f>
        <v>229945</v>
      </c>
      <c r="J161" s="513">
        <f>변경내역서!G312</f>
        <v>1</v>
      </c>
      <c r="K161" s="474">
        <f>변경내역서!I312</f>
        <v>6697</v>
      </c>
      <c r="L161" s="475">
        <f t="shared" si="5"/>
        <v>229945</v>
      </c>
      <c r="M161" s="475">
        <f t="shared" si="5"/>
        <v>1</v>
      </c>
      <c r="N161" s="476">
        <f t="shared" si="5"/>
        <v>6697</v>
      </c>
    </row>
    <row r="162" spans="2:14" ht="16.5" customHeight="1">
      <c r="B162" s="468"/>
      <c r="C162" s="469"/>
      <c r="D162" s="470"/>
      <c r="E162" s="508">
        <v>1</v>
      </c>
      <c r="F162" s="471">
        <f>변경내역서!N315</f>
        <v>0</v>
      </c>
      <c r="G162" s="471">
        <f>변경내역서!G315</f>
        <v>0</v>
      </c>
      <c r="H162" s="472">
        <f>변경내역서!I315</f>
        <v>0</v>
      </c>
      <c r="I162" s="473">
        <f>변경내역서!N314</f>
        <v>297719</v>
      </c>
      <c r="J162" s="513">
        <f>변경내역서!G314</f>
        <v>1</v>
      </c>
      <c r="K162" s="474">
        <f>변경내역서!I314</f>
        <v>8671</v>
      </c>
      <c r="L162" s="475">
        <f t="shared" si="5"/>
        <v>297719</v>
      </c>
      <c r="M162" s="475">
        <f t="shared" si="5"/>
        <v>1</v>
      </c>
      <c r="N162" s="476">
        <f t="shared" si="5"/>
        <v>8671</v>
      </c>
    </row>
    <row r="163" spans="2:14" ht="16.5" customHeight="1">
      <c r="B163" s="468"/>
      <c r="C163" s="469"/>
      <c r="D163" s="470"/>
      <c r="E163" s="508"/>
      <c r="F163" s="471">
        <f>변경내역서!N317</f>
        <v>0</v>
      </c>
      <c r="G163" s="471">
        <f>변경내역서!G317</f>
        <v>0</v>
      </c>
      <c r="H163" s="472">
        <f>변경내역서!I317</f>
        <v>0</v>
      </c>
      <c r="I163" s="473">
        <f>변경내역서!N316</f>
        <v>0</v>
      </c>
      <c r="J163" s="513">
        <f>변경내역서!G316</f>
        <v>0</v>
      </c>
      <c r="K163" s="474">
        <f>변경내역서!I316</f>
        <v>0</v>
      </c>
      <c r="L163" s="475">
        <f t="shared" si="5"/>
        <v>0</v>
      </c>
      <c r="M163" s="475">
        <f t="shared" si="5"/>
        <v>0</v>
      </c>
      <c r="N163" s="476">
        <f t="shared" si="5"/>
        <v>0</v>
      </c>
    </row>
    <row r="164" spans="2:14" ht="16.5" customHeight="1">
      <c r="B164" s="468"/>
      <c r="C164" s="469"/>
      <c r="D164" s="470"/>
      <c r="E164" s="508"/>
      <c r="F164" s="471">
        <f>변경내역서!N319</f>
        <v>0</v>
      </c>
      <c r="G164" s="471">
        <f>변경내역서!G319</f>
        <v>0</v>
      </c>
      <c r="H164" s="472">
        <f>변경내역서!I319</f>
        <v>0</v>
      </c>
      <c r="I164" s="473">
        <f>변경내역서!N318</f>
        <v>0</v>
      </c>
      <c r="J164" s="513">
        <f>변경내역서!G318</f>
        <v>0</v>
      </c>
      <c r="K164" s="474">
        <f>변경내역서!I318</f>
        <v>0</v>
      </c>
      <c r="L164" s="475">
        <f t="shared" si="5"/>
        <v>0</v>
      </c>
      <c r="M164" s="475">
        <f t="shared" si="5"/>
        <v>0</v>
      </c>
      <c r="N164" s="476">
        <f t="shared" si="5"/>
        <v>0</v>
      </c>
    </row>
    <row r="165" spans="2:14" ht="16.5" customHeight="1">
      <c r="B165" s="468"/>
      <c r="C165" s="469"/>
      <c r="D165" s="470"/>
      <c r="E165" s="508"/>
      <c r="F165" s="471">
        <f>변경내역서!N321</f>
        <v>0</v>
      </c>
      <c r="G165" s="471">
        <f>변경내역서!G321</f>
        <v>0</v>
      </c>
      <c r="H165" s="472">
        <f>변경내역서!I321</f>
        <v>0</v>
      </c>
      <c r="I165" s="473">
        <f>변경내역서!N320</f>
        <v>0</v>
      </c>
      <c r="J165" s="513">
        <f>변경내역서!G320</f>
        <v>0</v>
      </c>
      <c r="K165" s="474">
        <f>변경내역서!I320</f>
        <v>0</v>
      </c>
      <c r="L165" s="475">
        <f t="shared" si="5"/>
        <v>0</v>
      </c>
      <c r="M165" s="475">
        <f t="shared" si="5"/>
        <v>0</v>
      </c>
      <c r="N165" s="476">
        <f t="shared" si="5"/>
        <v>0</v>
      </c>
    </row>
    <row r="166" spans="2:14" ht="16.5" customHeight="1">
      <c r="B166" s="468"/>
      <c r="C166" s="469"/>
      <c r="D166" s="470"/>
      <c r="E166" s="508"/>
      <c r="F166" s="471">
        <f>변경내역서!N323</f>
        <v>0</v>
      </c>
      <c r="G166" s="471">
        <f>변경내역서!G323</f>
        <v>0</v>
      </c>
      <c r="H166" s="472">
        <f>변경내역서!I323</f>
        <v>0</v>
      </c>
      <c r="I166" s="473">
        <f>변경내역서!N322</f>
        <v>0</v>
      </c>
      <c r="J166" s="513">
        <f>변경내역서!G322</f>
        <v>0</v>
      </c>
      <c r="K166" s="474">
        <f>변경내역서!I322</f>
        <v>0</v>
      </c>
      <c r="L166" s="475">
        <f t="shared" si="5"/>
        <v>0</v>
      </c>
      <c r="M166" s="475">
        <f t="shared" si="5"/>
        <v>0</v>
      </c>
      <c r="N166" s="476">
        <f t="shared" si="5"/>
        <v>0</v>
      </c>
    </row>
    <row r="167" spans="2:14" ht="16.5" customHeight="1">
      <c r="B167" s="478" t="s">
        <v>216</v>
      </c>
      <c r="C167" s="479"/>
      <c r="D167" s="480"/>
      <c r="E167" s="509"/>
      <c r="F167" s="481">
        <f>변경내역서!N325</f>
        <v>0</v>
      </c>
      <c r="G167" s="481">
        <f>변경내역서!G325</f>
        <v>0</v>
      </c>
      <c r="H167" s="482">
        <f>변경내역서!I325</f>
        <v>2755691</v>
      </c>
      <c r="I167" s="483">
        <f>변경내역서!N324</f>
        <v>0</v>
      </c>
      <c r="J167" s="516">
        <f>변경내역서!G324</f>
        <v>0</v>
      </c>
      <c r="K167" s="484">
        <f>변경내역서!I326</f>
        <v>1187761</v>
      </c>
      <c r="L167" s="485">
        <f t="shared" si="5"/>
        <v>0</v>
      </c>
      <c r="M167" s="485">
        <f t="shared" si="5"/>
        <v>0</v>
      </c>
      <c r="N167" s="486">
        <f t="shared" si="5"/>
        <v>-1567930</v>
      </c>
    </row>
    <row r="168" spans="2:14" ht="16.5" customHeight="1">
      <c r="B168" s="468" t="s">
        <v>3745</v>
      </c>
      <c r="C168" s="469"/>
      <c r="D168" s="470"/>
      <c r="E168" s="508"/>
      <c r="F168" s="471"/>
      <c r="G168" s="471"/>
      <c r="H168" s="472"/>
      <c r="I168" s="473"/>
      <c r="J168" s="513"/>
      <c r="K168" s="474"/>
      <c r="L168" s="475"/>
      <c r="M168" s="475"/>
      <c r="N168" s="476"/>
    </row>
    <row r="169" spans="2:14" ht="16.5" customHeight="1">
      <c r="B169" s="468" t="s">
        <v>394</v>
      </c>
      <c r="C169" s="469" t="s">
        <v>436</v>
      </c>
      <c r="D169" s="470" t="s">
        <v>255</v>
      </c>
      <c r="E169" s="508">
        <v>149</v>
      </c>
      <c r="F169" s="471">
        <f>변경내역서!N329</f>
        <v>0</v>
      </c>
      <c r="G169" s="471">
        <f>변경내역서!G329</f>
        <v>0</v>
      </c>
      <c r="H169" s="472">
        <f>변경내역서!I329</f>
        <v>0</v>
      </c>
      <c r="I169" s="473">
        <f>변경내역서!N328</f>
        <v>28569</v>
      </c>
      <c r="J169" s="513">
        <f>변경내역서!G328</f>
        <v>149</v>
      </c>
      <c r="K169" s="474">
        <f>변경내역서!I328</f>
        <v>499448</v>
      </c>
      <c r="L169" s="475">
        <f t="shared" ref="L169:N179" si="6">I169-F169</f>
        <v>28569</v>
      </c>
      <c r="M169" s="475">
        <f t="shared" si="6"/>
        <v>149</v>
      </c>
      <c r="N169" s="476">
        <f t="shared" si="6"/>
        <v>499448</v>
      </c>
    </row>
    <row r="170" spans="2:14" ht="16.5" customHeight="1">
      <c r="B170" s="468" t="s">
        <v>437</v>
      </c>
      <c r="C170" s="469" t="s">
        <v>438</v>
      </c>
      <c r="D170" s="470" t="s">
        <v>255</v>
      </c>
      <c r="E170" s="508">
        <v>73</v>
      </c>
      <c r="F170" s="471">
        <f>변경내역서!N331</f>
        <v>0</v>
      </c>
      <c r="G170" s="471">
        <f>변경내역서!G331</f>
        <v>0</v>
      </c>
      <c r="H170" s="472">
        <f>변경내역서!I331</f>
        <v>0</v>
      </c>
      <c r="I170" s="473">
        <f>변경내역서!N330</f>
        <v>11532</v>
      </c>
      <c r="J170" s="513">
        <f>변경내역서!G330</f>
        <v>73</v>
      </c>
      <c r="K170" s="474">
        <f>변경내역서!I330</f>
        <v>38544</v>
      </c>
      <c r="L170" s="475">
        <f t="shared" si="6"/>
        <v>11532</v>
      </c>
      <c r="M170" s="475">
        <f t="shared" si="6"/>
        <v>73</v>
      </c>
      <c r="N170" s="476">
        <f t="shared" si="6"/>
        <v>38544</v>
      </c>
    </row>
    <row r="171" spans="2:14" ht="16.5" customHeight="1">
      <c r="B171" s="468" t="s">
        <v>439</v>
      </c>
      <c r="C171" s="469" t="s">
        <v>440</v>
      </c>
      <c r="D171" s="470" t="s">
        <v>291</v>
      </c>
      <c r="E171" s="508">
        <v>11</v>
      </c>
      <c r="F171" s="471">
        <f>변경내역서!N333</f>
        <v>0</v>
      </c>
      <c r="G171" s="471">
        <f>변경내역서!G333</f>
        <v>0</v>
      </c>
      <c r="H171" s="472">
        <f>변경내역서!I333</f>
        <v>0</v>
      </c>
      <c r="I171" s="473">
        <f>변경내역서!N332</f>
        <v>11172</v>
      </c>
      <c r="J171" s="513">
        <f>변경내역서!G332</f>
        <v>11</v>
      </c>
      <c r="K171" s="474">
        <f>변경내역서!I332</f>
        <v>22033</v>
      </c>
      <c r="L171" s="475">
        <f t="shared" si="6"/>
        <v>11172</v>
      </c>
      <c r="M171" s="475">
        <f t="shared" si="6"/>
        <v>11</v>
      </c>
      <c r="N171" s="476">
        <f t="shared" si="6"/>
        <v>22033</v>
      </c>
    </row>
    <row r="172" spans="2:14" ht="16.5" customHeight="1">
      <c r="B172" s="468" t="s">
        <v>441</v>
      </c>
      <c r="C172" s="469" t="s">
        <v>442</v>
      </c>
      <c r="D172" s="470" t="s">
        <v>255</v>
      </c>
      <c r="E172" s="508">
        <v>710</v>
      </c>
      <c r="F172" s="471">
        <f>변경내역서!N335</f>
        <v>0</v>
      </c>
      <c r="G172" s="471">
        <f>변경내역서!G335</f>
        <v>0</v>
      </c>
      <c r="H172" s="472">
        <f>변경내역서!I335</f>
        <v>0</v>
      </c>
      <c r="I172" s="473">
        <f>변경내역서!N334</f>
        <v>2968</v>
      </c>
      <c r="J172" s="513">
        <f>변경내역서!G334</f>
        <v>710</v>
      </c>
      <c r="K172" s="474">
        <f>변경내역서!I334</f>
        <v>479960</v>
      </c>
      <c r="L172" s="475">
        <f t="shared" si="6"/>
        <v>2968</v>
      </c>
      <c r="M172" s="475">
        <f t="shared" si="6"/>
        <v>710</v>
      </c>
      <c r="N172" s="476">
        <f t="shared" si="6"/>
        <v>479960</v>
      </c>
    </row>
    <row r="173" spans="2:14" ht="16.5" customHeight="1">
      <c r="B173" s="468" t="s">
        <v>413</v>
      </c>
      <c r="C173" s="469" t="s">
        <v>443</v>
      </c>
      <c r="D173" s="470" t="s">
        <v>280</v>
      </c>
      <c r="E173" s="508">
        <v>100</v>
      </c>
      <c r="F173" s="471">
        <f>변경내역서!N337</f>
        <v>0</v>
      </c>
      <c r="G173" s="471">
        <f>변경내역서!G337</f>
        <v>0</v>
      </c>
      <c r="H173" s="472">
        <f>변경내역서!I337</f>
        <v>0</v>
      </c>
      <c r="I173" s="473">
        <f>변경내역서!N336</f>
        <v>9767</v>
      </c>
      <c r="J173" s="513">
        <f>변경내역서!G336</f>
        <v>100</v>
      </c>
      <c r="K173" s="474">
        <f>변경내역서!I336</f>
        <v>151400</v>
      </c>
      <c r="L173" s="475">
        <f t="shared" si="6"/>
        <v>9767</v>
      </c>
      <c r="M173" s="475">
        <f t="shared" si="6"/>
        <v>100</v>
      </c>
      <c r="N173" s="476">
        <f t="shared" si="6"/>
        <v>151400</v>
      </c>
    </row>
    <row r="174" spans="2:14" ht="16.5" customHeight="1">
      <c r="B174" s="468"/>
      <c r="C174" s="469"/>
      <c r="D174" s="470"/>
      <c r="E174" s="508"/>
      <c r="F174" s="471">
        <f>변경내역서!N339</f>
        <v>0</v>
      </c>
      <c r="G174" s="471">
        <f>변경내역서!G339</f>
        <v>0</v>
      </c>
      <c r="H174" s="472">
        <f>변경내역서!I339</f>
        <v>0</v>
      </c>
      <c r="I174" s="473">
        <f>변경내역서!N338</f>
        <v>0</v>
      </c>
      <c r="J174" s="513">
        <f>변경내역서!G338</f>
        <v>0</v>
      </c>
      <c r="K174" s="474">
        <f>변경내역서!I338</f>
        <v>0</v>
      </c>
      <c r="L174" s="475">
        <f t="shared" si="6"/>
        <v>0</v>
      </c>
      <c r="M174" s="475">
        <f t="shared" si="6"/>
        <v>0</v>
      </c>
      <c r="N174" s="476">
        <f t="shared" si="6"/>
        <v>0</v>
      </c>
    </row>
    <row r="175" spans="2:14" ht="16.5" customHeight="1">
      <c r="B175" s="468"/>
      <c r="C175" s="469"/>
      <c r="D175" s="470"/>
      <c r="E175" s="508"/>
      <c r="F175" s="471">
        <f>변경내역서!N341</f>
        <v>0</v>
      </c>
      <c r="G175" s="471">
        <f>변경내역서!G341</f>
        <v>0</v>
      </c>
      <c r="H175" s="472">
        <f>변경내역서!I341</f>
        <v>0</v>
      </c>
      <c r="I175" s="473">
        <f>변경내역서!N340</f>
        <v>0</v>
      </c>
      <c r="J175" s="513">
        <f>변경내역서!G340</f>
        <v>0</v>
      </c>
      <c r="K175" s="474">
        <f>변경내역서!I340</f>
        <v>0</v>
      </c>
      <c r="L175" s="475">
        <f t="shared" si="6"/>
        <v>0</v>
      </c>
      <c r="M175" s="475">
        <f t="shared" si="6"/>
        <v>0</v>
      </c>
      <c r="N175" s="476">
        <f t="shared" si="6"/>
        <v>0</v>
      </c>
    </row>
    <row r="176" spans="2:14" ht="16.5" customHeight="1">
      <c r="B176" s="468"/>
      <c r="C176" s="469"/>
      <c r="D176" s="470"/>
      <c r="E176" s="508"/>
      <c r="F176" s="471">
        <f>변경내역서!N343</f>
        <v>0</v>
      </c>
      <c r="G176" s="471">
        <f>변경내역서!G343</f>
        <v>0</v>
      </c>
      <c r="H176" s="472">
        <f>변경내역서!I343</f>
        <v>0</v>
      </c>
      <c r="I176" s="473">
        <f>변경내역서!N342</f>
        <v>0</v>
      </c>
      <c r="J176" s="513">
        <f>변경내역서!G342</f>
        <v>0</v>
      </c>
      <c r="K176" s="474">
        <f>변경내역서!I342</f>
        <v>0</v>
      </c>
      <c r="L176" s="475">
        <f t="shared" si="6"/>
        <v>0</v>
      </c>
      <c r="M176" s="475">
        <f t="shared" si="6"/>
        <v>0</v>
      </c>
      <c r="N176" s="476">
        <f t="shared" si="6"/>
        <v>0</v>
      </c>
    </row>
    <row r="177" spans="2:14" ht="16.5" customHeight="1">
      <c r="B177" s="468"/>
      <c r="C177" s="469"/>
      <c r="D177" s="470"/>
      <c r="E177" s="508"/>
      <c r="F177" s="471">
        <f>변경내역서!N345</f>
        <v>0</v>
      </c>
      <c r="G177" s="471">
        <f>변경내역서!G345</f>
        <v>0</v>
      </c>
      <c r="H177" s="472">
        <f>변경내역서!I345</f>
        <v>0</v>
      </c>
      <c r="I177" s="473">
        <f>변경내역서!N344</f>
        <v>0</v>
      </c>
      <c r="J177" s="513">
        <f>변경내역서!G344</f>
        <v>0</v>
      </c>
      <c r="K177" s="474">
        <f>변경내역서!I344</f>
        <v>0</v>
      </c>
      <c r="L177" s="475">
        <f t="shared" si="6"/>
        <v>0</v>
      </c>
      <c r="M177" s="475">
        <f t="shared" si="6"/>
        <v>0</v>
      </c>
      <c r="N177" s="476">
        <f t="shared" si="6"/>
        <v>0</v>
      </c>
    </row>
    <row r="178" spans="2:14" ht="16.5" customHeight="1">
      <c r="B178" s="468"/>
      <c r="C178" s="469"/>
      <c r="D178" s="470"/>
      <c r="E178" s="508"/>
      <c r="F178" s="471">
        <f>변경내역서!N347</f>
        <v>0</v>
      </c>
      <c r="G178" s="471">
        <f>변경내역서!G347</f>
        <v>0</v>
      </c>
      <c r="H178" s="472">
        <f>변경내역서!I347</f>
        <v>0</v>
      </c>
      <c r="I178" s="473">
        <f>변경내역서!N346</f>
        <v>0</v>
      </c>
      <c r="J178" s="513">
        <f>변경내역서!G346</f>
        <v>0</v>
      </c>
      <c r="K178" s="474">
        <f>변경내역서!I346</f>
        <v>0</v>
      </c>
      <c r="L178" s="475">
        <f t="shared" si="6"/>
        <v>0</v>
      </c>
      <c r="M178" s="475">
        <f t="shared" si="6"/>
        <v>0</v>
      </c>
      <c r="N178" s="476">
        <f t="shared" si="6"/>
        <v>0</v>
      </c>
    </row>
    <row r="179" spans="2:14" ht="16.5" customHeight="1">
      <c r="B179" s="478" t="s">
        <v>216</v>
      </c>
      <c r="C179" s="479"/>
      <c r="D179" s="480"/>
      <c r="E179" s="509"/>
      <c r="F179" s="481">
        <f>변경내역서!N349</f>
        <v>0</v>
      </c>
      <c r="G179" s="481">
        <f>변경내역서!G349</f>
        <v>0</v>
      </c>
      <c r="H179" s="482">
        <f ca="1">변경내역서!I349</f>
        <v>0</v>
      </c>
      <c r="I179" s="483">
        <f>변경내역서!N348</f>
        <v>0</v>
      </c>
      <c r="J179" s="516">
        <f>변경내역서!G348</f>
        <v>0</v>
      </c>
      <c r="K179" s="484">
        <f>변경내역서!I348</f>
        <v>1191385</v>
      </c>
      <c r="L179" s="485">
        <f t="shared" si="6"/>
        <v>0</v>
      </c>
      <c r="M179" s="485">
        <f t="shared" si="6"/>
        <v>0</v>
      </c>
      <c r="N179" s="486">
        <f t="shared" ca="1" si="6"/>
        <v>1191385</v>
      </c>
    </row>
    <row r="180" spans="2:14" ht="16.5" customHeight="1">
      <c r="B180" s="468"/>
      <c r="C180" s="469"/>
      <c r="D180" s="470"/>
      <c r="E180" s="508"/>
      <c r="F180" s="471"/>
      <c r="G180" s="471"/>
      <c r="H180" s="472"/>
      <c r="I180" s="473"/>
      <c r="J180" s="513"/>
      <c r="K180" s="474"/>
      <c r="L180" s="475"/>
      <c r="M180" s="475"/>
      <c r="N180" s="476"/>
    </row>
    <row r="181" spans="2:14" ht="16.5" customHeight="1">
      <c r="B181" s="468" t="s">
        <v>444</v>
      </c>
      <c r="C181" s="469" t="s">
        <v>436</v>
      </c>
      <c r="D181" s="470" t="s">
        <v>255</v>
      </c>
      <c r="E181" s="508">
        <v>407</v>
      </c>
      <c r="F181" s="471">
        <f>변경내역서!N351</f>
        <v>33329</v>
      </c>
      <c r="G181" s="471">
        <f>변경내역서!G351</f>
        <v>407</v>
      </c>
      <c r="H181" s="472">
        <f>변경내역서!I351</f>
        <v>1248676</v>
      </c>
      <c r="I181" s="473">
        <f>변경내역서!N350</f>
        <v>0</v>
      </c>
      <c r="J181" s="513">
        <f>변경내역서!G350</f>
        <v>0</v>
      </c>
      <c r="K181" s="474">
        <f>변경내역서!I350</f>
        <v>0</v>
      </c>
      <c r="L181" s="475">
        <f t="shared" ref="L181:N212" si="7">I181-F181</f>
        <v>-33329</v>
      </c>
      <c r="M181" s="475">
        <f t="shared" si="7"/>
        <v>-407</v>
      </c>
      <c r="N181" s="476">
        <f t="shared" si="7"/>
        <v>-1248676</v>
      </c>
    </row>
    <row r="182" spans="2:14" ht="16.5" customHeight="1">
      <c r="B182" s="468" t="s">
        <v>437</v>
      </c>
      <c r="C182" s="469" t="s">
        <v>438</v>
      </c>
      <c r="D182" s="470" t="s">
        <v>255</v>
      </c>
      <c r="E182" s="508">
        <v>153</v>
      </c>
      <c r="F182" s="471">
        <f>변경내역서!N353</f>
        <v>11532</v>
      </c>
      <c r="G182" s="471">
        <f>변경내역서!G353</f>
        <v>153</v>
      </c>
      <c r="H182" s="472">
        <f>변경내역서!I353</f>
        <v>80784</v>
      </c>
      <c r="I182" s="473">
        <f>변경내역서!N352</f>
        <v>0</v>
      </c>
      <c r="J182" s="513">
        <f>변경내역서!G352</f>
        <v>0</v>
      </c>
      <c r="K182" s="474">
        <f>변경내역서!I352</f>
        <v>0</v>
      </c>
      <c r="L182" s="475">
        <f t="shared" si="7"/>
        <v>-11532</v>
      </c>
      <c r="M182" s="475">
        <f t="shared" si="7"/>
        <v>-153</v>
      </c>
      <c r="N182" s="476">
        <f t="shared" si="7"/>
        <v>-80784</v>
      </c>
    </row>
    <row r="183" spans="2:14" ht="16.5" customHeight="1">
      <c r="B183" s="468" t="s">
        <v>437</v>
      </c>
      <c r="C183" s="469" t="s">
        <v>445</v>
      </c>
      <c r="D183" s="470" t="s">
        <v>255</v>
      </c>
      <c r="E183" s="508">
        <v>3</v>
      </c>
      <c r="F183" s="471">
        <f>변경내역서!N355</f>
        <v>15347</v>
      </c>
      <c r="G183" s="471">
        <f>변경내역서!G355</f>
        <v>3</v>
      </c>
      <c r="H183" s="472">
        <f>변경내역서!I355</f>
        <v>2028</v>
      </c>
      <c r="I183" s="473">
        <f>변경내역서!N354</f>
        <v>0</v>
      </c>
      <c r="J183" s="513">
        <f>변경내역서!G354</f>
        <v>0</v>
      </c>
      <c r="K183" s="474">
        <f>변경내역서!I354</f>
        <v>0</v>
      </c>
      <c r="L183" s="475">
        <f t="shared" si="7"/>
        <v>-15347</v>
      </c>
      <c r="M183" s="475">
        <f t="shared" si="7"/>
        <v>-3</v>
      </c>
      <c r="N183" s="476">
        <f t="shared" si="7"/>
        <v>-2028</v>
      </c>
    </row>
    <row r="184" spans="2:14" ht="16.5" customHeight="1">
      <c r="B184" s="468" t="s">
        <v>446</v>
      </c>
      <c r="C184" s="469" t="s">
        <v>447</v>
      </c>
      <c r="D184" s="470" t="s">
        <v>255</v>
      </c>
      <c r="E184" s="508">
        <v>33</v>
      </c>
      <c r="F184" s="488">
        <f>변경내역서!N357</f>
        <v>10660</v>
      </c>
      <c r="G184" s="471">
        <f>변경내역서!G357</f>
        <v>33</v>
      </c>
      <c r="H184" s="472">
        <f>변경내역서!I357</f>
        <v>18942</v>
      </c>
      <c r="I184" s="473">
        <f>변경내역서!N356</f>
        <v>0</v>
      </c>
      <c r="J184" s="513">
        <f>변경내역서!G356</f>
        <v>0</v>
      </c>
      <c r="K184" s="474">
        <f>변경내역서!I356</f>
        <v>0</v>
      </c>
      <c r="L184" s="475">
        <f t="shared" si="7"/>
        <v>-10660</v>
      </c>
      <c r="M184" s="475">
        <f t="shared" si="7"/>
        <v>-33</v>
      </c>
      <c r="N184" s="476">
        <f t="shared" si="7"/>
        <v>-18942</v>
      </c>
    </row>
    <row r="185" spans="2:14" ht="16.5" customHeight="1">
      <c r="B185" s="468" t="s">
        <v>448</v>
      </c>
      <c r="C185" s="469" t="s">
        <v>449</v>
      </c>
      <c r="D185" s="470" t="s">
        <v>265</v>
      </c>
      <c r="E185" s="508">
        <v>45</v>
      </c>
      <c r="F185" s="471">
        <f>변경내역서!N359</f>
        <v>28553</v>
      </c>
      <c r="G185" s="471">
        <f>변경내역서!G359</f>
        <v>45</v>
      </c>
      <c r="H185" s="472">
        <f>변경내역서!I359</f>
        <v>46935</v>
      </c>
      <c r="I185" s="473">
        <f>변경내역서!N358</f>
        <v>0</v>
      </c>
      <c r="J185" s="513">
        <f>변경내역서!G358</f>
        <v>0</v>
      </c>
      <c r="K185" s="474">
        <f>변경내역서!I358</f>
        <v>0</v>
      </c>
      <c r="L185" s="475">
        <f t="shared" si="7"/>
        <v>-28553</v>
      </c>
      <c r="M185" s="475">
        <f t="shared" si="7"/>
        <v>-45</v>
      </c>
      <c r="N185" s="476">
        <f t="shared" si="7"/>
        <v>-46935</v>
      </c>
    </row>
    <row r="186" spans="2:14" ht="16.5" customHeight="1">
      <c r="B186" s="468" t="s">
        <v>448</v>
      </c>
      <c r="C186" s="469" t="s">
        <v>450</v>
      </c>
      <c r="D186" s="470" t="s">
        <v>265</v>
      </c>
      <c r="E186" s="508">
        <v>11</v>
      </c>
      <c r="F186" s="471">
        <f>변경내역서!N361</f>
        <v>28777</v>
      </c>
      <c r="G186" s="471">
        <f>변경내역서!G361</f>
        <v>11</v>
      </c>
      <c r="H186" s="472">
        <f>변경내역서!I361</f>
        <v>13937</v>
      </c>
      <c r="I186" s="473">
        <f>변경내역서!N360</f>
        <v>0</v>
      </c>
      <c r="J186" s="513">
        <f>변경내역서!G360</f>
        <v>0</v>
      </c>
      <c r="K186" s="474">
        <f>변경내역서!I360</f>
        <v>0</v>
      </c>
      <c r="L186" s="475">
        <f t="shared" si="7"/>
        <v>-28777</v>
      </c>
      <c r="M186" s="475">
        <f t="shared" si="7"/>
        <v>-11</v>
      </c>
      <c r="N186" s="476">
        <f t="shared" si="7"/>
        <v>-13937</v>
      </c>
    </row>
    <row r="187" spans="2:14" ht="16.5" customHeight="1">
      <c r="B187" s="468" t="s">
        <v>451</v>
      </c>
      <c r="C187" s="469" t="s">
        <v>452</v>
      </c>
      <c r="D187" s="470" t="s">
        <v>265</v>
      </c>
      <c r="E187" s="508">
        <v>12</v>
      </c>
      <c r="F187" s="471">
        <f>변경내역서!N363</f>
        <v>47282</v>
      </c>
      <c r="G187" s="471">
        <f>변경내역서!G363</f>
        <v>12</v>
      </c>
      <c r="H187" s="472">
        <f>변경내역서!I363</f>
        <v>17184</v>
      </c>
      <c r="I187" s="473">
        <f>변경내역서!N362</f>
        <v>0</v>
      </c>
      <c r="J187" s="513">
        <f>변경내역서!G362</f>
        <v>0</v>
      </c>
      <c r="K187" s="474">
        <f>변경내역서!I362</f>
        <v>0</v>
      </c>
      <c r="L187" s="475">
        <f t="shared" si="7"/>
        <v>-47282</v>
      </c>
      <c r="M187" s="475">
        <f t="shared" si="7"/>
        <v>-12</v>
      </c>
      <c r="N187" s="476">
        <f t="shared" si="7"/>
        <v>-17184</v>
      </c>
    </row>
    <row r="188" spans="2:14" ht="16.5" customHeight="1">
      <c r="B188" s="468" t="s">
        <v>451</v>
      </c>
      <c r="C188" s="469" t="s">
        <v>453</v>
      </c>
      <c r="D188" s="470" t="s">
        <v>265</v>
      </c>
      <c r="E188" s="508">
        <v>18</v>
      </c>
      <c r="F188" s="471">
        <f>변경내역서!N365</f>
        <v>47302</v>
      </c>
      <c r="G188" s="471">
        <f>변경내역서!G365</f>
        <v>18</v>
      </c>
      <c r="H188" s="472">
        <f>변경내역서!I365</f>
        <v>26136</v>
      </c>
      <c r="I188" s="473">
        <f>변경내역서!N364</f>
        <v>0</v>
      </c>
      <c r="J188" s="513">
        <f>변경내역서!G364</f>
        <v>0</v>
      </c>
      <c r="K188" s="474">
        <f>변경내역서!I364</f>
        <v>0</v>
      </c>
      <c r="L188" s="475">
        <f t="shared" si="7"/>
        <v>-47302</v>
      </c>
      <c r="M188" s="475">
        <f t="shared" si="7"/>
        <v>-18</v>
      </c>
      <c r="N188" s="476">
        <f t="shared" si="7"/>
        <v>-26136</v>
      </c>
    </row>
    <row r="189" spans="2:14" ht="16.5" customHeight="1">
      <c r="B189" s="468" t="s">
        <v>454</v>
      </c>
      <c r="C189" s="469" t="s">
        <v>455</v>
      </c>
      <c r="D189" s="470" t="s">
        <v>265</v>
      </c>
      <c r="E189" s="508">
        <v>45</v>
      </c>
      <c r="F189" s="471">
        <f>변경내역서!N367</f>
        <v>249</v>
      </c>
      <c r="G189" s="471">
        <f>변경내역서!G367</f>
        <v>45</v>
      </c>
      <c r="H189" s="472">
        <f>변경내역서!I367</f>
        <v>11205</v>
      </c>
      <c r="I189" s="473">
        <f>변경내역서!N366</f>
        <v>0</v>
      </c>
      <c r="J189" s="513">
        <f>변경내역서!G366</f>
        <v>0</v>
      </c>
      <c r="K189" s="474">
        <f>변경내역서!I366</f>
        <v>0</v>
      </c>
      <c r="L189" s="475">
        <f t="shared" si="7"/>
        <v>-249</v>
      </c>
      <c r="M189" s="475">
        <f t="shared" si="7"/>
        <v>-45</v>
      </c>
      <c r="N189" s="476">
        <f t="shared" si="7"/>
        <v>-11205</v>
      </c>
    </row>
    <row r="190" spans="2:14" ht="16.5" customHeight="1">
      <c r="B190" s="468" t="s">
        <v>454</v>
      </c>
      <c r="C190" s="469" t="s">
        <v>456</v>
      </c>
      <c r="D190" s="470" t="s">
        <v>265</v>
      </c>
      <c r="E190" s="508">
        <v>11</v>
      </c>
      <c r="F190" s="471">
        <f>변경내역서!N369</f>
        <v>253</v>
      </c>
      <c r="G190" s="471">
        <f>변경내역서!G369</f>
        <v>11</v>
      </c>
      <c r="H190" s="472">
        <f>변경내역서!I369</f>
        <v>2783</v>
      </c>
      <c r="I190" s="473">
        <f>변경내역서!N368</f>
        <v>0</v>
      </c>
      <c r="J190" s="513">
        <f>변경내역서!G368</f>
        <v>0</v>
      </c>
      <c r="K190" s="474">
        <f>변경내역서!I368</f>
        <v>0</v>
      </c>
      <c r="L190" s="475">
        <f t="shared" si="7"/>
        <v>-253</v>
      </c>
      <c r="M190" s="475">
        <f t="shared" si="7"/>
        <v>-11</v>
      </c>
      <c r="N190" s="476">
        <f t="shared" si="7"/>
        <v>-2783</v>
      </c>
    </row>
    <row r="191" spans="2:14" ht="16.5" customHeight="1">
      <c r="B191" s="468" t="s">
        <v>454</v>
      </c>
      <c r="C191" s="469" t="s">
        <v>457</v>
      </c>
      <c r="D191" s="470" t="s">
        <v>265</v>
      </c>
      <c r="E191" s="508">
        <v>18</v>
      </c>
      <c r="F191" s="471">
        <f>변경내역서!N371</f>
        <v>250</v>
      </c>
      <c r="G191" s="471">
        <f>변경내역서!G371</f>
        <v>18</v>
      </c>
      <c r="H191" s="472">
        <f>변경내역서!I371</f>
        <v>4500</v>
      </c>
      <c r="I191" s="473">
        <f>변경내역서!N370</f>
        <v>0</v>
      </c>
      <c r="J191" s="513">
        <f>변경내역서!G370</f>
        <v>0</v>
      </c>
      <c r="K191" s="474">
        <f>변경내역서!I370</f>
        <v>0</v>
      </c>
      <c r="L191" s="475">
        <f t="shared" si="7"/>
        <v>-250</v>
      </c>
      <c r="M191" s="475">
        <f t="shared" si="7"/>
        <v>-18</v>
      </c>
      <c r="N191" s="476">
        <f t="shared" si="7"/>
        <v>-4500</v>
      </c>
    </row>
    <row r="192" spans="2:14" ht="16.5" customHeight="1">
      <c r="B192" s="468" t="s">
        <v>439</v>
      </c>
      <c r="C192" s="469" t="s">
        <v>440</v>
      </c>
      <c r="D192" s="470" t="s">
        <v>291</v>
      </c>
      <c r="E192" s="508">
        <v>26</v>
      </c>
      <c r="F192" s="471">
        <f>변경내역서!N373</f>
        <v>11172</v>
      </c>
      <c r="G192" s="471">
        <f>변경내역서!G373</f>
        <v>26</v>
      </c>
      <c r="H192" s="472">
        <f>변경내역서!I373</f>
        <v>52078</v>
      </c>
      <c r="I192" s="473">
        <f>변경내역서!N372</f>
        <v>0</v>
      </c>
      <c r="J192" s="513">
        <f>변경내역서!G372</f>
        <v>0</v>
      </c>
      <c r="K192" s="474">
        <f>변경내역서!I372</f>
        <v>0</v>
      </c>
      <c r="L192" s="475">
        <f t="shared" si="7"/>
        <v>-11172</v>
      </c>
      <c r="M192" s="475">
        <f t="shared" si="7"/>
        <v>-26</v>
      </c>
      <c r="N192" s="476">
        <f t="shared" si="7"/>
        <v>-52078</v>
      </c>
    </row>
    <row r="193" spans="2:14" ht="16.5" customHeight="1">
      <c r="B193" s="468" t="s">
        <v>441</v>
      </c>
      <c r="C193" s="469" t="s">
        <v>458</v>
      </c>
      <c r="D193" s="470" t="s">
        <v>255</v>
      </c>
      <c r="E193" s="508">
        <v>1943</v>
      </c>
      <c r="F193" s="471">
        <f>변경내역서!N375</f>
        <v>2747</v>
      </c>
      <c r="G193" s="471">
        <f>변경내역서!G375</f>
        <v>1943</v>
      </c>
      <c r="H193" s="472">
        <f>변경내역서!I375</f>
        <v>884065</v>
      </c>
      <c r="I193" s="473">
        <f>변경내역서!N374</f>
        <v>0</v>
      </c>
      <c r="J193" s="513">
        <f>변경내역서!G374</f>
        <v>0</v>
      </c>
      <c r="K193" s="474">
        <f>변경내역서!I374</f>
        <v>0</v>
      </c>
      <c r="L193" s="475">
        <f t="shared" si="7"/>
        <v>-2747</v>
      </c>
      <c r="M193" s="475">
        <f t="shared" si="7"/>
        <v>-1943</v>
      </c>
      <c r="N193" s="476">
        <f t="shared" si="7"/>
        <v>-884065</v>
      </c>
    </row>
    <row r="194" spans="2:14" ht="16.5" customHeight="1">
      <c r="B194" s="468" t="s">
        <v>459</v>
      </c>
      <c r="C194" s="469" t="s">
        <v>460</v>
      </c>
      <c r="D194" s="470" t="s">
        <v>265</v>
      </c>
      <c r="E194" s="508">
        <v>4</v>
      </c>
      <c r="F194" s="471">
        <f>변경내역서!N377</f>
        <v>21353</v>
      </c>
      <c r="G194" s="471">
        <f>변경내역서!G377</f>
        <v>4</v>
      </c>
      <c r="H194" s="472">
        <f>변경내역서!I377</f>
        <v>7472</v>
      </c>
      <c r="I194" s="473">
        <f>변경내역서!N376</f>
        <v>0</v>
      </c>
      <c r="J194" s="513">
        <f>변경내역서!G376</f>
        <v>0</v>
      </c>
      <c r="K194" s="474">
        <f>변경내역서!I376</f>
        <v>0</v>
      </c>
      <c r="L194" s="475">
        <f t="shared" si="7"/>
        <v>-21353</v>
      </c>
      <c r="M194" s="475">
        <f t="shared" si="7"/>
        <v>-4</v>
      </c>
      <c r="N194" s="476">
        <f t="shared" si="7"/>
        <v>-7472</v>
      </c>
    </row>
    <row r="195" spans="2:14" ht="16.5" customHeight="1">
      <c r="B195" s="468" t="s">
        <v>459</v>
      </c>
      <c r="C195" s="469" t="s">
        <v>461</v>
      </c>
      <c r="D195" s="470" t="s">
        <v>265</v>
      </c>
      <c r="E195" s="508">
        <v>6</v>
      </c>
      <c r="F195" s="471">
        <f>변경내역서!N379</f>
        <v>22070</v>
      </c>
      <c r="G195" s="471">
        <f>변경내역서!G379</f>
        <v>6</v>
      </c>
      <c r="H195" s="472">
        <f>변경내역서!I379</f>
        <v>15510</v>
      </c>
      <c r="I195" s="473">
        <f>변경내역서!N378</f>
        <v>0</v>
      </c>
      <c r="J195" s="513">
        <f>변경내역서!G378</f>
        <v>0</v>
      </c>
      <c r="K195" s="474">
        <f>변경내역서!I378</f>
        <v>0</v>
      </c>
      <c r="L195" s="475">
        <f t="shared" si="7"/>
        <v>-22070</v>
      </c>
      <c r="M195" s="475">
        <f t="shared" si="7"/>
        <v>-6</v>
      </c>
      <c r="N195" s="476">
        <f t="shared" si="7"/>
        <v>-15510</v>
      </c>
    </row>
    <row r="196" spans="2:14" ht="16.5" customHeight="1">
      <c r="B196" s="468" t="s">
        <v>459</v>
      </c>
      <c r="C196" s="469" t="s">
        <v>462</v>
      </c>
      <c r="D196" s="470" t="s">
        <v>265</v>
      </c>
      <c r="E196" s="508">
        <v>2</v>
      </c>
      <c r="F196" s="471">
        <f>변경내역서!N381</f>
        <v>22707</v>
      </c>
      <c r="G196" s="471">
        <f>변경내역서!G381</f>
        <v>2</v>
      </c>
      <c r="H196" s="472">
        <f>변경내역서!I381</f>
        <v>6444</v>
      </c>
      <c r="I196" s="473">
        <f>변경내역서!N380</f>
        <v>0</v>
      </c>
      <c r="J196" s="513">
        <f>변경내역서!G380</f>
        <v>0</v>
      </c>
      <c r="K196" s="474">
        <f>변경내역서!I380</f>
        <v>0</v>
      </c>
      <c r="L196" s="475">
        <f t="shared" si="7"/>
        <v>-22707</v>
      </c>
      <c r="M196" s="475">
        <f t="shared" si="7"/>
        <v>-2</v>
      </c>
      <c r="N196" s="476">
        <f t="shared" si="7"/>
        <v>-6444</v>
      </c>
    </row>
    <row r="197" spans="2:14" ht="16.5" customHeight="1">
      <c r="B197" s="468" t="s">
        <v>463</v>
      </c>
      <c r="C197" s="469" t="s">
        <v>464</v>
      </c>
      <c r="D197" s="470" t="s">
        <v>280</v>
      </c>
      <c r="E197" s="508">
        <v>16</v>
      </c>
      <c r="F197" s="471">
        <f>변경내역서!N383</f>
        <v>23381</v>
      </c>
      <c r="G197" s="471">
        <f>변경내역서!G383</f>
        <v>16</v>
      </c>
      <c r="H197" s="472">
        <f>변경내역서!I383</f>
        <v>7312</v>
      </c>
      <c r="I197" s="473">
        <f>변경내역서!N382</f>
        <v>0</v>
      </c>
      <c r="J197" s="513">
        <f>변경내역서!G382</f>
        <v>0</v>
      </c>
      <c r="K197" s="474">
        <f>변경내역서!I382</f>
        <v>0</v>
      </c>
      <c r="L197" s="475">
        <f t="shared" si="7"/>
        <v>-23381</v>
      </c>
      <c r="M197" s="475">
        <f t="shared" si="7"/>
        <v>-16</v>
      </c>
      <c r="N197" s="476">
        <f t="shared" si="7"/>
        <v>-7312</v>
      </c>
    </row>
    <row r="198" spans="2:14" ht="16.5" customHeight="1">
      <c r="B198" s="468" t="s">
        <v>283</v>
      </c>
      <c r="C198" s="469" t="s">
        <v>284</v>
      </c>
      <c r="D198" s="470" t="s">
        <v>280</v>
      </c>
      <c r="E198" s="508">
        <v>8</v>
      </c>
      <c r="F198" s="471">
        <f>변경내역서!N385</f>
        <v>129186</v>
      </c>
      <c r="G198" s="471">
        <f>변경내역서!G385</f>
        <v>8</v>
      </c>
      <c r="H198" s="472">
        <f>변경내역서!I385</f>
        <v>727072</v>
      </c>
      <c r="I198" s="473">
        <f>변경내역서!N384</f>
        <v>0</v>
      </c>
      <c r="J198" s="513">
        <f>변경내역서!G384</f>
        <v>0</v>
      </c>
      <c r="K198" s="474">
        <f>변경내역서!I384</f>
        <v>0</v>
      </c>
      <c r="L198" s="475">
        <f t="shared" si="7"/>
        <v>-129186</v>
      </c>
      <c r="M198" s="475">
        <f t="shared" si="7"/>
        <v>-8</v>
      </c>
      <c r="N198" s="476">
        <f t="shared" si="7"/>
        <v>-727072</v>
      </c>
    </row>
    <row r="199" spans="2:14" ht="16.5" customHeight="1">
      <c r="B199" s="468" t="s">
        <v>465</v>
      </c>
      <c r="C199" s="469" t="s">
        <v>466</v>
      </c>
      <c r="D199" s="470" t="s">
        <v>294</v>
      </c>
      <c r="E199" s="508">
        <v>6</v>
      </c>
      <c r="F199" s="471">
        <f>변경내역서!N387</f>
        <v>55347</v>
      </c>
      <c r="G199" s="471">
        <f>변경내역서!G387</f>
        <v>6</v>
      </c>
      <c r="H199" s="472">
        <f>변경내역서!I387</f>
        <v>6504</v>
      </c>
      <c r="I199" s="473">
        <f>변경내역서!N386</f>
        <v>0</v>
      </c>
      <c r="J199" s="513">
        <f>변경내역서!G386</f>
        <v>0</v>
      </c>
      <c r="K199" s="474">
        <f>변경내역서!I386</f>
        <v>0</v>
      </c>
      <c r="L199" s="475">
        <f t="shared" si="7"/>
        <v>-55347</v>
      </c>
      <c r="M199" s="475">
        <f t="shared" si="7"/>
        <v>-6</v>
      </c>
      <c r="N199" s="476">
        <f t="shared" si="7"/>
        <v>-6504</v>
      </c>
    </row>
    <row r="200" spans="2:14" ht="16.5" customHeight="1">
      <c r="B200" s="468" t="s">
        <v>467</v>
      </c>
      <c r="C200" s="469" t="s">
        <v>468</v>
      </c>
      <c r="D200" s="470" t="s">
        <v>294</v>
      </c>
      <c r="E200" s="508">
        <v>4</v>
      </c>
      <c r="F200" s="471">
        <f>변경내역서!N389</f>
        <v>46508</v>
      </c>
      <c r="G200" s="471">
        <f>변경내역서!G389</f>
        <v>4</v>
      </c>
      <c r="H200" s="472">
        <f>변경내역서!I389</f>
        <v>3644</v>
      </c>
      <c r="I200" s="473">
        <f>변경내역서!N388</f>
        <v>0</v>
      </c>
      <c r="J200" s="513">
        <f>변경내역서!G388</f>
        <v>0</v>
      </c>
      <c r="K200" s="474">
        <f>변경내역서!I388</f>
        <v>0</v>
      </c>
      <c r="L200" s="475">
        <f t="shared" si="7"/>
        <v>-46508</v>
      </c>
      <c r="M200" s="475">
        <f t="shared" si="7"/>
        <v>-4</v>
      </c>
      <c r="N200" s="476">
        <f t="shared" si="7"/>
        <v>-3644</v>
      </c>
    </row>
    <row r="201" spans="2:14" ht="16.5" customHeight="1">
      <c r="B201" s="468" t="s">
        <v>469</v>
      </c>
      <c r="C201" s="469" t="s">
        <v>470</v>
      </c>
      <c r="D201" s="470" t="s">
        <v>294</v>
      </c>
      <c r="E201" s="508">
        <v>24</v>
      </c>
      <c r="F201" s="471">
        <f>변경내역서!N391</f>
        <v>62900</v>
      </c>
      <c r="G201" s="471">
        <f>변경내역서!G391</f>
        <v>24</v>
      </c>
      <c r="H201" s="472">
        <f>변경내역서!I391</f>
        <v>29568</v>
      </c>
      <c r="I201" s="473">
        <f>변경내역서!N390</f>
        <v>0</v>
      </c>
      <c r="J201" s="513">
        <f>변경내역서!G390</f>
        <v>0</v>
      </c>
      <c r="K201" s="474">
        <f>변경내역서!I390</f>
        <v>0</v>
      </c>
      <c r="L201" s="475">
        <f t="shared" si="7"/>
        <v>-62900</v>
      </c>
      <c r="M201" s="475">
        <f t="shared" si="7"/>
        <v>-24</v>
      </c>
      <c r="N201" s="476">
        <f t="shared" si="7"/>
        <v>-29568</v>
      </c>
    </row>
    <row r="202" spans="2:14" ht="16.5" customHeight="1">
      <c r="B202" s="468" t="s">
        <v>471</v>
      </c>
      <c r="C202" s="469" t="s">
        <v>472</v>
      </c>
      <c r="D202" s="470" t="s">
        <v>294</v>
      </c>
      <c r="E202" s="508">
        <v>18</v>
      </c>
      <c r="F202" s="471">
        <f>변경내역서!N393</f>
        <v>35074</v>
      </c>
      <c r="G202" s="471">
        <f>변경내역서!G393</f>
        <v>18</v>
      </c>
      <c r="H202" s="472">
        <f>변경내역서!I393</f>
        <v>12366</v>
      </c>
      <c r="I202" s="473">
        <f>변경내역서!N392</f>
        <v>0</v>
      </c>
      <c r="J202" s="513">
        <f>변경내역서!G392</f>
        <v>0</v>
      </c>
      <c r="K202" s="474">
        <f>변경내역서!I392</f>
        <v>0</v>
      </c>
      <c r="L202" s="475">
        <f t="shared" si="7"/>
        <v>-35074</v>
      </c>
      <c r="M202" s="475">
        <f t="shared" si="7"/>
        <v>-18</v>
      </c>
      <c r="N202" s="476">
        <f t="shared" si="7"/>
        <v>-12366</v>
      </c>
    </row>
    <row r="203" spans="2:14" ht="16.5" customHeight="1">
      <c r="B203" s="468" t="s">
        <v>473</v>
      </c>
      <c r="C203" s="469" t="s">
        <v>474</v>
      </c>
      <c r="D203" s="470" t="s">
        <v>294</v>
      </c>
      <c r="E203" s="508">
        <v>16</v>
      </c>
      <c r="F203" s="471">
        <f>변경내역서!N395</f>
        <v>32618</v>
      </c>
      <c r="G203" s="471">
        <f>변경내역서!G395</f>
        <v>16</v>
      </c>
      <c r="H203" s="472">
        <f>변경내역서!I395</f>
        <v>10224</v>
      </c>
      <c r="I203" s="473">
        <f>변경내역서!N394</f>
        <v>0</v>
      </c>
      <c r="J203" s="513">
        <f>변경내역서!G394</f>
        <v>0</v>
      </c>
      <c r="K203" s="474">
        <f>변경내역서!I394</f>
        <v>0</v>
      </c>
      <c r="L203" s="475">
        <f t="shared" si="7"/>
        <v>-32618</v>
      </c>
      <c r="M203" s="475">
        <f t="shared" si="7"/>
        <v>-16</v>
      </c>
      <c r="N203" s="476">
        <f t="shared" si="7"/>
        <v>-10224</v>
      </c>
    </row>
    <row r="204" spans="2:14" ht="16.5" customHeight="1">
      <c r="B204" s="468" t="s">
        <v>475</v>
      </c>
      <c r="C204" s="469" t="s">
        <v>476</v>
      </c>
      <c r="D204" s="470" t="s">
        <v>294</v>
      </c>
      <c r="E204" s="508">
        <v>6</v>
      </c>
      <c r="F204" s="471">
        <f>변경내역서!N397</f>
        <v>24621</v>
      </c>
      <c r="G204" s="471">
        <f>변경내역서!G397</f>
        <v>6</v>
      </c>
      <c r="H204" s="472">
        <f>변경내역서!I397</f>
        <v>2892</v>
      </c>
      <c r="I204" s="473">
        <f>변경내역서!N396</f>
        <v>0</v>
      </c>
      <c r="J204" s="513">
        <f>변경내역서!G396</f>
        <v>0</v>
      </c>
      <c r="K204" s="474">
        <f>변경내역서!I396</f>
        <v>0</v>
      </c>
      <c r="L204" s="475">
        <f t="shared" si="7"/>
        <v>-24621</v>
      </c>
      <c r="M204" s="475">
        <f t="shared" si="7"/>
        <v>-6</v>
      </c>
      <c r="N204" s="476">
        <f t="shared" si="7"/>
        <v>-2892</v>
      </c>
    </row>
    <row r="205" spans="2:14" ht="16.5" customHeight="1">
      <c r="B205" s="468" t="s">
        <v>295</v>
      </c>
      <c r="C205" s="469" t="s">
        <v>296</v>
      </c>
      <c r="D205" s="470" t="s">
        <v>294</v>
      </c>
      <c r="E205" s="508">
        <v>8</v>
      </c>
      <c r="F205" s="471">
        <f>변경내역서!N399</f>
        <v>36932</v>
      </c>
      <c r="G205" s="471">
        <f>변경내역서!G399</f>
        <v>8</v>
      </c>
      <c r="H205" s="472">
        <f>변경내역서!I399</f>
        <v>5784</v>
      </c>
      <c r="I205" s="473">
        <f>변경내역서!N398</f>
        <v>0</v>
      </c>
      <c r="J205" s="513">
        <f>변경내역서!G398</f>
        <v>0</v>
      </c>
      <c r="K205" s="474">
        <f>변경내역서!I398</f>
        <v>0</v>
      </c>
      <c r="L205" s="475">
        <f t="shared" si="7"/>
        <v>-36932</v>
      </c>
      <c r="M205" s="475">
        <f t="shared" si="7"/>
        <v>-8</v>
      </c>
      <c r="N205" s="476">
        <f t="shared" si="7"/>
        <v>-5784</v>
      </c>
    </row>
    <row r="206" spans="2:14" ht="16.5" customHeight="1">
      <c r="B206" s="468" t="s">
        <v>477</v>
      </c>
      <c r="C206" s="469" t="s">
        <v>478</v>
      </c>
      <c r="D206" s="470" t="s">
        <v>255</v>
      </c>
      <c r="E206" s="508"/>
      <c r="F206" s="471">
        <f>변경내역서!N401</f>
        <v>0</v>
      </c>
      <c r="G206" s="471">
        <f>변경내역서!G401</f>
        <v>0</v>
      </c>
      <c r="H206" s="472">
        <f>변경내역서!I401</f>
        <v>0</v>
      </c>
      <c r="I206" s="473">
        <f>변경내역서!N400</f>
        <v>0</v>
      </c>
      <c r="J206" s="513">
        <f>변경내역서!G400</f>
        <v>0</v>
      </c>
      <c r="K206" s="474">
        <f>변경내역서!I400</f>
        <v>0</v>
      </c>
      <c r="L206" s="475">
        <f t="shared" si="7"/>
        <v>0</v>
      </c>
      <c r="M206" s="475">
        <f t="shared" si="7"/>
        <v>0</v>
      </c>
      <c r="N206" s="476">
        <f t="shared" si="7"/>
        <v>0</v>
      </c>
    </row>
    <row r="207" spans="2:14" ht="16.5" customHeight="1">
      <c r="B207" s="468" t="s">
        <v>446</v>
      </c>
      <c r="C207" s="469" t="s">
        <v>479</v>
      </c>
      <c r="D207" s="470" t="s">
        <v>255</v>
      </c>
      <c r="E207" s="508">
        <v>451.7</v>
      </c>
      <c r="F207" s="471">
        <f>변경내역서!N403</f>
        <v>0</v>
      </c>
      <c r="G207" s="471">
        <f>변경내역서!G403</f>
        <v>0</v>
      </c>
      <c r="H207" s="472">
        <f>변경내역서!I403</f>
        <v>0</v>
      </c>
      <c r="I207" s="473">
        <f>변경내역서!N402</f>
        <v>9915</v>
      </c>
      <c r="J207" s="514">
        <f>변경내역서!G402</f>
        <v>451.7</v>
      </c>
      <c r="K207" s="474">
        <f>변경내역서!I402</f>
        <v>233077</v>
      </c>
      <c r="L207" s="475">
        <f t="shared" si="7"/>
        <v>9915</v>
      </c>
      <c r="M207" s="475">
        <f t="shared" si="7"/>
        <v>451.7</v>
      </c>
      <c r="N207" s="476">
        <f t="shared" si="7"/>
        <v>233077</v>
      </c>
    </row>
    <row r="208" spans="2:14" ht="16.5" customHeight="1">
      <c r="B208" s="468" t="s">
        <v>446</v>
      </c>
      <c r="C208" s="469" t="s">
        <v>480</v>
      </c>
      <c r="D208" s="470" t="s">
        <v>265</v>
      </c>
      <c r="E208" s="508">
        <v>45.3</v>
      </c>
      <c r="F208" s="471">
        <f>변경내역서!N405</f>
        <v>0</v>
      </c>
      <c r="G208" s="471">
        <f>변경내역서!G405</f>
        <v>0</v>
      </c>
      <c r="H208" s="472">
        <f>변경내역서!I405</f>
        <v>0</v>
      </c>
      <c r="I208" s="473">
        <f>변경내역서!N404</f>
        <v>12041</v>
      </c>
      <c r="J208" s="514">
        <f>변경내역서!G404</f>
        <v>45.3</v>
      </c>
      <c r="K208" s="474">
        <f>변경내역서!I404</f>
        <v>29399</v>
      </c>
      <c r="L208" s="475">
        <f t="shared" si="7"/>
        <v>12041</v>
      </c>
      <c r="M208" s="475">
        <f t="shared" si="7"/>
        <v>45.3</v>
      </c>
      <c r="N208" s="476">
        <f t="shared" si="7"/>
        <v>29399</v>
      </c>
    </row>
    <row r="209" spans="2:14" ht="16.5" customHeight="1">
      <c r="B209" s="468" t="s">
        <v>448</v>
      </c>
      <c r="C209" s="469" t="s">
        <v>481</v>
      </c>
      <c r="D209" s="470" t="s">
        <v>265</v>
      </c>
      <c r="E209" s="508">
        <v>56</v>
      </c>
      <c r="F209" s="471">
        <f>변경내역서!N407</f>
        <v>0</v>
      </c>
      <c r="G209" s="471">
        <f>변경내역서!G407</f>
        <v>0</v>
      </c>
      <c r="H209" s="472">
        <f>변경내역서!I407</f>
        <v>0</v>
      </c>
      <c r="I209" s="473">
        <f>변경내역서!N406</f>
        <v>973</v>
      </c>
      <c r="J209" s="513">
        <f>변경내역서!G406</f>
        <v>56</v>
      </c>
      <c r="K209" s="474">
        <f>변경내역서!I406</f>
        <v>54488</v>
      </c>
      <c r="L209" s="475">
        <f t="shared" si="7"/>
        <v>973</v>
      </c>
      <c r="M209" s="475">
        <f t="shared" si="7"/>
        <v>56</v>
      </c>
      <c r="N209" s="476">
        <f t="shared" si="7"/>
        <v>54488</v>
      </c>
    </row>
    <row r="210" spans="2:14" ht="16.5" customHeight="1">
      <c r="B210" s="468" t="s">
        <v>448</v>
      </c>
      <c r="C210" s="469" t="s">
        <v>450</v>
      </c>
      <c r="D210" s="470" t="s">
        <v>265</v>
      </c>
      <c r="E210" s="508">
        <v>104</v>
      </c>
      <c r="F210" s="471">
        <f>변경내역서!N409</f>
        <v>0</v>
      </c>
      <c r="G210" s="471">
        <f>변경내역서!G409</f>
        <v>0</v>
      </c>
      <c r="H210" s="472">
        <f>변경내역서!I409</f>
        <v>0</v>
      </c>
      <c r="I210" s="473">
        <f>변경내역서!N408</f>
        <v>32435</v>
      </c>
      <c r="J210" s="513">
        <f>변경내역서!G408</f>
        <v>104</v>
      </c>
      <c r="K210" s="474">
        <f>변경내역서!I408</f>
        <v>141960</v>
      </c>
      <c r="L210" s="475">
        <f t="shared" si="7"/>
        <v>32435</v>
      </c>
      <c r="M210" s="475">
        <f t="shared" si="7"/>
        <v>104</v>
      </c>
      <c r="N210" s="476">
        <f t="shared" si="7"/>
        <v>141960</v>
      </c>
    </row>
    <row r="211" spans="2:14" ht="16.5" customHeight="1">
      <c r="B211" s="468" t="s">
        <v>482</v>
      </c>
      <c r="C211" s="469" t="s">
        <v>452</v>
      </c>
      <c r="D211" s="470" t="s">
        <v>265</v>
      </c>
      <c r="E211" s="508">
        <v>12</v>
      </c>
      <c r="F211" s="471">
        <f>변경내역서!N411</f>
        <v>0</v>
      </c>
      <c r="G211" s="471">
        <f>변경내역서!G411</f>
        <v>0</v>
      </c>
      <c r="H211" s="472">
        <f>변경내역서!I411</f>
        <v>0</v>
      </c>
      <c r="I211" s="473">
        <f>변경내역서!N410</f>
        <v>32662</v>
      </c>
      <c r="J211" s="513">
        <f>변경내역서!G410</f>
        <v>12</v>
      </c>
      <c r="K211" s="474">
        <f>변경내역서!I410</f>
        <v>19104</v>
      </c>
      <c r="L211" s="475">
        <f t="shared" si="7"/>
        <v>32662</v>
      </c>
      <c r="M211" s="475">
        <f t="shared" si="7"/>
        <v>12</v>
      </c>
      <c r="N211" s="476">
        <f t="shared" si="7"/>
        <v>19104</v>
      </c>
    </row>
    <row r="212" spans="2:14" ht="16.5" customHeight="1">
      <c r="B212" s="468" t="s">
        <v>483</v>
      </c>
      <c r="C212" s="469" t="s">
        <v>484</v>
      </c>
      <c r="D212" s="470" t="s">
        <v>300</v>
      </c>
      <c r="E212" s="508">
        <v>20</v>
      </c>
      <c r="F212" s="471">
        <f>변경내역서!N413</f>
        <v>0</v>
      </c>
      <c r="G212" s="471">
        <f>변경내역서!G413</f>
        <v>0</v>
      </c>
      <c r="H212" s="472">
        <f>변경내역서!I413</f>
        <v>0</v>
      </c>
      <c r="I212" s="473">
        <f>변경내역서!N412</f>
        <v>53688</v>
      </c>
      <c r="J212" s="513">
        <f>변경내역서!G412</f>
        <v>20</v>
      </c>
      <c r="K212" s="474">
        <f>변경내역서!I412</f>
        <v>38100</v>
      </c>
      <c r="L212" s="475">
        <f t="shared" si="7"/>
        <v>53688</v>
      </c>
      <c r="M212" s="475">
        <f t="shared" si="7"/>
        <v>20</v>
      </c>
      <c r="N212" s="476">
        <f t="shared" si="7"/>
        <v>38100</v>
      </c>
    </row>
    <row r="213" spans="2:14" ht="16.5" customHeight="1">
      <c r="B213" s="468" t="s">
        <v>459</v>
      </c>
      <c r="C213" s="469" t="s">
        <v>485</v>
      </c>
      <c r="D213" s="470" t="s">
        <v>265</v>
      </c>
      <c r="E213" s="508">
        <v>1876.5</v>
      </c>
      <c r="F213" s="471">
        <f>변경내역서!N415</f>
        <v>0</v>
      </c>
      <c r="G213" s="471">
        <f>변경내역서!G415</f>
        <v>0</v>
      </c>
      <c r="H213" s="472">
        <f>변경내역서!I415</f>
        <v>0</v>
      </c>
      <c r="I213" s="473">
        <f>변경내역서!N414</f>
        <v>3103</v>
      </c>
      <c r="J213" s="514">
        <f>변경내역서!G414</f>
        <v>1876.5</v>
      </c>
      <c r="K213" s="474">
        <f>변경내역서!I414</f>
        <v>964521</v>
      </c>
      <c r="L213" s="475">
        <f t="shared" ref="L213:N232" si="8">I213-F213</f>
        <v>3103</v>
      </c>
      <c r="M213" s="475">
        <f t="shared" si="8"/>
        <v>1876.5</v>
      </c>
      <c r="N213" s="476">
        <f t="shared" si="8"/>
        <v>964521</v>
      </c>
    </row>
    <row r="214" spans="2:14" ht="16.5" customHeight="1">
      <c r="B214" s="468" t="s">
        <v>459</v>
      </c>
      <c r="C214" s="469" t="s">
        <v>486</v>
      </c>
      <c r="D214" s="470" t="s">
        <v>265</v>
      </c>
      <c r="E214" s="508">
        <v>9</v>
      </c>
      <c r="F214" s="471">
        <f>변경내역서!N417</f>
        <v>0</v>
      </c>
      <c r="G214" s="471">
        <f>변경내역서!G417</f>
        <v>0</v>
      </c>
      <c r="H214" s="472">
        <f>변경내역서!I417</f>
        <v>0</v>
      </c>
      <c r="I214" s="473">
        <f>변경내역서!N416</f>
        <v>24117</v>
      </c>
      <c r="J214" s="513">
        <f>변경내역서!G416</f>
        <v>9</v>
      </c>
      <c r="K214" s="474">
        <f>변경내역서!I416</f>
        <v>18990</v>
      </c>
      <c r="L214" s="475">
        <f t="shared" si="8"/>
        <v>24117</v>
      </c>
      <c r="M214" s="475">
        <f t="shared" si="8"/>
        <v>9</v>
      </c>
      <c r="N214" s="476">
        <f t="shared" si="8"/>
        <v>18990</v>
      </c>
    </row>
    <row r="215" spans="2:14" ht="16.5" customHeight="1">
      <c r="B215" s="468" t="s">
        <v>459</v>
      </c>
      <c r="C215" s="469" t="s">
        <v>487</v>
      </c>
      <c r="D215" s="470" t="s">
        <v>265</v>
      </c>
      <c r="E215" s="508">
        <v>6</v>
      </c>
      <c r="F215" s="471">
        <f>변경내역서!N419</f>
        <v>0</v>
      </c>
      <c r="G215" s="471">
        <f>변경내역서!G419</f>
        <v>0</v>
      </c>
      <c r="H215" s="472">
        <f>변경내역서!I419</f>
        <v>0</v>
      </c>
      <c r="I215" s="473">
        <f>변경내역서!N418</f>
        <v>24927</v>
      </c>
      <c r="J215" s="513">
        <f>변경내역서!G418</f>
        <v>6</v>
      </c>
      <c r="K215" s="474">
        <f>변경내역서!I418</f>
        <v>17520</v>
      </c>
      <c r="L215" s="475">
        <f t="shared" si="8"/>
        <v>24927</v>
      </c>
      <c r="M215" s="475">
        <f t="shared" si="8"/>
        <v>6</v>
      </c>
      <c r="N215" s="476">
        <f t="shared" si="8"/>
        <v>17520</v>
      </c>
    </row>
    <row r="216" spans="2:14" ht="16.5" customHeight="1">
      <c r="B216" s="468" t="s">
        <v>459</v>
      </c>
      <c r="C216" s="469" t="s">
        <v>488</v>
      </c>
      <c r="D216" s="470" t="s">
        <v>265</v>
      </c>
      <c r="E216" s="508">
        <v>2</v>
      </c>
      <c r="F216" s="471">
        <f>변경내역서!N421</f>
        <v>0</v>
      </c>
      <c r="G216" s="471">
        <f>변경내역서!G421</f>
        <v>0</v>
      </c>
      <c r="H216" s="472">
        <f>변경내역서!I421</f>
        <v>0</v>
      </c>
      <c r="I216" s="473">
        <f>변경내역서!N420</f>
        <v>25647</v>
      </c>
      <c r="J216" s="513">
        <f>변경내역서!G420</f>
        <v>2</v>
      </c>
      <c r="K216" s="474">
        <f>변경내역서!I420</f>
        <v>7280</v>
      </c>
      <c r="L216" s="475">
        <f t="shared" si="8"/>
        <v>25647</v>
      </c>
      <c r="M216" s="475">
        <f t="shared" si="8"/>
        <v>2</v>
      </c>
      <c r="N216" s="476">
        <f t="shared" si="8"/>
        <v>7280</v>
      </c>
    </row>
    <row r="217" spans="2:14" ht="16.5" customHeight="1">
      <c r="B217" s="468" t="s">
        <v>489</v>
      </c>
      <c r="C217" s="469" t="s">
        <v>490</v>
      </c>
      <c r="D217" s="470" t="s">
        <v>265</v>
      </c>
      <c r="E217" s="508">
        <v>2</v>
      </c>
      <c r="F217" s="471">
        <f>변경내역서!N423</f>
        <v>0</v>
      </c>
      <c r="G217" s="471">
        <f>변경내역서!G423</f>
        <v>0</v>
      </c>
      <c r="H217" s="472">
        <f>변경내역서!I423</f>
        <v>0</v>
      </c>
      <c r="I217" s="473">
        <f>변경내역서!N422</f>
        <v>25807</v>
      </c>
      <c r="J217" s="513">
        <f>변경내역서!G422</f>
        <v>2</v>
      </c>
      <c r="K217" s="474">
        <f>변경내역서!I422</f>
        <v>11666</v>
      </c>
      <c r="L217" s="475">
        <f t="shared" si="8"/>
        <v>25807</v>
      </c>
      <c r="M217" s="475">
        <f t="shared" si="8"/>
        <v>2</v>
      </c>
      <c r="N217" s="476">
        <f t="shared" si="8"/>
        <v>11666</v>
      </c>
    </row>
    <row r="218" spans="2:14" ht="16.5" customHeight="1">
      <c r="B218" s="468" t="s">
        <v>491</v>
      </c>
      <c r="C218" s="469" t="s">
        <v>491</v>
      </c>
      <c r="D218" s="470" t="s">
        <v>265</v>
      </c>
      <c r="E218" s="508">
        <v>21</v>
      </c>
      <c r="F218" s="471">
        <f>변경내역서!N425</f>
        <v>0</v>
      </c>
      <c r="G218" s="471">
        <f>변경내역서!G425</f>
        <v>0</v>
      </c>
      <c r="H218" s="472">
        <f>변경내역서!I425</f>
        <v>0</v>
      </c>
      <c r="I218" s="473">
        <f>변경내역서!N424</f>
        <v>35720</v>
      </c>
      <c r="J218" s="513">
        <f>변경내역서!G424</f>
        <v>21</v>
      </c>
      <c r="K218" s="474">
        <f>변경내역서!I424</f>
        <v>202356</v>
      </c>
      <c r="L218" s="475">
        <f t="shared" si="8"/>
        <v>35720</v>
      </c>
      <c r="M218" s="475">
        <f t="shared" si="8"/>
        <v>21</v>
      </c>
      <c r="N218" s="476">
        <f t="shared" si="8"/>
        <v>202356</v>
      </c>
    </row>
    <row r="219" spans="2:14" ht="16.5" customHeight="1">
      <c r="B219" s="468" t="s">
        <v>492</v>
      </c>
      <c r="C219" s="469" t="s">
        <v>492</v>
      </c>
      <c r="D219" s="470" t="s">
        <v>265</v>
      </c>
      <c r="E219" s="508">
        <v>20</v>
      </c>
      <c r="F219" s="471">
        <f>변경내역서!N427</f>
        <v>0</v>
      </c>
      <c r="G219" s="471">
        <f>변경내역서!G427</f>
        <v>0</v>
      </c>
      <c r="H219" s="472">
        <f>변경내역서!I427</f>
        <v>0</v>
      </c>
      <c r="I219" s="473">
        <f>변경내역서!N426</f>
        <v>1770</v>
      </c>
      <c r="J219" s="513">
        <f>변경내역서!G426</f>
        <v>20</v>
      </c>
      <c r="K219" s="474">
        <f>변경내역서!I426</f>
        <v>35400</v>
      </c>
      <c r="L219" s="475">
        <f t="shared" si="8"/>
        <v>1770</v>
      </c>
      <c r="M219" s="475">
        <f t="shared" si="8"/>
        <v>20</v>
      </c>
      <c r="N219" s="476">
        <f t="shared" si="8"/>
        <v>35400</v>
      </c>
    </row>
    <row r="220" spans="2:14" ht="16.5" customHeight="1">
      <c r="B220" s="468" t="s">
        <v>493</v>
      </c>
      <c r="C220" s="469" t="s">
        <v>494</v>
      </c>
      <c r="D220" s="470" t="s">
        <v>265</v>
      </c>
      <c r="E220" s="508">
        <v>8</v>
      </c>
      <c r="F220" s="471">
        <f>변경내역서!N429</f>
        <v>0</v>
      </c>
      <c r="G220" s="471">
        <f>변경내역서!G429</f>
        <v>0</v>
      </c>
      <c r="H220" s="472">
        <f>변경내역서!I429</f>
        <v>0</v>
      </c>
      <c r="I220" s="473">
        <f>변경내역서!N428</f>
        <v>2656</v>
      </c>
      <c r="J220" s="513">
        <f>변경내역서!G428</f>
        <v>8</v>
      </c>
      <c r="K220" s="474">
        <f>변경내역서!I428</f>
        <v>21248</v>
      </c>
      <c r="L220" s="475">
        <f t="shared" si="8"/>
        <v>2656</v>
      </c>
      <c r="M220" s="475">
        <f t="shared" si="8"/>
        <v>8</v>
      </c>
      <c r="N220" s="476">
        <f t="shared" si="8"/>
        <v>21248</v>
      </c>
    </row>
    <row r="221" spans="2:14" ht="16.5" customHeight="1">
      <c r="B221" s="468" t="s">
        <v>495</v>
      </c>
      <c r="C221" s="469" t="s">
        <v>496</v>
      </c>
      <c r="D221" s="470" t="s">
        <v>265</v>
      </c>
      <c r="E221" s="508">
        <v>13</v>
      </c>
      <c r="F221" s="471">
        <f>변경내역서!N431</f>
        <v>0</v>
      </c>
      <c r="G221" s="471">
        <f>변경내역서!G431</f>
        <v>0</v>
      </c>
      <c r="H221" s="472">
        <f>변경내역서!I431</f>
        <v>0</v>
      </c>
      <c r="I221" s="473">
        <f>변경내역서!N430</f>
        <v>33401</v>
      </c>
      <c r="J221" s="513">
        <f>변경내역서!G430</f>
        <v>13</v>
      </c>
      <c r="K221" s="474">
        <f>변경내역서!I430</f>
        <v>12636</v>
      </c>
      <c r="L221" s="475">
        <f t="shared" si="8"/>
        <v>33401</v>
      </c>
      <c r="M221" s="475">
        <f t="shared" si="8"/>
        <v>13</v>
      </c>
      <c r="N221" s="476">
        <f t="shared" si="8"/>
        <v>12636</v>
      </c>
    </row>
    <row r="222" spans="2:14" ht="16.5" customHeight="1">
      <c r="B222" s="468" t="s">
        <v>497</v>
      </c>
      <c r="C222" s="469" t="s">
        <v>498</v>
      </c>
      <c r="D222" s="470" t="s">
        <v>265</v>
      </c>
      <c r="E222" s="508">
        <v>4</v>
      </c>
      <c r="F222" s="471">
        <f>변경내역서!N433</f>
        <v>0</v>
      </c>
      <c r="G222" s="471">
        <f>변경내역서!G433</f>
        <v>0</v>
      </c>
      <c r="H222" s="472">
        <f>변경내역서!I433</f>
        <v>0</v>
      </c>
      <c r="I222" s="473">
        <f>변경내역서!N432</f>
        <v>60269</v>
      </c>
      <c r="J222" s="513">
        <f>변경내역서!G432</f>
        <v>4</v>
      </c>
      <c r="K222" s="474">
        <f>변경내역서!I432</f>
        <v>7020</v>
      </c>
      <c r="L222" s="475">
        <f t="shared" si="8"/>
        <v>60269</v>
      </c>
      <c r="M222" s="475">
        <f t="shared" si="8"/>
        <v>4</v>
      </c>
      <c r="N222" s="476">
        <f t="shared" si="8"/>
        <v>7020</v>
      </c>
    </row>
    <row r="223" spans="2:14" ht="16.5" customHeight="1">
      <c r="B223" s="468" t="s">
        <v>499</v>
      </c>
      <c r="C223" s="469" t="s">
        <v>500</v>
      </c>
      <c r="D223" s="470" t="s">
        <v>265</v>
      </c>
      <c r="E223" s="508">
        <v>37</v>
      </c>
      <c r="F223" s="471">
        <f>변경내역서!N435</f>
        <v>0</v>
      </c>
      <c r="G223" s="471">
        <f>변경내역서!G435</f>
        <v>0</v>
      </c>
      <c r="H223" s="472">
        <f>변경내역서!I435</f>
        <v>0</v>
      </c>
      <c r="I223" s="473">
        <f>변경내역서!N434</f>
        <v>38242</v>
      </c>
      <c r="J223" s="513">
        <f>변경내역서!G434</f>
        <v>37</v>
      </c>
      <c r="K223" s="474">
        <f>변경내역서!I434</f>
        <v>41181</v>
      </c>
      <c r="L223" s="475">
        <f t="shared" si="8"/>
        <v>38242</v>
      </c>
      <c r="M223" s="475">
        <f t="shared" si="8"/>
        <v>37</v>
      </c>
      <c r="N223" s="476">
        <f t="shared" si="8"/>
        <v>41181</v>
      </c>
    </row>
    <row r="224" spans="2:14" ht="16.5" customHeight="1">
      <c r="B224" s="468" t="s">
        <v>501</v>
      </c>
      <c r="C224" s="469" t="s">
        <v>502</v>
      </c>
      <c r="D224" s="470" t="s">
        <v>265</v>
      </c>
      <c r="E224" s="508">
        <v>3</v>
      </c>
      <c r="F224" s="471">
        <f>변경내역서!N437</f>
        <v>0</v>
      </c>
      <c r="G224" s="471">
        <f>변경내역서!G437</f>
        <v>0</v>
      </c>
      <c r="H224" s="472">
        <f>변경내역서!I437</f>
        <v>0</v>
      </c>
      <c r="I224" s="473">
        <f>변경내역서!N436</f>
        <v>52527</v>
      </c>
      <c r="J224" s="513">
        <f>변경내역서!G436</f>
        <v>3</v>
      </c>
      <c r="K224" s="474">
        <f>변경내역서!I436</f>
        <v>3087</v>
      </c>
      <c r="L224" s="475">
        <f t="shared" si="8"/>
        <v>52527</v>
      </c>
      <c r="M224" s="475">
        <f t="shared" si="8"/>
        <v>3</v>
      </c>
      <c r="N224" s="476">
        <f t="shared" si="8"/>
        <v>3087</v>
      </c>
    </row>
    <row r="225" spans="2:14" ht="16.5" customHeight="1">
      <c r="B225" s="468" t="s">
        <v>503</v>
      </c>
      <c r="C225" s="469" t="s">
        <v>504</v>
      </c>
      <c r="D225" s="470" t="s">
        <v>265</v>
      </c>
      <c r="E225" s="508">
        <v>2</v>
      </c>
      <c r="F225" s="471">
        <f>변경내역서!N439</f>
        <v>0</v>
      </c>
      <c r="G225" s="471">
        <f>변경내역서!G439</f>
        <v>0</v>
      </c>
      <c r="H225" s="472">
        <f>변경내역서!I439</f>
        <v>0</v>
      </c>
      <c r="I225" s="473">
        <f>변경내역서!N438</f>
        <v>33401</v>
      </c>
      <c r="J225" s="513">
        <f>변경내역서!G438</f>
        <v>2</v>
      </c>
      <c r="K225" s="474">
        <f>변경내역서!I438</f>
        <v>1944</v>
      </c>
      <c r="L225" s="475">
        <f t="shared" si="8"/>
        <v>33401</v>
      </c>
      <c r="M225" s="475">
        <f t="shared" si="8"/>
        <v>2</v>
      </c>
      <c r="N225" s="476">
        <f t="shared" si="8"/>
        <v>1944</v>
      </c>
    </row>
    <row r="226" spans="2:14" ht="16.5" customHeight="1">
      <c r="B226" s="468" t="s">
        <v>505</v>
      </c>
      <c r="C226" s="469" t="s">
        <v>506</v>
      </c>
      <c r="D226" s="470" t="s">
        <v>265</v>
      </c>
      <c r="E226" s="508">
        <v>17</v>
      </c>
      <c r="F226" s="471">
        <f>변경내역서!N441</f>
        <v>0</v>
      </c>
      <c r="G226" s="471">
        <f>변경내역서!G441</f>
        <v>0</v>
      </c>
      <c r="H226" s="472">
        <f>변경내역서!I441</f>
        <v>0</v>
      </c>
      <c r="I226" s="473">
        <f>변경내역서!N440</f>
        <v>28318</v>
      </c>
      <c r="J226" s="513">
        <f>변경내역서!G440</f>
        <v>17</v>
      </c>
      <c r="K226" s="474">
        <f>변경내역서!I440</f>
        <v>14008</v>
      </c>
      <c r="L226" s="475">
        <f t="shared" si="8"/>
        <v>28318</v>
      </c>
      <c r="M226" s="475">
        <f t="shared" si="8"/>
        <v>17</v>
      </c>
      <c r="N226" s="476">
        <f t="shared" si="8"/>
        <v>14008</v>
      </c>
    </row>
    <row r="227" spans="2:14" ht="16.5" customHeight="1">
      <c r="B227" s="468" t="s">
        <v>507</v>
      </c>
      <c r="C227" s="469" t="s">
        <v>508</v>
      </c>
      <c r="D227" s="470" t="s">
        <v>265</v>
      </c>
      <c r="E227" s="508">
        <v>14</v>
      </c>
      <c r="F227" s="471">
        <f>변경내역서!N443</f>
        <v>0</v>
      </c>
      <c r="G227" s="471">
        <f>변경내역서!G443</f>
        <v>0</v>
      </c>
      <c r="H227" s="472">
        <f>변경내역서!I443</f>
        <v>0</v>
      </c>
      <c r="I227" s="473">
        <f>변경내역서!N442</f>
        <v>37516</v>
      </c>
      <c r="J227" s="513">
        <f>변경내역서!G442</f>
        <v>14</v>
      </c>
      <c r="K227" s="474">
        <f>변경내역서!I442</f>
        <v>15288</v>
      </c>
      <c r="L227" s="475">
        <f t="shared" si="8"/>
        <v>37516</v>
      </c>
      <c r="M227" s="475">
        <f t="shared" si="8"/>
        <v>14</v>
      </c>
      <c r="N227" s="476">
        <f t="shared" si="8"/>
        <v>15288</v>
      </c>
    </row>
    <row r="228" spans="2:14" ht="16.5" customHeight="1">
      <c r="B228" s="468" t="s">
        <v>509</v>
      </c>
      <c r="C228" s="469" t="s">
        <v>510</v>
      </c>
      <c r="D228" s="470" t="s">
        <v>265</v>
      </c>
      <c r="E228" s="508">
        <v>26</v>
      </c>
      <c r="F228" s="471">
        <f>변경내역서!N445</f>
        <v>0</v>
      </c>
      <c r="G228" s="471">
        <f>변경내역서!G445</f>
        <v>0</v>
      </c>
      <c r="H228" s="472">
        <f>변경내역서!I445</f>
        <v>0</v>
      </c>
      <c r="I228" s="473">
        <f>변경내역서!N444</f>
        <v>28318</v>
      </c>
      <c r="J228" s="513">
        <f>변경내역서!G444</f>
        <v>26</v>
      </c>
      <c r="K228" s="474">
        <f>변경내역서!I444</f>
        <v>21424</v>
      </c>
      <c r="L228" s="475">
        <f t="shared" si="8"/>
        <v>28318</v>
      </c>
      <c r="M228" s="475">
        <f t="shared" si="8"/>
        <v>26</v>
      </c>
      <c r="N228" s="476">
        <f t="shared" si="8"/>
        <v>21424</v>
      </c>
    </row>
    <row r="229" spans="2:14" ht="16.5" customHeight="1">
      <c r="B229" s="468"/>
      <c r="C229" s="469"/>
      <c r="D229" s="470"/>
      <c r="E229" s="508">
        <v>4</v>
      </c>
      <c r="F229" s="471">
        <f>변경내역서!N447</f>
        <v>0</v>
      </c>
      <c r="G229" s="471">
        <f>변경내역서!G447</f>
        <v>0</v>
      </c>
      <c r="H229" s="472">
        <f>변경내역서!I447</f>
        <v>0</v>
      </c>
      <c r="I229" s="473">
        <f>변경내역서!N446</f>
        <v>28318</v>
      </c>
      <c r="J229" s="513">
        <f>변경내역서!G446</f>
        <v>4</v>
      </c>
      <c r="K229" s="474">
        <f>변경내역서!I446</f>
        <v>3296</v>
      </c>
      <c r="L229" s="475">
        <f t="shared" si="8"/>
        <v>28318</v>
      </c>
      <c r="M229" s="475">
        <f t="shared" si="8"/>
        <v>4</v>
      </c>
      <c r="N229" s="476">
        <f t="shared" si="8"/>
        <v>3296</v>
      </c>
    </row>
    <row r="230" spans="2:14" ht="16.5" customHeight="1">
      <c r="B230" s="468"/>
      <c r="C230" s="469"/>
      <c r="D230" s="470"/>
      <c r="E230" s="508"/>
      <c r="F230" s="471">
        <f>변경내역서!N449</f>
        <v>0</v>
      </c>
      <c r="G230" s="471">
        <f>변경내역서!G449</f>
        <v>0</v>
      </c>
      <c r="H230" s="472">
        <f>변경내역서!I449</f>
        <v>0</v>
      </c>
      <c r="I230" s="473">
        <f>변경내역서!N448</f>
        <v>0</v>
      </c>
      <c r="J230" s="513">
        <f>변경내역서!G448</f>
        <v>0</v>
      </c>
      <c r="K230" s="474">
        <f>변경내역서!I448</f>
        <v>0</v>
      </c>
      <c r="L230" s="475">
        <f t="shared" si="8"/>
        <v>0</v>
      </c>
      <c r="M230" s="475">
        <f t="shared" si="8"/>
        <v>0</v>
      </c>
      <c r="N230" s="476">
        <f t="shared" si="8"/>
        <v>0</v>
      </c>
    </row>
    <row r="231" spans="2:14" ht="16.5" customHeight="1">
      <c r="B231" s="468"/>
      <c r="C231" s="469"/>
      <c r="D231" s="470"/>
      <c r="E231" s="508"/>
      <c r="F231" s="471">
        <f>변경내역서!N451</f>
        <v>0</v>
      </c>
      <c r="G231" s="471">
        <f>변경내역서!G451</f>
        <v>0</v>
      </c>
      <c r="H231" s="472">
        <f>변경내역서!I451</f>
        <v>0</v>
      </c>
      <c r="I231" s="473">
        <f>변경내역서!N450</f>
        <v>0</v>
      </c>
      <c r="J231" s="513">
        <f>변경내역서!G450</f>
        <v>0</v>
      </c>
      <c r="K231" s="474">
        <f>변경내역서!I450</f>
        <v>0</v>
      </c>
      <c r="L231" s="475">
        <f t="shared" si="8"/>
        <v>0</v>
      </c>
      <c r="M231" s="475">
        <f t="shared" si="8"/>
        <v>0</v>
      </c>
      <c r="N231" s="476">
        <f t="shared" si="8"/>
        <v>0</v>
      </c>
    </row>
    <row r="232" spans="2:14" ht="16.5" customHeight="1">
      <c r="B232" s="478" t="s">
        <v>216</v>
      </c>
      <c r="C232" s="479"/>
      <c r="D232" s="480"/>
      <c r="E232" s="509"/>
      <c r="F232" s="481">
        <f>변경내역서!N453</f>
        <v>0</v>
      </c>
      <c r="G232" s="481">
        <f>변경내역서!G453</f>
        <v>0</v>
      </c>
      <c r="H232" s="482">
        <f>변경내역서!I453</f>
        <v>3244045</v>
      </c>
      <c r="I232" s="483">
        <f>변경내역서!N452</f>
        <v>0</v>
      </c>
      <c r="J232" s="516">
        <f>변경내역서!G452</f>
        <v>0</v>
      </c>
      <c r="K232" s="484">
        <f>변경내역서!I454</f>
        <v>1914993</v>
      </c>
      <c r="L232" s="485">
        <f t="shared" si="8"/>
        <v>0</v>
      </c>
      <c r="M232" s="485">
        <f t="shared" si="8"/>
        <v>0</v>
      </c>
      <c r="N232" s="486">
        <f t="shared" si="8"/>
        <v>-1329052</v>
      </c>
    </row>
    <row r="233" spans="2:14" ht="16.5" customHeight="1">
      <c r="B233" s="468" t="s">
        <v>3747</v>
      </c>
      <c r="C233" s="469"/>
      <c r="D233" s="470"/>
      <c r="E233" s="508"/>
      <c r="F233" s="471"/>
      <c r="G233" s="471"/>
      <c r="H233" s="472"/>
      <c r="I233" s="473"/>
      <c r="J233" s="513"/>
      <c r="K233" s="474"/>
      <c r="L233" s="475"/>
      <c r="M233" s="475"/>
      <c r="N233" s="476"/>
    </row>
    <row r="234" spans="2:14" ht="16.5" customHeight="1">
      <c r="B234" s="468" t="s">
        <v>511</v>
      </c>
      <c r="C234" s="469" t="s">
        <v>436</v>
      </c>
      <c r="D234" s="470" t="s">
        <v>255</v>
      </c>
      <c r="E234" s="508">
        <v>80</v>
      </c>
      <c r="F234" s="471">
        <f>변경내역서!N457</f>
        <v>0</v>
      </c>
      <c r="G234" s="471">
        <f>변경내역서!G457</f>
        <v>0</v>
      </c>
      <c r="H234" s="472">
        <f>변경내역서!I457</f>
        <v>0</v>
      </c>
      <c r="I234" s="473">
        <f>변경내역서!N456</f>
        <v>33329</v>
      </c>
      <c r="J234" s="513">
        <f>변경내역서!G456</f>
        <v>80</v>
      </c>
      <c r="K234" s="474">
        <f>변경내역서!I456</f>
        <v>245440</v>
      </c>
      <c r="L234" s="475">
        <f t="shared" ref="L234:N258" si="9">I234-F234</f>
        <v>33329</v>
      </c>
      <c r="M234" s="475">
        <f t="shared" si="9"/>
        <v>80</v>
      </c>
      <c r="N234" s="476">
        <f t="shared" si="9"/>
        <v>245440</v>
      </c>
    </row>
    <row r="235" spans="2:14" ht="16.5" customHeight="1">
      <c r="B235" s="468" t="s">
        <v>437</v>
      </c>
      <c r="C235" s="469" t="s">
        <v>438</v>
      </c>
      <c r="D235" s="470" t="s">
        <v>255</v>
      </c>
      <c r="E235" s="508">
        <v>224</v>
      </c>
      <c r="F235" s="471">
        <f>변경내역서!N459</f>
        <v>0</v>
      </c>
      <c r="G235" s="471">
        <f>변경내역서!G459</f>
        <v>0</v>
      </c>
      <c r="H235" s="472">
        <f>변경내역서!I459</f>
        <v>0</v>
      </c>
      <c r="I235" s="473">
        <f>변경내역서!N458</f>
        <v>11532</v>
      </c>
      <c r="J235" s="513">
        <f>변경내역서!G458</f>
        <v>224</v>
      </c>
      <c r="K235" s="474">
        <f>변경내역서!I458</f>
        <v>118272</v>
      </c>
      <c r="L235" s="475">
        <f t="shared" si="9"/>
        <v>11532</v>
      </c>
      <c r="M235" s="475">
        <f t="shared" si="9"/>
        <v>224</v>
      </c>
      <c r="N235" s="476">
        <f t="shared" si="9"/>
        <v>118272</v>
      </c>
    </row>
    <row r="236" spans="2:14" ht="16.5" customHeight="1">
      <c r="B236" s="468" t="s">
        <v>437</v>
      </c>
      <c r="C236" s="469" t="s">
        <v>445</v>
      </c>
      <c r="D236" s="470" t="s">
        <v>255</v>
      </c>
      <c r="E236" s="508">
        <v>17</v>
      </c>
      <c r="F236" s="471">
        <f>변경내역서!N461</f>
        <v>0</v>
      </c>
      <c r="G236" s="471">
        <f>변경내역서!G461</f>
        <v>0</v>
      </c>
      <c r="H236" s="472">
        <f>변경내역서!I461</f>
        <v>0</v>
      </c>
      <c r="I236" s="473">
        <f>변경내역서!N460</f>
        <v>15347</v>
      </c>
      <c r="J236" s="513">
        <f>변경내역서!G460</f>
        <v>17</v>
      </c>
      <c r="K236" s="474">
        <f>변경내역서!I460</f>
        <v>11492</v>
      </c>
      <c r="L236" s="475">
        <f t="shared" si="9"/>
        <v>15347</v>
      </c>
      <c r="M236" s="475">
        <f t="shared" si="9"/>
        <v>17</v>
      </c>
      <c r="N236" s="476">
        <f t="shared" si="9"/>
        <v>11492</v>
      </c>
    </row>
    <row r="237" spans="2:14" ht="16.5" customHeight="1">
      <c r="B237" s="468" t="s">
        <v>451</v>
      </c>
      <c r="C237" s="469" t="s">
        <v>452</v>
      </c>
      <c r="D237" s="470" t="s">
        <v>265</v>
      </c>
      <c r="E237" s="508">
        <v>8</v>
      </c>
      <c r="F237" s="471">
        <f>변경내역서!N463</f>
        <v>0</v>
      </c>
      <c r="G237" s="471">
        <f>변경내역서!G463</f>
        <v>0</v>
      </c>
      <c r="H237" s="472">
        <f>변경내역서!I463</f>
        <v>0</v>
      </c>
      <c r="I237" s="473">
        <f>변경내역서!N462</f>
        <v>47282</v>
      </c>
      <c r="J237" s="513">
        <f>변경내역서!G462</f>
        <v>8</v>
      </c>
      <c r="K237" s="474">
        <f>변경내역서!I462</f>
        <v>11456</v>
      </c>
      <c r="L237" s="475">
        <f t="shared" si="9"/>
        <v>47282</v>
      </c>
      <c r="M237" s="475">
        <f t="shared" si="9"/>
        <v>8</v>
      </c>
      <c r="N237" s="476">
        <f t="shared" si="9"/>
        <v>11456</v>
      </c>
    </row>
    <row r="238" spans="2:14" ht="16.5" customHeight="1">
      <c r="B238" s="468" t="s">
        <v>451</v>
      </c>
      <c r="C238" s="469" t="s">
        <v>453</v>
      </c>
      <c r="D238" s="470" t="s">
        <v>265</v>
      </c>
      <c r="E238" s="508">
        <v>20</v>
      </c>
      <c r="F238" s="471">
        <f>변경내역서!N465</f>
        <v>0</v>
      </c>
      <c r="G238" s="471">
        <f>변경내역서!G465</f>
        <v>0</v>
      </c>
      <c r="H238" s="472">
        <f>변경내역서!I465</f>
        <v>0</v>
      </c>
      <c r="I238" s="473">
        <f>변경내역서!N464</f>
        <v>47302</v>
      </c>
      <c r="J238" s="513">
        <f>변경내역서!G464</f>
        <v>20</v>
      </c>
      <c r="K238" s="474">
        <f>변경내역서!I464</f>
        <v>29040</v>
      </c>
      <c r="L238" s="475">
        <f t="shared" si="9"/>
        <v>47302</v>
      </c>
      <c r="M238" s="475">
        <f t="shared" si="9"/>
        <v>20</v>
      </c>
      <c r="N238" s="476">
        <f t="shared" si="9"/>
        <v>29040</v>
      </c>
    </row>
    <row r="239" spans="2:14" ht="16.5" customHeight="1">
      <c r="B239" s="468" t="s">
        <v>454</v>
      </c>
      <c r="C239" s="469" t="s">
        <v>457</v>
      </c>
      <c r="D239" s="470" t="s">
        <v>265</v>
      </c>
      <c r="E239" s="508">
        <v>20</v>
      </c>
      <c r="F239" s="471">
        <f>변경내역서!N467</f>
        <v>0</v>
      </c>
      <c r="G239" s="471">
        <f>변경내역서!G467</f>
        <v>0</v>
      </c>
      <c r="H239" s="472">
        <f>변경내역서!I467</f>
        <v>0</v>
      </c>
      <c r="I239" s="473">
        <f>변경내역서!N466</f>
        <v>250</v>
      </c>
      <c r="J239" s="513">
        <f>변경내역서!G466</f>
        <v>20</v>
      </c>
      <c r="K239" s="474">
        <f>변경내역서!I466</f>
        <v>5000</v>
      </c>
      <c r="L239" s="475">
        <f t="shared" si="9"/>
        <v>250</v>
      </c>
      <c r="M239" s="475">
        <f t="shared" si="9"/>
        <v>20</v>
      </c>
      <c r="N239" s="476">
        <f t="shared" si="9"/>
        <v>5000</v>
      </c>
    </row>
    <row r="240" spans="2:14" ht="16.5" customHeight="1">
      <c r="B240" s="468" t="s">
        <v>439</v>
      </c>
      <c r="C240" s="469" t="s">
        <v>440</v>
      </c>
      <c r="D240" s="470" t="s">
        <v>291</v>
      </c>
      <c r="E240" s="508">
        <v>5</v>
      </c>
      <c r="F240" s="471">
        <f>변경내역서!N469</f>
        <v>0</v>
      </c>
      <c r="G240" s="471">
        <f>변경내역서!G469</f>
        <v>0</v>
      </c>
      <c r="H240" s="472">
        <f>변경내역서!I469</f>
        <v>0</v>
      </c>
      <c r="I240" s="473">
        <f>변경내역서!N468</f>
        <v>11172</v>
      </c>
      <c r="J240" s="513">
        <f>변경내역서!G468</f>
        <v>5</v>
      </c>
      <c r="K240" s="474">
        <f>변경내역서!I468</f>
        <v>10015</v>
      </c>
      <c r="L240" s="475">
        <f t="shared" si="9"/>
        <v>11172</v>
      </c>
      <c r="M240" s="475">
        <f t="shared" si="9"/>
        <v>5</v>
      </c>
      <c r="N240" s="476">
        <f t="shared" si="9"/>
        <v>10015</v>
      </c>
    </row>
    <row r="241" spans="2:14" ht="16.5" customHeight="1">
      <c r="B241" s="468" t="s">
        <v>441</v>
      </c>
      <c r="C241" s="469" t="s">
        <v>442</v>
      </c>
      <c r="D241" s="470" t="s">
        <v>255</v>
      </c>
      <c r="E241" s="508">
        <v>1058</v>
      </c>
      <c r="F241" s="471">
        <f>변경내역서!N471</f>
        <v>0</v>
      </c>
      <c r="G241" s="471">
        <f>변경내역서!G471</f>
        <v>0</v>
      </c>
      <c r="H241" s="472">
        <f>변경내역서!I471</f>
        <v>0</v>
      </c>
      <c r="I241" s="473">
        <f>변경내역서!N470</f>
        <v>2968</v>
      </c>
      <c r="J241" s="513">
        <f>변경내역서!G470</f>
        <v>1058</v>
      </c>
      <c r="K241" s="474">
        <f>변경내역서!I470</f>
        <v>715208</v>
      </c>
      <c r="L241" s="475">
        <f t="shared" si="9"/>
        <v>2968</v>
      </c>
      <c r="M241" s="475">
        <f t="shared" si="9"/>
        <v>1058</v>
      </c>
      <c r="N241" s="476">
        <f t="shared" si="9"/>
        <v>715208</v>
      </c>
    </row>
    <row r="242" spans="2:14" ht="16.5" customHeight="1">
      <c r="B242" s="468" t="s">
        <v>512</v>
      </c>
      <c r="C242" s="469" t="s">
        <v>513</v>
      </c>
      <c r="D242" s="470" t="s">
        <v>265</v>
      </c>
      <c r="E242" s="508">
        <v>13</v>
      </c>
      <c r="F242" s="471">
        <f>변경내역서!N473</f>
        <v>0</v>
      </c>
      <c r="G242" s="471">
        <f>변경내역서!G473</f>
        <v>0</v>
      </c>
      <c r="H242" s="472">
        <f>변경내역서!I473</f>
        <v>0</v>
      </c>
      <c r="I242" s="473">
        <f>변경내역서!N472</f>
        <v>19896</v>
      </c>
      <c r="J242" s="513">
        <f>변경내역서!G472</f>
        <v>13</v>
      </c>
      <c r="K242" s="474">
        <f>변경내역서!I472</f>
        <v>20241</v>
      </c>
      <c r="L242" s="475">
        <f t="shared" si="9"/>
        <v>19896</v>
      </c>
      <c r="M242" s="475">
        <f t="shared" si="9"/>
        <v>13</v>
      </c>
      <c r="N242" s="476">
        <f t="shared" si="9"/>
        <v>20241</v>
      </c>
    </row>
    <row r="243" spans="2:14" ht="16.5" customHeight="1">
      <c r="B243" s="468" t="s">
        <v>514</v>
      </c>
      <c r="C243" s="469" t="s">
        <v>513</v>
      </c>
      <c r="D243" s="470" t="s">
        <v>265</v>
      </c>
      <c r="E243" s="508">
        <v>15</v>
      </c>
      <c r="F243" s="471">
        <f>변경내역서!N475</f>
        <v>0</v>
      </c>
      <c r="G243" s="471">
        <f>변경내역서!G475</f>
        <v>0</v>
      </c>
      <c r="H243" s="472">
        <f>변경내역서!I475</f>
        <v>0</v>
      </c>
      <c r="I243" s="473">
        <f>변경내역서!N474</f>
        <v>20866</v>
      </c>
      <c r="J243" s="513">
        <f>변경내역서!G474</f>
        <v>15</v>
      </c>
      <c r="K243" s="474">
        <f>변경내역서!I474</f>
        <v>37905</v>
      </c>
      <c r="L243" s="475">
        <f t="shared" si="9"/>
        <v>20866</v>
      </c>
      <c r="M243" s="475">
        <f t="shared" si="9"/>
        <v>15</v>
      </c>
      <c r="N243" s="476">
        <f t="shared" si="9"/>
        <v>37905</v>
      </c>
    </row>
    <row r="244" spans="2:14" ht="16.5" customHeight="1">
      <c r="B244" s="468" t="s">
        <v>344</v>
      </c>
      <c r="C244" s="469" t="s">
        <v>345</v>
      </c>
      <c r="D244" s="470" t="s">
        <v>255</v>
      </c>
      <c r="E244" s="508">
        <v>8.3000000000000007</v>
      </c>
      <c r="F244" s="471">
        <f>변경내역서!N477</f>
        <v>27302</v>
      </c>
      <c r="G244" s="488">
        <f>변경내역서!G477</f>
        <v>8.3000000000000007</v>
      </c>
      <c r="H244" s="472">
        <f>변경내역서!I477</f>
        <v>11711</v>
      </c>
      <c r="I244" s="473">
        <f>변경내역서!N476</f>
        <v>0</v>
      </c>
      <c r="J244" s="513">
        <f>변경내역서!G476</f>
        <v>0</v>
      </c>
      <c r="K244" s="474">
        <f>변경내역서!I476</f>
        <v>0</v>
      </c>
      <c r="L244" s="475">
        <f t="shared" si="9"/>
        <v>-27302</v>
      </c>
      <c r="M244" s="475">
        <f t="shared" si="9"/>
        <v>-8.3000000000000007</v>
      </c>
      <c r="N244" s="476">
        <f t="shared" si="9"/>
        <v>-11711</v>
      </c>
    </row>
    <row r="245" spans="2:14" ht="16.5" customHeight="1">
      <c r="B245" s="468" t="s">
        <v>477</v>
      </c>
      <c r="C245" s="469" t="s">
        <v>478</v>
      </c>
      <c r="D245" s="470" t="s">
        <v>255</v>
      </c>
      <c r="E245" s="508">
        <v>285.10000000000002</v>
      </c>
      <c r="F245" s="471">
        <f>변경내역서!N479</f>
        <v>9915</v>
      </c>
      <c r="G245" s="488">
        <f>변경내역서!G479</f>
        <v>285.10000000000002</v>
      </c>
      <c r="H245" s="472">
        <f>변경내역서!I479</f>
        <v>147111</v>
      </c>
      <c r="I245" s="473">
        <f>변경내역서!N478</f>
        <v>0</v>
      </c>
      <c r="J245" s="513">
        <f>변경내역서!G478</f>
        <v>0</v>
      </c>
      <c r="K245" s="474">
        <f>변경내역서!I478</f>
        <v>0</v>
      </c>
      <c r="L245" s="475">
        <f t="shared" si="9"/>
        <v>-9915</v>
      </c>
      <c r="M245" s="475">
        <f t="shared" si="9"/>
        <v>-285.10000000000002</v>
      </c>
      <c r="N245" s="476">
        <f t="shared" si="9"/>
        <v>-147111</v>
      </c>
    </row>
    <row r="246" spans="2:14" ht="16.5" customHeight="1">
      <c r="B246" s="468" t="s">
        <v>448</v>
      </c>
      <c r="C246" s="469" t="s">
        <v>450</v>
      </c>
      <c r="D246" s="470" t="s">
        <v>265</v>
      </c>
      <c r="E246" s="508">
        <v>47</v>
      </c>
      <c r="F246" s="471">
        <f>변경내역서!N481</f>
        <v>49476</v>
      </c>
      <c r="G246" s="471">
        <f>변경내역서!G481</f>
        <v>47</v>
      </c>
      <c r="H246" s="472">
        <f>변경내역서!I481</f>
        <v>116419</v>
      </c>
      <c r="I246" s="473">
        <f>변경내역서!N480</f>
        <v>0</v>
      </c>
      <c r="J246" s="513">
        <f>변경내역서!G480</f>
        <v>0</v>
      </c>
      <c r="K246" s="474">
        <f>변경내역서!I480</f>
        <v>0</v>
      </c>
      <c r="L246" s="475">
        <f t="shared" si="9"/>
        <v>-49476</v>
      </c>
      <c r="M246" s="475">
        <f t="shared" si="9"/>
        <v>-47</v>
      </c>
      <c r="N246" s="476">
        <f t="shared" si="9"/>
        <v>-116419</v>
      </c>
    </row>
    <row r="247" spans="2:14" ht="16.5" customHeight="1">
      <c r="B247" s="468" t="s">
        <v>483</v>
      </c>
      <c r="C247" s="469" t="s">
        <v>515</v>
      </c>
      <c r="D247" s="470" t="s">
        <v>300</v>
      </c>
      <c r="E247" s="508">
        <v>934.2</v>
      </c>
      <c r="F247" s="471">
        <f>변경내역서!N483</f>
        <v>3353</v>
      </c>
      <c r="G247" s="488">
        <f>변경내역서!G483</f>
        <v>934.2</v>
      </c>
      <c r="H247" s="472">
        <f>변경내역서!I483</f>
        <v>713728</v>
      </c>
      <c r="I247" s="473">
        <f>변경내역서!N482</f>
        <v>0</v>
      </c>
      <c r="J247" s="513">
        <f>변경내역서!G482</f>
        <v>0</v>
      </c>
      <c r="K247" s="474">
        <f>변경내역서!I482</f>
        <v>0</v>
      </c>
      <c r="L247" s="475">
        <f t="shared" si="9"/>
        <v>-3353</v>
      </c>
      <c r="M247" s="475">
        <f t="shared" si="9"/>
        <v>-934.2</v>
      </c>
      <c r="N247" s="476">
        <f t="shared" si="9"/>
        <v>-713728</v>
      </c>
    </row>
    <row r="248" spans="2:14" ht="16.5" customHeight="1">
      <c r="B248" s="468" t="s">
        <v>298</v>
      </c>
      <c r="C248" s="469" t="s">
        <v>299</v>
      </c>
      <c r="D248" s="470" t="s">
        <v>300</v>
      </c>
      <c r="E248" s="508">
        <v>9.1</v>
      </c>
      <c r="F248" s="471">
        <f>변경내역서!N485</f>
        <v>3078</v>
      </c>
      <c r="G248" s="488">
        <f>변경내역서!G485</f>
        <v>9.1</v>
      </c>
      <c r="H248" s="472">
        <f>변경내역서!I485</f>
        <v>8772</v>
      </c>
      <c r="I248" s="473">
        <f>변경내역서!N484</f>
        <v>0</v>
      </c>
      <c r="J248" s="513">
        <f>변경내역서!G484</f>
        <v>0</v>
      </c>
      <c r="K248" s="474">
        <f>변경내역서!I484</f>
        <v>0</v>
      </c>
      <c r="L248" s="475">
        <f t="shared" si="9"/>
        <v>-3078</v>
      </c>
      <c r="M248" s="475">
        <f t="shared" si="9"/>
        <v>-9.1</v>
      </c>
      <c r="N248" s="476">
        <f t="shared" si="9"/>
        <v>-8772</v>
      </c>
    </row>
    <row r="249" spans="2:14" ht="16.5" customHeight="1">
      <c r="B249" s="468" t="s">
        <v>302</v>
      </c>
      <c r="C249" s="469" t="s">
        <v>516</v>
      </c>
      <c r="D249" s="470" t="s">
        <v>300</v>
      </c>
      <c r="E249" s="508">
        <v>9.1</v>
      </c>
      <c r="F249" s="471">
        <f>변경내역서!N487</f>
        <v>10779</v>
      </c>
      <c r="G249" s="488">
        <f>변경내역서!G487</f>
        <v>9.1</v>
      </c>
      <c r="H249" s="472">
        <f>변경내역서!I487</f>
        <v>30694</v>
      </c>
      <c r="I249" s="473">
        <f>변경내역서!N486</f>
        <v>0</v>
      </c>
      <c r="J249" s="513">
        <f>변경내역서!G486</f>
        <v>0</v>
      </c>
      <c r="K249" s="474">
        <f>변경내역서!I486</f>
        <v>0</v>
      </c>
      <c r="L249" s="475">
        <f t="shared" si="9"/>
        <v>-10779</v>
      </c>
      <c r="M249" s="475">
        <f t="shared" si="9"/>
        <v>-9.1</v>
      </c>
      <c r="N249" s="476">
        <f t="shared" si="9"/>
        <v>-30694</v>
      </c>
    </row>
    <row r="250" spans="2:14" ht="16.5" customHeight="1">
      <c r="B250" s="468" t="s">
        <v>517</v>
      </c>
      <c r="C250" s="469" t="s">
        <v>518</v>
      </c>
      <c r="D250" s="470" t="s">
        <v>265</v>
      </c>
      <c r="E250" s="508">
        <v>14</v>
      </c>
      <c r="F250" s="471">
        <f>변경내역서!N489</f>
        <v>22472</v>
      </c>
      <c r="G250" s="471">
        <f>변경내역서!G489</f>
        <v>14</v>
      </c>
      <c r="H250" s="472">
        <f>변경내역서!I489</f>
        <v>24626</v>
      </c>
      <c r="I250" s="473">
        <f>변경내역서!N488</f>
        <v>0</v>
      </c>
      <c r="J250" s="513">
        <f>변경내역서!G488</f>
        <v>0</v>
      </c>
      <c r="K250" s="474">
        <f>변경내역서!I488</f>
        <v>0</v>
      </c>
      <c r="L250" s="475">
        <f t="shared" si="9"/>
        <v>-22472</v>
      </c>
      <c r="M250" s="475">
        <f t="shared" si="9"/>
        <v>-14</v>
      </c>
      <c r="N250" s="476">
        <f t="shared" si="9"/>
        <v>-24626</v>
      </c>
    </row>
    <row r="251" spans="2:14" ht="16.5" customHeight="1">
      <c r="B251" s="468" t="s">
        <v>517</v>
      </c>
      <c r="C251" s="469" t="s">
        <v>519</v>
      </c>
      <c r="D251" s="470" t="s">
        <v>265</v>
      </c>
      <c r="E251" s="508">
        <v>16</v>
      </c>
      <c r="F251" s="471">
        <f>변경내역서!N491</f>
        <v>23567</v>
      </c>
      <c r="G251" s="471">
        <f>변경내역서!G491</f>
        <v>16</v>
      </c>
      <c r="H251" s="472">
        <f>변경내역서!I491</f>
        <v>45664</v>
      </c>
      <c r="I251" s="473">
        <f>변경내역서!N490</f>
        <v>0</v>
      </c>
      <c r="J251" s="513">
        <f>변경내역서!G490</f>
        <v>0</v>
      </c>
      <c r="K251" s="474">
        <f>변경내역서!I490</f>
        <v>0</v>
      </c>
      <c r="L251" s="475">
        <f t="shared" si="9"/>
        <v>-23567</v>
      </c>
      <c r="M251" s="475">
        <f t="shared" si="9"/>
        <v>-16</v>
      </c>
      <c r="N251" s="476">
        <f t="shared" si="9"/>
        <v>-45664</v>
      </c>
    </row>
    <row r="252" spans="2:14" ht="16.5" customHeight="1">
      <c r="B252" s="468" t="s">
        <v>520</v>
      </c>
      <c r="C252" s="469" t="s">
        <v>521</v>
      </c>
      <c r="D252" s="470" t="s">
        <v>265</v>
      </c>
      <c r="E252" s="508">
        <v>14</v>
      </c>
      <c r="F252" s="471">
        <f>변경내역서!N493</f>
        <v>75676</v>
      </c>
      <c r="G252" s="471">
        <f>변경내역서!G493</f>
        <v>14</v>
      </c>
      <c r="H252" s="472">
        <f>변경내역서!I493</f>
        <v>746928</v>
      </c>
      <c r="I252" s="473">
        <f>변경내역서!N492</f>
        <v>0</v>
      </c>
      <c r="J252" s="513">
        <f>변경내역서!G492</f>
        <v>0</v>
      </c>
      <c r="K252" s="474">
        <f>변경내역서!I492</f>
        <v>0</v>
      </c>
      <c r="L252" s="475">
        <f t="shared" si="9"/>
        <v>-75676</v>
      </c>
      <c r="M252" s="475">
        <f t="shared" si="9"/>
        <v>-14</v>
      </c>
      <c r="N252" s="476">
        <f t="shared" si="9"/>
        <v>-746928</v>
      </c>
    </row>
    <row r="253" spans="2:14" ht="16.5" customHeight="1">
      <c r="B253" s="468"/>
      <c r="C253" s="469"/>
      <c r="D253" s="470"/>
      <c r="E253" s="508"/>
      <c r="F253" s="471">
        <f>변경내역서!N495</f>
        <v>0</v>
      </c>
      <c r="G253" s="471">
        <f>변경내역서!G495</f>
        <v>0</v>
      </c>
      <c r="H253" s="472">
        <f>변경내역서!I495</f>
        <v>0</v>
      </c>
      <c r="I253" s="473">
        <f>변경내역서!N494</f>
        <v>0</v>
      </c>
      <c r="J253" s="513">
        <f>변경내역서!G494</f>
        <v>0</v>
      </c>
      <c r="K253" s="474">
        <f>변경내역서!I494</f>
        <v>0</v>
      </c>
      <c r="L253" s="475">
        <f t="shared" si="9"/>
        <v>0</v>
      </c>
      <c r="M253" s="475">
        <f t="shared" si="9"/>
        <v>0</v>
      </c>
      <c r="N253" s="476">
        <f t="shared" si="9"/>
        <v>0</v>
      </c>
    </row>
    <row r="254" spans="2:14" ht="16.5" customHeight="1">
      <c r="B254" s="468"/>
      <c r="C254" s="469"/>
      <c r="D254" s="470"/>
      <c r="E254" s="508"/>
      <c r="F254" s="471">
        <f>변경내역서!N497</f>
        <v>0</v>
      </c>
      <c r="G254" s="471">
        <f>변경내역서!G497</f>
        <v>0</v>
      </c>
      <c r="H254" s="472">
        <f>변경내역서!I497</f>
        <v>0</v>
      </c>
      <c r="I254" s="473">
        <f>변경내역서!N496</f>
        <v>0</v>
      </c>
      <c r="J254" s="513">
        <f>변경내역서!G496</f>
        <v>0</v>
      </c>
      <c r="K254" s="474">
        <f>변경내역서!I496</f>
        <v>0</v>
      </c>
      <c r="L254" s="475">
        <f t="shared" si="9"/>
        <v>0</v>
      </c>
      <c r="M254" s="475">
        <f t="shared" si="9"/>
        <v>0</v>
      </c>
      <c r="N254" s="476">
        <f t="shared" si="9"/>
        <v>0</v>
      </c>
    </row>
    <row r="255" spans="2:14" ht="16.5" customHeight="1">
      <c r="B255" s="468"/>
      <c r="C255" s="469"/>
      <c r="D255" s="470"/>
      <c r="E255" s="508"/>
      <c r="F255" s="471">
        <f>변경내역서!N499</f>
        <v>0</v>
      </c>
      <c r="G255" s="471">
        <f>변경내역서!G499</f>
        <v>0</v>
      </c>
      <c r="H255" s="472">
        <f>변경내역서!I499</f>
        <v>0</v>
      </c>
      <c r="I255" s="473">
        <f>변경내역서!N498</f>
        <v>0</v>
      </c>
      <c r="J255" s="513">
        <f>변경내역서!G498</f>
        <v>0</v>
      </c>
      <c r="K255" s="474">
        <f>변경내역서!I498</f>
        <v>0</v>
      </c>
      <c r="L255" s="475">
        <f t="shared" si="9"/>
        <v>0</v>
      </c>
      <c r="M255" s="475">
        <f t="shared" si="9"/>
        <v>0</v>
      </c>
      <c r="N255" s="476">
        <f t="shared" si="9"/>
        <v>0</v>
      </c>
    </row>
    <row r="256" spans="2:14" ht="16.5" customHeight="1">
      <c r="B256" s="468"/>
      <c r="C256" s="469"/>
      <c r="D256" s="470"/>
      <c r="E256" s="508"/>
      <c r="F256" s="471">
        <f>변경내역서!N501</f>
        <v>0</v>
      </c>
      <c r="G256" s="471">
        <f>변경내역서!G501</f>
        <v>0</v>
      </c>
      <c r="H256" s="472">
        <f>변경내역서!I501</f>
        <v>0</v>
      </c>
      <c r="I256" s="473">
        <f>변경내역서!N500</f>
        <v>0</v>
      </c>
      <c r="J256" s="513">
        <f>변경내역서!G500</f>
        <v>0</v>
      </c>
      <c r="K256" s="474">
        <f>변경내역서!I500</f>
        <v>0</v>
      </c>
      <c r="L256" s="475">
        <f t="shared" si="9"/>
        <v>0</v>
      </c>
      <c r="M256" s="475">
        <f t="shared" si="9"/>
        <v>0</v>
      </c>
      <c r="N256" s="476">
        <f t="shared" si="9"/>
        <v>0</v>
      </c>
    </row>
    <row r="257" spans="2:14" ht="16.5" customHeight="1">
      <c r="B257" s="468"/>
      <c r="C257" s="469"/>
      <c r="D257" s="470"/>
      <c r="E257" s="508"/>
      <c r="F257" s="471">
        <f>변경내역서!N503</f>
        <v>0</v>
      </c>
      <c r="G257" s="471">
        <f>변경내역서!G503</f>
        <v>0</v>
      </c>
      <c r="H257" s="472">
        <f>변경내역서!I503</f>
        <v>0</v>
      </c>
      <c r="I257" s="473">
        <f>변경내역서!N502</f>
        <v>0</v>
      </c>
      <c r="J257" s="513">
        <f>변경내역서!G502</f>
        <v>0</v>
      </c>
      <c r="K257" s="474">
        <f>변경내역서!I502</f>
        <v>0</v>
      </c>
      <c r="L257" s="475">
        <f t="shared" si="9"/>
        <v>0</v>
      </c>
      <c r="M257" s="475">
        <f t="shared" si="9"/>
        <v>0</v>
      </c>
      <c r="N257" s="476">
        <f t="shared" si="9"/>
        <v>0</v>
      </c>
    </row>
    <row r="258" spans="2:14" ht="16.5" customHeight="1">
      <c r="B258" s="478" t="s">
        <v>216</v>
      </c>
      <c r="C258" s="479"/>
      <c r="D258" s="480"/>
      <c r="E258" s="509"/>
      <c r="F258" s="481">
        <f>변경내역서!N505</f>
        <v>0</v>
      </c>
      <c r="G258" s="481">
        <f>변경내역서!G505</f>
        <v>0</v>
      </c>
      <c r="H258" s="482">
        <f>변경내역서!I505</f>
        <v>1845653</v>
      </c>
      <c r="I258" s="483">
        <f>변경내역서!N504</f>
        <v>0</v>
      </c>
      <c r="J258" s="516">
        <f>변경내역서!G504</f>
        <v>0</v>
      </c>
      <c r="K258" s="484">
        <f>변경내역서!I504</f>
        <v>1204069</v>
      </c>
      <c r="L258" s="485">
        <f t="shared" si="9"/>
        <v>0</v>
      </c>
      <c r="M258" s="485">
        <f t="shared" si="9"/>
        <v>0</v>
      </c>
      <c r="N258" s="486">
        <f t="shared" si="9"/>
        <v>-641584</v>
      </c>
    </row>
    <row r="259" spans="2:14" ht="16.5" customHeight="1">
      <c r="B259" s="468"/>
      <c r="C259" s="469"/>
      <c r="D259" s="470"/>
      <c r="E259" s="508"/>
      <c r="F259" s="471"/>
      <c r="G259" s="471"/>
      <c r="H259" s="472"/>
      <c r="I259" s="473"/>
      <c r="J259" s="513"/>
      <c r="K259" s="474"/>
      <c r="L259" s="475"/>
      <c r="M259" s="475"/>
      <c r="N259" s="476"/>
    </row>
    <row r="260" spans="2:14" ht="16.5" customHeight="1">
      <c r="B260" s="468" t="s">
        <v>522</v>
      </c>
      <c r="C260" s="469" t="s">
        <v>393</v>
      </c>
      <c r="D260" s="470" t="s">
        <v>255</v>
      </c>
      <c r="E260" s="508">
        <v>15</v>
      </c>
      <c r="F260" s="471">
        <f>변경내역서!N507</f>
        <v>50848</v>
      </c>
      <c r="G260" s="471">
        <f>변경내역서!G507</f>
        <v>15</v>
      </c>
      <c r="H260" s="472">
        <f>변경내역서!I507</f>
        <v>74970</v>
      </c>
      <c r="I260" s="473">
        <f>변경내역서!N506</f>
        <v>0</v>
      </c>
      <c r="J260" s="513">
        <f>변경내역서!G506</f>
        <v>0</v>
      </c>
      <c r="K260" s="474">
        <f>변경내역서!I506</f>
        <v>0</v>
      </c>
      <c r="L260" s="475">
        <f t="shared" ref="L260:N305" si="10">I260-F260</f>
        <v>-50848</v>
      </c>
      <c r="M260" s="475">
        <f t="shared" si="10"/>
        <v>-15</v>
      </c>
      <c r="N260" s="476">
        <f t="shared" si="10"/>
        <v>-74970</v>
      </c>
    </row>
    <row r="261" spans="2:14" ht="16.5" customHeight="1">
      <c r="B261" s="468" t="s">
        <v>344</v>
      </c>
      <c r="C261" s="469" t="s">
        <v>345</v>
      </c>
      <c r="D261" s="470" t="s">
        <v>255</v>
      </c>
      <c r="E261" s="508">
        <v>2</v>
      </c>
      <c r="F261" s="471">
        <f>변경내역서!N509</f>
        <v>24173</v>
      </c>
      <c r="G261" s="471">
        <f>변경내역서!G509</f>
        <v>2</v>
      </c>
      <c r="H261" s="472">
        <f>변경내역서!I509</f>
        <v>2498</v>
      </c>
      <c r="I261" s="473">
        <f>변경내역서!N508</f>
        <v>0</v>
      </c>
      <c r="J261" s="513">
        <f>변경내역서!G508</f>
        <v>0</v>
      </c>
      <c r="K261" s="474">
        <f>변경내역서!I508</f>
        <v>0</v>
      </c>
      <c r="L261" s="475">
        <f t="shared" si="10"/>
        <v>-24173</v>
      </c>
      <c r="M261" s="475">
        <f t="shared" si="10"/>
        <v>-2</v>
      </c>
      <c r="N261" s="476">
        <f t="shared" si="10"/>
        <v>-2498</v>
      </c>
    </row>
    <row r="262" spans="2:14" ht="16.5" customHeight="1">
      <c r="B262" s="468" t="s">
        <v>437</v>
      </c>
      <c r="C262" s="469" t="s">
        <v>438</v>
      </c>
      <c r="D262" s="470" t="s">
        <v>255</v>
      </c>
      <c r="E262" s="508">
        <v>279</v>
      </c>
      <c r="F262" s="471">
        <f>변경내역서!N511</f>
        <v>11532</v>
      </c>
      <c r="G262" s="471">
        <f>변경내역서!G511</f>
        <v>279</v>
      </c>
      <c r="H262" s="472">
        <f>변경내역서!I511</f>
        <v>147312</v>
      </c>
      <c r="I262" s="473">
        <f>변경내역서!N510</f>
        <v>0</v>
      </c>
      <c r="J262" s="513">
        <f>변경내역서!G510</f>
        <v>0</v>
      </c>
      <c r="K262" s="474">
        <f>변경내역서!I510</f>
        <v>0</v>
      </c>
      <c r="L262" s="475">
        <f t="shared" si="10"/>
        <v>-11532</v>
      </c>
      <c r="M262" s="475">
        <f t="shared" si="10"/>
        <v>-279</v>
      </c>
      <c r="N262" s="476">
        <f t="shared" si="10"/>
        <v>-147312</v>
      </c>
    </row>
    <row r="263" spans="2:14" ht="16.5" customHeight="1">
      <c r="B263" s="468" t="s">
        <v>256</v>
      </c>
      <c r="C263" s="469" t="s">
        <v>346</v>
      </c>
      <c r="D263" s="470" t="s">
        <v>255</v>
      </c>
      <c r="E263" s="508">
        <v>357</v>
      </c>
      <c r="F263" s="471">
        <f>변경내역서!N513</f>
        <v>4249</v>
      </c>
      <c r="G263" s="471">
        <f>변경내역서!G513</f>
        <v>357</v>
      </c>
      <c r="H263" s="472">
        <f>변경내역서!I513</f>
        <v>139944</v>
      </c>
      <c r="I263" s="473">
        <f>변경내역서!N512</f>
        <v>0</v>
      </c>
      <c r="J263" s="513">
        <f>변경내역서!G512</f>
        <v>0</v>
      </c>
      <c r="K263" s="474">
        <f>변경내역서!I512</f>
        <v>0</v>
      </c>
      <c r="L263" s="475">
        <f t="shared" si="10"/>
        <v>-4249</v>
      </c>
      <c r="M263" s="475">
        <f t="shared" si="10"/>
        <v>-357</v>
      </c>
      <c r="N263" s="476">
        <f t="shared" si="10"/>
        <v>-139944</v>
      </c>
    </row>
    <row r="264" spans="2:14" ht="16.5" customHeight="1">
      <c r="B264" s="468" t="s">
        <v>446</v>
      </c>
      <c r="C264" s="469" t="s">
        <v>523</v>
      </c>
      <c r="D264" s="470" t="s">
        <v>255</v>
      </c>
      <c r="E264" s="508">
        <v>3</v>
      </c>
      <c r="F264" s="471">
        <f>변경내역서!N515</f>
        <v>14630</v>
      </c>
      <c r="G264" s="471">
        <f>변경내역서!G515</f>
        <v>3</v>
      </c>
      <c r="H264" s="472">
        <f>변경내역서!I515</f>
        <v>3315</v>
      </c>
      <c r="I264" s="473">
        <f>변경내역서!N514</f>
        <v>0</v>
      </c>
      <c r="J264" s="513">
        <f>변경내역서!G514</f>
        <v>0</v>
      </c>
      <c r="K264" s="474">
        <f>변경내역서!I514</f>
        <v>0</v>
      </c>
      <c r="L264" s="475">
        <f t="shared" si="10"/>
        <v>-14630</v>
      </c>
      <c r="M264" s="475">
        <f t="shared" si="10"/>
        <v>-3</v>
      </c>
      <c r="N264" s="476">
        <f t="shared" si="10"/>
        <v>-3315</v>
      </c>
    </row>
    <row r="265" spans="2:14" ht="16.5" customHeight="1">
      <c r="B265" s="468" t="s">
        <v>446</v>
      </c>
      <c r="C265" s="469" t="s">
        <v>524</v>
      </c>
      <c r="D265" s="470" t="s">
        <v>255</v>
      </c>
      <c r="E265" s="508">
        <v>24</v>
      </c>
      <c r="F265" s="471">
        <f>변경내역서!N517</f>
        <v>21772</v>
      </c>
      <c r="G265" s="471">
        <f>변경내역서!G517</f>
        <v>24</v>
      </c>
      <c r="H265" s="472">
        <f>변경내역서!I517</f>
        <v>43872</v>
      </c>
      <c r="I265" s="473">
        <f>변경내역서!N516</f>
        <v>0</v>
      </c>
      <c r="J265" s="513">
        <f>변경내역서!G516</f>
        <v>0</v>
      </c>
      <c r="K265" s="474">
        <f>변경내역서!I516</f>
        <v>0</v>
      </c>
      <c r="L265" s="475">
        <f t="shared" si="10"/>
        <v>-21772</v>
      </c>
      <c r="M265" s="475">
        <f t="shared" si="10"/>
        <v>-24</v>
      </c>
      <c r="N265" s="476">
        <f t="shared" si="10"/>
        <v>-43872</v>
      </c>
    </row>
    <row r="266" spans="2:14" ht="16.5" customHeight="1">
      <c r="B266" s="468" t="s">
        <v>446</v>
      </c>
      <c r="C266" s="469" t="s">
        <v>525</v>
      </c>
      <c r="D266" s="470" t="s">
        <v>265</v>
      </c>
      <c r="E266" s="508">
        <v>4</v>
      </c>
      <c r="F266" s="471">
        <f>변경내역서!N519</f>
        <v>708</v>
      </c>
      <c r="G266" s="471">
        <f>변경내역서!G519</f>
        <v>4</v>
      </c>
      <c r="H266" s="472">
        <f>변경내역서!I519</f>
        <v>2832</v>
      </c>
      <c r="I266" s="473">
        <f>변경내역서!N518</f>
        <v>0</v>
      </c>
      <c r="J266" s="513">
        <f>변경내역서!G518</f>
        <v>0</v>
      </c>
      <c r="K266" s="474">
        <f>변경내역서!I518</f>
        <v>0</v>
      </c>
      <c r="L266" s="475">
        <f t="shared" si="10"/>
        <v>-708</v>
      </c>
      <c r="M266" s="475">
        <f t="shared" si="10"/>
        <v>-4</v>
      </c>
      <c r="N266" s="476">
        <f t="shared" si="10"/>
        <v>-2832</v>
      </c>
    </row>
    <row r="267" spans="2:14" ht="16.5" customHeight="1">
      <c r="B267" s="468" t="s">
        <v>446</v>
      </c>
      <c r="C267" s="469" t="s">
        <v>526</v>
      </c>
      <c r="D267" s="470" t="s">
        <v>265</v>
      </c>
      <c r="E267" s="508">
        <v>24</v>
      </c>
      <c r="F267" s="471">
        <f>변경내역서!N521</f>
        <v>1239</v>
      </c>
      <c r="G267" s="471">
        <f>변경내역서!G521</f>
        <v>24</v>
      </c>
      <c r="H267" s="472">
        <f>변경내역서!I521</f>
        <v>29736</v>
      </c>
      <c r="I267" s="473">
        <f>변경내역서!N520</f>
        <v>0</v>
      </c>
      <c r="J267" s="513">
        <f>변경내역서!G520</f>
        <v>0</v>
      </c>
      <c r="K267" s="474">
        <f>변경내역서!I520</f>
        <v>0</v>
      </c>
      <c r="L267" s="475">
        <f t="shared" si="10"/>
        <v>-1239</v>
      </c>
      <c r="M267" s="475">
        <f t="shared" si="10"/>
        <v>-24</v>
      </c>
      <c r="N267" s="476">
        <f t="shared" si="10"/>
        <v>-29736</v>
      </c>
    </row>
    <row r="268" spans="2:14" ht="16.5" customHeight="1">
      <c r="B268" s="468" t="s">
        <v>399</v>
      </c>
      <c r="C268" s="469" t="s">
        <v>400</v>
      </c>
      <c r="D268" s="470" t="s">
        <v>265</v>
      </c>
      <c r="E268" s="508">
        <v>2</v>
      </c>
      <c r="F268" s="471">
        <f>변경내역서!N523</f>
        <v>3629</v>
      </c>
      <c r="G268" s="471">
        <f>변경내역서!G523</f>
        <v>2</v>
      </c>
      <c r="H268" s="472">
        <f>변경내역서!I523</f>
        <v>7258</v>
      </c>
      <c r="I268" s="473">
        <f>변경내역서!N522</f>
        <v>0</v>
      </c>
      <c r="J268" s="513">
        <f>변경내역서!G522</f>
        <v>0</v>
      </c>
      <c r="K268" s="474">
        <f>변경내역서!I522</f>
        <v>0</v>
      </c>
      <c r="L268" s="475">
        <f t="shared" si="10"/>
        <v>-3629</v>
      </c>
      <c r="M268" s="475">
        <f t="shared" si="10"/>
        <v>-2</v>
      </c>
      <c r="N268" s="476">
        <f t="shared" si="10"/>
        <v>-7258</v>
      </c>
    </row>
    <row r="269" spans="2:14" ht="16.5" customHeight="1">
      <c r="B269" s="468" t="s">
        <v>448</v>
      </c>
      <c r="C269" s="469" t="s">
        <v>450</v>
      </c>
      <c r="D269" s="470" t="s">
        <v>265</v>
      </c>
      <c r="E269" s="508">
        <v>2</v>
      </c>
      <c r="F269" s="471">
        <f>변경내역서!N525</f>
        <v>28777</v>
      </c>
      <c r="G269" s="471">
        <f>변경내역서!G525</f>
        <v>2</v>
      </c>
      <c r="H269" s="472">
        <f>변경내역서!I525</f>
        <v>2534</v>
      </c>
      <c r="I269" s="473">
        <f>변경내역서!N524</f>
        <v>0</v>
      </c>
      <c r="J269" s="513">
        <f>변경내역서!G524</f>
        <v>0</v>
      </c>
      <c r="K269" s="474">
        <f>변경내역서!I524</f>
        <v>0</v>
      </c>
      <c r="L269" s="475">
        <f t="shared" si="10"/>
        <v>-28777</v>
      </c>
      <c r="M269" s="475">
        <f t="shared" si="10"/>
        <v>-2</v>
      </c>
      <c r="N269" s="476">
        <f t="shared" si="10"/>
        <v>-2534</v>
      </c>
    </row>
    <row r="270" spans="2:14" ht="16.5" customHeight="1">
      <c r="B270" s="468" t="s">
        <v>451</v>
      </c>
      <c r="C270" s="469" t="s">
        <v>452</v>
      </c>
      <c r="D270" s="470" t="s">
        <v>265</v>
      </c>
      <c r="E270" s="508">
        <v>8</v>
      </c>
      <c r="F270" s="471">
        <f>변경내역서!N527</f>
        <v>47282</v>
      </c>
      <c r="G270" s="471">
        <f>변경내역서!G527</f>
        <v>8</v>
      </c>
      <c r="H270" s="472">
        <f>변경내역서!I527</f>
        <v>11456</v>
      </c>
      <c r="I270" s="473">
        <f>변경내역서!N526</f>
        <v>0</v>
      </c>
      <c r="J270" s="513">
        <f>변경내역서!G526</f>
        <v>0</v>
      </c>
      <c r="K270" s="474">
        <f>변경내역서!I526</f>
        <v>0</v>
      </c>
      <c r="L270" s="475">
        <f t="shared" si="10"/>
        <v>-47282</v>
      </c>
      <c r="M270" s="475">
        <f t="shared" si="10"/>
        <v>-8</v>
      </c>
      <c r="N270" s="476">
        <f t="shared" si="10"/>
        <v>-11456</v>
      </c>
    </row>
    <row r="271" spans="2:14" ht="16.5" customHeight="1">
      <c r="B271" s="468" t="s">
        <v>451</v>
      </c>
      <c r="C271" s="469" t="s">
        <v>453</v>
      </c>
      <c r="D271" s="470" t="s">
        <v>265</v>
      </c>
      <c r="E271" s="508">
        <v>5</v>
      </c>
      <c r="F271" s="471">
        <f>변경내역서!N529</f>
        <v>47302</v>
      </c>
      <c r="G271" s="471">
        <f>변경내역서!G529</f>
        <v>5</v>
      </c>
      <c r="H271" s="472">
        <f>변경내역서!I529</f>
        <v>7260</v>
      </c>
      <c r="I271" s="473">
        <f>변경내역서!N528</f>
        <v>0</v>
      </c>
      <c r="J271" s="513">
        <f>변경내역서!G528</f>
        <v>0</v>
      </c>
      <c r="K271" s="474">
        <f>변경내역서!I528</f>
        <v>0</v>
      </c>
      <c r="L271" s="475">
        <f t="shared" si="10"/>
        <v>-47302</v>
      </c>
      <c r="M271" s="475">
        <f t="shared" si="10"/>
        <v>-5</v>
      </c>
      <c r="N271" s="476">
        <f t="shared" si="10"/>
        <v>-7260</v>
      </c>
    </row>
    <row r="272" spans="2:14" ht="16.5" customHeight="1">
      <c r="B272" s="468" t="s">
        <v>454</v>
      </c>
      <c r="C272" s="469" t="s">
        <v>456</v>
      </c>
      <c r="D272" s="470" t="s">
        <v>265</v>
      </c>
      <c r="E272" s="508">
        <v>2</v>
      </c>
      <c r="F272" s="471">
        <f>변경내역서!N531</f>
        <v>253</v>
      </c>
      <c r="G272" s="471">
        <f>변경내역서!G531</f>
        <v>2</v>
      </c>
      <c r="H272" s="472">
        <f>변경내역서!I531</f>
        <v>506</v>
      </c>
      <c r="I272" s="473">
        <f>변경내역서!N530</f>
        <v>0</v>
      </c>
      <c r="J272" s="513">
        <f>변경내역서!G530</f>
        <v>0</v>
      </c>
      <c r="K272" s="474">
        <f>변경내역서!I530</f>
        <v>0</v>
      </c>
      <c r="L272" s="475">
        <f t="shared" si="10"/>
        <v>-253</v>
      </c>
      <c r="M272" s="475">
        <f t="shared" si="10"/>
        <v>-2</v>
      </c>
      <c r="N272" s="476">
        <f t="shared" si="10"/>
        <v>-506</v>
      </c>
    </row>
    <row r="273" spans="2:14" ht="16.5" customHeight="1">
      <c r="B273" s="468" t="s">
        <v>454</v>
      </c>
      <c r="C273" s="469" t="s">
        <v>457</v>
      </c>
      <c r="D273" s="470" t="s">
        <v>265</v>
      </c>
      <c r="E273" s="508">
        <v>5</v>
      </c>
      <c r="F273" s="471">
        <f>변경내역서!N533</f>
        <v>250</v>
      </c>
      <c r="G273" s="471">
        <f>변경내역서!G533</f>
        <v>5</v>
      </c>
      <c r="H273" s="472">
        <f>변경내역서!I533</f>
        <v>1250</v>
      </c>
      <c r="I273" s="473">
        <f>변경내역서!N532</f>
        <v>0</v>
      </c>
      <c r="J273" s="513">
        <f>변경내역서!G532</f>
        <v>0</v>
      </c>
      <c r="K273" s="474">
        <f>변경내역서!I532</f>
        <v>0</v>
      </c>
      <c r="L273" s="475">
        <f t="shared" si="10"/>
        <v>-250</v>
      </c>
      <c r="M273" s="475">
        <f t="shared" si="10"/>
        <v>-5</v>
      </c>
      <c r="N273" s="476">
        <f t="shared" si="10"/>
        <v>-1250</v>
      </c>
    </row>
    <row r="274" spans="2:14" ht="16.5" customHeight="1">
      <c r="B274" s="468" t="s">
        <v>439</v>
      </c>
      <c r="C274" s="469" t="s">
        <v>440</v>
      </c>
      <c r="D274" s="470" t="s">
        <v>291</v>
      </c>
      <c r="E274" s="508">
        <v>1</v>
      </c>
      <c r="F274" s="471">
        <f>변경내역서!N535</f>
        <v>11172</v>
      </c>
      <c r="G274" s="471">
        <f>변경내역서!G535</f>
        <v>1</v>
      </c>
      <c r="H274" s="472">
        <f>변경내역서!I535</f>
        <v>2003</v>
      </c>
      <c r="I274" s="473">
        <f>변경내역서!N534</f>
        <v>0</v>
      </c>
      <c r="J274" s="513">
        <f>변경내역서!G534</f>
        <v>0</v>
      </c>
      <c r="K274" s="474">
        <f>변경내역서!I534</f>
        <v>0</v>
      </c>
      <c r="L274" s="475">
        <f t="shared" si="10"/>
        <v>-11172</v>
      </c>
      <c r="M274" s="475">
        <f t="shared" si="10"/>
        <v>-1</v>
      </c>
      <c r="N274" s="476">
        <f t="shared" si="10"/>
        <v>-2003</v>
      </c>
    </row>
    <row r="275" spans="2:14" ht="16.5" customHeight="1">
      <c r="B275" s="468" t="s">
        <v>266</v>
      </c>
      <c r="C275" s="469" t="s">
        <v>351</v>
      </c>
      <c r="D275" s="470" t="s">
        <v>265</v>
      </c>
      <c r="E275" s="508">
        <v>11</v>
      </c>
      <c r="F275" s="471">
        <f>변경내역서!N537</f>
        <v>53884</v>
      </c>
      <c r="G275" s="471">
        <f>변경내역서!G537</f>
        <v>11</v>
      </c>
      <c r="H275" s="472">
        <f>변경내역서!I537</f>
        <v>37950</v>
      </c>
      <c r="I275" s="473">
        <f>변경내역서!N536</f>
        <v>0</v>
      </c>
      <c r="J275" s="513">
        <f>변경내역서!G536</f>
        <v>0</v>
      </c>
      <c r="K275" s="474">
        <f>변경내역서!I536</f>
        <v>0</v>
      </c>
      <c r="L275" s="475">
        <f t="shared" si="10"/>
        <v>-53884</v>
      </c>
      <c r="M275" s="475">
        <f t="shared" si="10"/>
        <v>-11</v>
      </c>
      <c r="N275" s="476">
        <f t="shared" si="10"/>
        <v>-37950</v>
      </c>
    </row>
    <row r="276" spans="2:14" ht="16.5" customHeight="1">
      <c r="B276" s="468" t="s">
        <v>441</v>
      </c>
      <c r="C276" s="469" t="s">
        <v>442</v>
      </c>
      <c r="D276" s="470" t="s">
        <v>255</v>
      </c>
      <c r="E276" s="508">
        <v>849</v>
      </c>
      <c r="F276" s="471">
        <f>변경내역서!N539</f>
        <v>2968</v>
      </c>
      <c r="G276" s="471">
        <f>변경내역서!G539</f>
        <v>849</v>
      </c>
      <c r="H276" s="472">
        <f>변경내역서!I539</f>
        <v>573924</v>
      </c>
      <c r="I276" s="473">
        <f>변경내역서!N538</f>
        <v>0</v>
      </c>
      <c r="J276" s="513">
        <f>변경내역서!G538</f>
        <v>0</v>
      </c>
      <c r="K276" s="474">
        <f>변경내역서!I538</f>
        <v>0</v>
      </c>
      <c r="L276" s="475">
        <f t="shared" si="10"/>
        <v>-2968</v>
      </c>
      <c r="M276" s="475">
        <f t="shared" si="10"/>
        <v>-849</v>
      </c>
      <c r="N276" s="476">
        <f t="shared" si="10"/>
        <v>-573924</v>
      </c>
    </row>
    <row r="277" spans="2:14" ht="16.5" customHeight="1">
      <c r="B277" s="468" t="s">
        <v>268</v>
      </c>
      <c r="C277" s="469" t="s">
        <v>404</v>
      </c>
      <c r="D277" s="470" t="s">
        <v>255</v>
      </c>
      <c r="E277" s="508">
        <v>414</v>
      </c>
      <c r="F277" s="471">
        <f>변경내역서!N541</f>
        <v>2814</v>
      </c>
      <c r="G277" s="471">
        <f>변경내역서!G541</f>
        <v>414</v>
      </c>
      <c r="H277" s="472">
        <f>변경내역서!I541</f>
        <v>310914</v>
      </c>
      <c r="I277" s="473">
        <f>변경내역서!N540</f>
        <v>0</v>
      </c>
      <c r="J277" s="513">
        <f>변경내역서!G540</f>
        <v>0</v>
      </c>
      <c r="K277" s="474">
        <f>변경내역서!I540</f>
        <v>0</v>
      </c>
      <c r="L277" s="475">
        <f t="shared" si="10"/>
        <v>-2814</v>
      </c>
      <c r="M277" s="475">
        <f t="shared" si="10"/>
        <v>-414</v>
      </c>
      <c r="N277" s="476">
        <f t="shared" si="10"/>
        <v>-310914</v>
      </c>
    </row>
    <row r="278" spans="2:14" ht="16.5" customHeight="1">
      <c r="B278" s="468" t="s">
        <v>270</v>
      </c>
      <c r="C278" s="469" t="s">
        <v>409</v>
      </c>
      <c r="D278" s="470" t="s">
        <v>255</v>
      </c>
      <c r="E278" s="508">
        <v>414</v>
      </c>
      <c r="F278" s="471">
        <f>변경내역서!N543</f>
        <v>11761</v>
      </c>
      <c r="G278" s="471">
        <f>변경내역서!G543</f>
        <v>414</v>
      </c>
      <c r="H278" s="472">
        <f>변경내역서!I543</f>
        <v>1482948</v>
      </c>
      <c r="I278" s="473">
        <f>변경내역서!N542</f>
        <v>0</v>
      </c>
      <c r="J278" s="513">
        <f>변경내역서!G542</f>
        <v>0</v>
      </c>
      <c r="K278" s="474">
        <f>변경내역서!I542</f>
        <v>0</v>
      </c>
      <c r="L278" s="475">
        <f t="shared" si="10"/>
        <v>-11761</v>
      </c>
      <c r="M278" s="475">
        <f t="shared" si="10"/>
        <v>-414</v>
      </c>
      <c r="N278" s="476">
        <f t="shared" si="10"/>
        <v>-1482948</v>
      </c>
    </row>
    <row r="279" spans="2:14" ht="16.5" customHeight="1">
      <c r="B279" s="468" t="s">
        <v>512</v>
      </c>
      <c r="C279" s="469" t="s">
        <v>513</v>
      </c>
      <c r="D279" s="470" t="s">
        <v>265</v>
      </c>
      <c r="E279" s="508">
        <v>11</v>
      </c>
      <c r="F279" s="471">
        <f>변경내역서!N545</f>
        <v>19896</v>
      </c>
      <c r="G279" s="471">
        <f>변경내역서!G545</f>
        <v>11</v>
      </c>
      <c r="H279" s="472">
        <f>변경내역서!I545</f>
        <v>17127</v>
      </c>
      <c r="I279" s="473">
        <f>변경내역서!N544</f>
        <v>0</v>
      </c>
      <c r="J279" s="513">
        <f>변경내역서!G544</f>
        <v>0</v>
      </c>
      <c r="K279" s="474">
        <f>변경내역서!I544</f>
        <v>0</v>
      </c>
      <c r="L279" s="475">
        <f t="shared" si="10"/>
        <v>-19896</v>
      </c>
      <c r="M279" s="475">
        <f t="shared" si="10"/>
        <v>-11</v>
      </c>
      <c r="N279" s="476">
        <f t="shared" si="10"/>
        <v>-17127</v>
      </c>
    </row>
    <row r="280" spans="2:14" ht="16.5" customHeight="1">
      <c r="B280" s="468" t="s">
        <v>413</v>
      </c>
      <c r="C280" s="469" t="s">
        <v>414</v>
      </c>
      <c r="D280" s="470" t="s">
        <v>280</v>
      </c>
      <c r="E280" s="508">
        <v>10</v>
      </c>
      <c r="F280" s="471">
        <f>변경내역서!N547</f>
        <v>9801</v>
      </c>
      <c r="G280" s="471">
        <f>변경내역서!G547</f>
        <v>10</v>
      </c>
      <c r="H280" s="472">
        <f>변경내역서!I547</f>
        <v>15480</v>
      </c>
      <c r="I280" s="473">
        <f>변경내역서!N546</f>
        <v>0</v>
      </c>
      <c r="J280" s="513">
        <f>변경내역서!G546</f>
        <v>0</v>
      </c>
      <c r="K280" s="474">
        <f>변경내역서!I546</f>
        <v>0</v>
      </c>
      <c r="L280" s="475">
        <f t="shared" si="10"/>
        <v>-9801</v>
      </c>
      <c r="M280" s="475">
        <f t="shared" si="10"/>
        <v>-10</v>
      </c>
      <c r="N280" s="476">
        <f t="shared" si="10"/>
        <v>-15480</v>
      </c>
    </row>
    <row r="281" spans="2:14" ht="16.5" customHeight="1">
      <c r="B281" s="468" t="s">
        <v>477</v>
      </c>
      <c r="C281" s="469" t="s">
        <v>478</v>
      </c>
      <c r="D281" s="470" t="s">
        <v>255</v>
      </c>
      <c r="E281" s="508"/>
      <c r="F281" s="471">
        <f>변경내역서!N549</f>
        <v>0</v>
      </c>
      <c r="G281" s="471">
        <f>변경내역서!G549</f>
        <v>0</v>
      </c>
      <c r="H281" s="472">
        <f>변경내역서!I549</f>
        <v>0</v>
      </c>
      <c r="I281" s="473">
        <f>변경내역서!N548</f>
        <v>0</v>
      </c>
      <c r="J281" s="513">
        <f>변경내역서!G548</f>
        <v>0</v>
      </c>
      <c r="K281" s="474">
        <f>변경내역서!I548</f>
        <v>0</v>
      </c>
      <c r="L281" s="475">
        <f t="shared" si="10"/>
        <v>0</v>
      </c>
      <c r="M281" s="475">
        <f t="shared" si="10"/>
        <v>0</v>
      </c>
      <c r="N281" s="476">
        <f t="shared" si="10"/>
        <v>0</v>
      </c>
    </row>
    <row r="282" spans="2:14" ht="16.5" customHeight="1">
      <c r="B282" s="468" t="s">
        <v>446</v>
      </c>
      <c r="C282" s="469" t="s">
        <v>479</v>
      </c>
      <c r="D282" s="470" t="s">
        <v>255</v>
      </c>
      <c r="E282" s="508">
        <v>635.5</v>
      </c>
      <c r="F282" s="471">
        <f>변경내역서!N551</f>
        <v>0</v>
      </c>
      <c r="G282" s="471">
        <f>변경내역서!G551</f>
        <v>0</v>
      </c>
      <c r="H282" s="472">
        <f>변경내역서!I551</f>
        <v>0</v>
      </c>
      <c r="I282" s="473">
        <f>변경내역서!N550</f>
        <v>9915</v>
      </c>
      <c r="J282" s="514">
        <f>변경내역서!G550</f>
        <v>635.5</v>
      </c>
      <c r="K282" s="474">
        <f>변경내역서!I550</f>
        <v>327918</v>
      </c>
      <c r="L282" s="475">
        <f t="shared" si="10"/>
        <v>9915</v>
      </c>
      <c r="M282" s="475">
        <f t="shared" si="10"/>
        <v>635.5</v>
      </c>
      <c r="N282" s="476">
        <f t="shared" si="10"/>
        <v>327918</v>
      </c>
    </row>
    <row r="283" spans="2:14" ht="16.5" customHeight="1">
      <c r="B283" s="468" t="s">
        <v>446</v>
      </c>
      <c r="C283" s="469" t="s">
        <v>527</v>
      </c>
      <c r="D283" s="470" t="s">
        <v>255</v>
      </c>
      <c r="E283" s="508">
        <v>32.799999999999997</v>
      </c>
      <c r="F283" s="471">
        <f>변경내역서!N553</f>
        <v>0</v>
      </c>
      <c r="G283" s="471">
        <f>변경내역서!G553</f>
        <v>0</v>
      </c>
      <c r="H283" s="472">
        <f>변경내역서!I553</f>
        <v>0</v>
      </c>
      <c r="I283" s="473">
        <f>변경내역서!N552</f>
        <v>12041</v>
      </c>
      <c r="J283" s="514">
        <f>변경내역서!G552</f>
        <v>32.799999999999997</v>
      </c>
      <c r="K283" s="474">
        <f>변경내역서!I552</f>
        <v>21287</v>
      </c>
      <c r="L283" s="475">
        <f t="shared" si="10"/>
        <v>12041</v>
      </c>
      <c r="M283" s="475">
        <f t="shared" si="10"/>
        <v>32.799999999999997</v>
      </c>
      <c r="N283" s="476">
        <f t="shared" si="10"/>
        <v>21287</v>
      </c>
    </row>
    <row r="284" spans="2:14" ht="16.5" customHeight="1">
      <c r="B284" s="468" t="s">
        <v>446</v>
      </c>
      <c r="C284" s="469" t="s">
        <v>528</v>
      </c>
      <c r="D284" s="470" t="s">
        <v>255</v>
      </c>
      <c r="E284" s="508">
        <v>2.8</v>
      </c>
      <c r="F284" s="471">
        <f>변경내역서!N555</f>
        <v>0</v>
      </c>
      <c r="G284" s="471">
        <f>변경내역서!G555</f>
        <v>0</v>
      </c>
      <c r="H284" s="472">
        <f>변경내역서!I555</f>
        <v>0</v>
      </c>
      <c r="I284" s="473">
        <f>변경내역서!N554</f>
        <v>51841</v>
      </c>
      <c r="J284" s="514">
        <f>변경내역서!G554</f>
        <v>2.8</v>
      </c>
      <c r="K284" s="474">
        <f>변경내역서!I554</f>
        <v>37903</v>
      </c>
      <c r="L284" s="475">
        <f t="shared" si="10"/>
        <v>51841</v>
      </c>
      <c r="M284" s="475">
        <f t="shared" si="10"/>
        <v>2.8</v>
      </c>
      <c r="N284" s="476">
        <f t="shared" si="10"/>
        <v>37903</v>
      </c>
    </row>
    <row r="285" spans="2:14" ht="16.5" customHeight="1">
      <c r="B285" s="468" t="s">
        <v>446</v>
      </c>
      <c r="C285" s="469" t="s">
        <v>480</v>
      </c>
      <c r="D285" s="470" t="s">
        <v>265</v>
      </c>
      <c r="E285" s="508">
        <v>21.5</v>
      </c>
      <c r="F285" s="471">
        <f>변경내역서!N557</f>
        <v>0</v>
      </c>
      <c r="G285" s="471">
        <f>변경내역서!G557</f>
        <v>0</v>
      </c>
      <c r="H285" s="472">
        <f>변경내역서!I557</f>
        <v>0</v>
      </c>
      <c r="I285" s="473">
        <f>변경내역서!N556</f>
        <v>24404</v>
      </c>
      <c r="J285" s="514">
        <f>변경내역서!G556</f>
        <v>21.5</v>
      </c>
      <c r="K285" s="474">
        <f>변경내역서!I556</f>
        <v>40398</v>
      </c>
      <c r="L285" s="475">
        <f t="shared" si="10"/>
        <v>24404</v>
      </c>
      <c r="M285" s="475">
        <f t="shared" si="10"/>
        <v>21.5</v>
      </c>
      <c r="N285" s="476">
        <f t="shared" si="10"/>
        <v>40398</v>
      </c>
    </row>
    <row r="286" spans="2:14" ht="16.5" customHeight="1">
      <c r="B286" s="468" t="s">
        <v>446</v>
      </c>
      <c r="C286" s="469" t="s">
        <v>529</v>
      </c>
      <c r="D286" s="470" t="s">
        <v>265</v>
      </c>
      <c r="E286" s="508">
        <v>20</v>
      </c>
      <c r="F286" s="471">
        <f>변경내역서!N559</f>
        <v>0</v>
      </c>
      <c r="G286" s="471">
        <f>변경내역서!G559</f>
        <v>0</v>
      </c>
      <c r="H286" s="472">
        <f>변경내역서!I559</f>
        <v>0</v>
      </c>
      <c r="I286" s="473">
        <f>변경내역서!N558</f>
        <v>973</v>
      </c>
      <c r="J286" s="513">
        <f>변경내역서!G558</f>
        <v>20</v>
      </c>
      <c r="K286" s="474">
        <f>변경내역서!I558</f>
        <v>19460</v>
      </c>
      <c r="L286" s="475">
        <f t="shared" si="10"/>
        <v>973</v>
      </c>
      <c r="M286" s="475">
        <f t="shared" si="10"/>
        <v>20</v>
      </c>
      <c r="N286" s="476">
        <f t="shared" si="10"/>
        <v>19460</v>
      </c>
    </row>
    <row r="287" spans="2:14" ht="16.5" customHeight="1">
      <c r="B287" s="468" t="s">
        <v>446</v>
      </c>
      <c r="C287" s="469" t="s">
        <v>530</v>
      </c>
      <c r="D287" s="470" t="s">
        <v>265</v>
      </c>
      <c r="E287" s="508">
        <v>2</v>
      </c>
      <c r="F287" s="471">
        <f>변경내역서!N561</f>
        <v>0</v>
      </c>
      <c r="G287" s="471">
        <f>변경내역서!G561</f>
        <v>0</v>
      </c>
      <c r="H287" s="472">
        <f>변경내역서!I561</f>
        <v>0</v>
      </c>
      <c r="I287" s="473">
        <f>변경내역서!N560</f>
        <v>1239</v>
      </c>
      <c r="J287" s="513">
        <f>변경내역서!G560</f>
        <v>2</v>
      </c>
      <c r="K287" s="474">
        <f>변경내역서!I560</f>
        <v>2478</v>
      </c>
      <c r="L287" s="475">
        <f t="shared" si="10"/>
        <v>1239</v>
      </c>
      <c r="M287" s="475">
        <f t="shared" si="10"/>
        <v>2</v>
      </c>
      <c r="N287" s="476">
        <f t="shared" si="10"/>
        <v>2478</v>
      </c>
    </row>
    <row r="288" spans="2:14" ht="16.5" customHeight="1">
      <c r="B288" s="468" t="s">
        <v>448</v>
      </c>
      <c r="C288" s="469" t="s">
        <v>481</v>
      </c>
      <c r="D288" s="470" t="s">
        <v>265</v>
      </c>
      <c r="E288" s="508">
        <v>8</v>
      </c>
      <c r="F288" s="471">
        <f>변경내역서!N563</f>
        <v>0</v>
      </c>
      <c r="G288" s="471">
        <f>변경내역서!G563</f>
        <v>0</v>
      </c>
      <c r="H288" s="472">
        <f>변경내역서!I563</f>
        <v>0</v>
      </c>
      <c r="I288" s="473">
        <f>변경내역서!N562</f>
        <v>7694</v>
      </c>
      <c r="J288" s="513">
        <f>변경내역서!G562</f>
        <v>8</v>
      </c>
      <c r="K288" s="474">
        <f>변경내역서!I562</f>
        <v>61552</v>
      </c>
      <c r="L288" s="475">
        <f t="shared" si="10"/>
        <v>7694</v>
      </c>
      <c r="M288" s="475">
        <f t="shared" si="10"/>
        <v>8</v>
      </c>
      <c r="N288" s="476">
        <f t="shared" si="10"/>
        <v>61552</v>
      </c>
    </row>
    <row r="289" spans="2:14" ht="16.5" customHeight="1">
      <c r="B289" s="468" t="s">
        <v>482</v>
      </c>
      <c r="C289" s="469" t="s">
        <v>452</v>
      </c>
      <c r="D289" s="470" t="s">
        <v>265</v>
      </c>
      <c r="E289" s="508">
        <v>22</v>
      </c>
      <c r="F289" s="471">
        <f>변경내역서!N565</f>
        <v>0</v>
      </c>
      <c r="G289" s="471">
        <f>변경내역서!G565</f>
        <v>0</v>
      </c>
      <c r="H289" s="472">
        <f>변경내역서!I565</f>
        <v>0</v>
      </c>
      <c r="I289" s="473">
        <f>변경내역서!N564</f>
        <v>32435</v>
      </c>
      <c r="J289" s="513">
        <f>변경내역서!G564</f>
        <v>22</v>
      </c>
      <c r="K289" s="474">
        <f>변경내역서!I564</f>
        <v>30030</v>
      </c>
      <c r="L289" s="475">
        <f t="shared" si="10"/>
        <v>32435</v>
      </c>
      <c r="M289" s="475">
        <f t="shared" si="10"/>
        <v>22</v>
      </c>
      <c r="N289" s="476">
        <f t="shared" si="10"/>
        <v>30030</v>
      </c>
    </row>
    <row r="290" spans="2:14" ht="16.5" customHeight="1">
      <c r="B290" s="468" t="s">
        <v>483</v>
      </c>
      <c r="C290" s="469" t="s">
        <v>531</v>
      </c>
      <c r="D290" s="470" t="s">
        <v>300</v>
      </c>
      <c r="E290" s="508">
        <v>27</v>
      </c>
      <c r="F290" s="471">
        <f>변경내역서!N567</f>
        <v>0</v>
      </c>
      <c r="G290" s="471">
        <f>변경내역서!G567</f>
        <v>0</v>
      </c>
      <c r="H290" s="472">
        <f>변경내역서!I567</f>
        <v>0</v>
      </c>
      <c r="I290" s="473">
        <f>변경내역서!N566</f>
        <v>53688</v>
      </c>
      <c r="J290" s="513">
        <f>변경내역서!G566</f>
        <v>27</v>
      </c>
      <c r="K290" s="474">
        <f>변경내역서!I566</f>
        <v>51435</v>
      </c>
      <c r="L290" s="475">
        <f t="shared" si="10"/>
        <v>53688</v>
      </c>
      <c r="M290" s="475">
        <f t="shared" si="10"/>
        <v>27</v>
      </c>
      <c r="N290" s="476">
        <f t="shared" si="10"/>
        <v>51435</v>
      </c>
    </row>
    <row r="291" spans="2:14" ht="16.5" customHeight="1">
      <c r="B291" s="468" t="s">
        <v>298</v>
      </c>
      <c r="C291" s="469" t="s">
        <v>299</v>
      </c>
      <c r="D291" s="470" t="s">
        <v>300</v>
      </c>
      <c r="E291" s="508">
        <v>719.4</v>
      </c>
      <c r="F291" s="471">
        <f>변경내역서!N569</f>
        <v>0</v>
      </c>
      <c r="G291" s="471">
        <f>변경내역서!G569</f>
        <v>0</v>
      </c>
      <c r="H291" s="472">
        <f>변경내역서!I569</f>
        <v>0</v>
      </c>
      <c r="I291" s="473">
        <f>변경내역서!N568</f>
        <v>3100</v>
      </c>
      <c r="J291" s="514">
        <f>변경내역서!G568</f>
        <v>719.4</v>
      </c>
      <c r="K291" s="474">
        <f>변경내역서!I568</f>
        <v>540269</v>
      </c>
      <c r="L291" s="475">
        <f t="shared" si="10"/>
        <v>3100</v>
      </c>
      <c r="M291" s="475">
        <f t="shared" si="10"/>
        <v>719.4</v>
      </c>
      <c r="N291" s="476">
        <f t="shared" si="10"/>
        <v>540269</v>
      </c>
    </row>
    <row r="292" spans="2:14" ht="16.5" customHeight="1">
      <c r="B292" s="468" t="s">
        <v>298</v>
      </c>
      <c r="C292" s="469" t="s">
        <v>362</v>
      </c>
      <c r="D292" s="470" t="s">
        <v>300</v>
      </c>
      <c r="E292" s="508">
        <v>3.3</v>
      </c>
      <c r="F292" s="471">
        <f>변경내역서!N571</f>
        <v>0</v>
      </c>
      <c r="G292" s="471">
        <f>변경내역서!G571</f>
        <v>0</v>
      </c>
      <c r="H292" s="472">
        <f>변경내역서!I571</f>
        <v>0</v>
      </c>
      <c r="I292" s="473">
        <f>변경내역서!N570</f>
        <v>3078</v>
      </c>
      <c r="J292" s="514">
        <f>변경내역서!G570</f>
        <v>3.3</v>
      </c>
      <c r="K292" s="474">
        <f>변경내역서!I570</f>
        <v>3181</v>
      </c>
      <c r="L292" s="475">
        <f t="shared" si="10"/>
        <v>3078</v>
      </c>
      <c r="M292" s="475">
        <f t="shared" si="10"/>
        <v>3.3</v>
      </c>
      <c r="N292" s="476">
        <f t="shared" si="10"/>
        <v>3181</v>
      </c>
    </row>
    <row r="293" spans="2:14" ht="16.5" customHeight="1">
      <c r="B293" s="468" t="s">
        <v>302</v>
      </c>
      <c r="C293" s="469" t="s">
        <v>427</v>
      </c>
      <c r="D293" s="470" t="s">
        <v>300</v>
      </c>
      <c r="E293" s="508">
        <v>23.5</v>
      </c>
      <c r="F293" s="471">
        <f>변경내역서!N573</f>
        <v>0</v>
      </c>
      <c r="G293" s="471">
        <f>변경내역서!G573</f>
        <v>0</v>
      </c>
      <c r="H293" s="472">
        <f>변경내역서!I573</f>
        <v>0</v>
      </c>
      <c r="I293" s="473">
        <f>변경내역서!N572</f>
        <v>3788</v>
      </c>
      <c r="J293" s="514">
        <f>변경내역서!G572</f>
        <v>23.5</v>
      </c>
      <c r="K293" s="474">
        <f>변경내역서!I572</f>
        <v>46436</v>
      </c>
      <c r="L293" s="475">
        <f t="shared" si="10"/>
        <v>3788</v>
      </c>
      <c r="M293" s="475">
        <f t="shared" si="10"/>
        <v>23.5</v>
      </c>
      <c r="N293" s="476">
        <f t="shared" si="10"/>
        <v>46436</v>
      </c>
    </row>
    <row r="294" spans="2:14" ht="16.5" customHeight="1">
      <c r="B294" s="468" t="s">
        <v>302</v>
      </c>
      <c r="C294" s="469" t="s">
        <v>516</v>
      </c>
      <c r="D294" s="470" t="s">
        <v>300</v>
      </c>
      <c r="E294" s="508">
        <v>18.7</v>
      </c>
      <c r="F294" s="471">
        <f>변경내역서!N575</f>
        <v>0</v>
      </c>
      <c r="G294" s="471">
        <f>변경내역서!G575</f>
        <v>0</v>
      </c>
      <c r="H294" s="472">
        <f>변경내역서!I575</f>
        <v>0</v>
      </c>
      <c r="I294" s="473">
        <f>변경내역서!N574</f>
        <v>37104</v>
      </c>
      <c r="J294" s="514">
        <f>변경내역서!G574</f>
        <v>18.7</v>
      </c>
      <c r="K294" s="474">
        <f>변경내역서!I574</f>
        <v>321340</v>
      </c>
      <c r="L294" s="475">
        <f t="shared" si="10"/>
        <v>37104</v>
      </c>
      <c r="M294" s="475">
        <f t="shared" si="10"/>
        <v>18.7</v>
      </c>
      <c r="N294" s="476">
        <f t="shared" si="10"/>
        <v>321340</v>
      </c>
    </row>
    <row r="295" spans="2:14" ht="16.5" customHeight="1">
      <c r="B295" s="468" t="s">
        <v>302</v>
      </c>
      <c r="C295" s="469" t="s">
        <v>369</v>
      </c>
      <c r="D295" s="470" t="s">
        <v>300</v>
      </c>
      <c r="E295" s="508">
        <v>3.3</v>
      </c>
      <c r="F295" s="471">
        <f>변경내역서!N577</f>
        <v>0</v>
      </c>
      <c r="G295" s="471">
        <f>변경내역서!G577</f>
        <v>0</v>
      </c>
      <c r="H295" s="472">
        <f>변경내역서!I577</f>
        <v>0</v>
      </c>
      <c r="I295" s="473">
        <f>변경내역서!N576</f>
        <v>10779</v>
      </c>
      <c r="J295" s="514">
        <f>변경내역서!G576</f>
        <v>3.3</v>
      </c>
      <c r="K295" s="474">
        <f>변경내역서!I576</f>
        <v>11130</v>
      </c>
      <c r="L295" s="475">
        <f t="shared" si="10"/>
        <v>10779</v>
      </c>
      <c r="M295" s="475">
        <f t="shared" si="10"/>
        <v>3.3</v>
      </c>
      <c r="N295" s="476">
        <f t="shared" si="10"/>
        <v>11130</v>
      </c>
    </row>
    <row r="296" spans="2:14" ht="16.5" customHeight="1">
      <c r="B296" s="468" t="s">
        <v>370</v>
      </c>
      <c r="C296" s="469" t="s">
        <v>371</v>
      </c>
      <c r="D296" s="470" t="s">
        <v>265</v>
      </c>
      <c r="E296" s="508">
        <v>4.8</v>
      </c>
      <c r="F296" s="471">
        <f>변경내역서!N579</f>
        <v>0</v>
      </c>
      <c r="G296" s="471">
        <f>변경내역서!G579</f>
        <v>0</v>
      </c>
      <c r="H296" s="472">
        <f>변경내역서!I579</f>
        <v>0</v>
      </c>
      <c r="I296" s="473">
        <f>변경내역서!N578</f>
        <v>26256</v>
      </c>
      <c r="J296" s="514">
        <f>변경내역서!G578</f>
        <v>4.8</v>
      </c>
      <c r="K296" s="474">
        <f>변경내역서!I578</f>
        <v>52723</v>
      </c>
      <c r="L296" s="475">
        <f t="shared" si="10"/>
        <v>26256</v>
      </c>
      <c r="M296" s="475">
        <f t="shared" si="10"/>
        <v>4.8</v>
      </c>
      <c r="N296" s="476">
        <f t="shared" si="10"/>
        <v>52723</v>
      </c>
    </row>
    <row r="297" spans="2:14" ht="16.5" customHeight="1">
      <c r="B297" s="468" t="s">
        <v>370</v>
      </c>
      <c r="C297" s="469" t="s">
        <v>372</v>
      </c>
      <c r="D297" s="470" t="s">
        <v>265</v>
      </c>
      <c r="E297" s="508">
        <v>8</v>
      </c>
      <c r="F297" s="471">
        <f>변경내역서!N581</f>
        <v>0</v>
      </c>
      <c r="G297" s="471">
        <f>변경내역서!G581</f>
        <v>0</v>
      </c>
      <c r="H297" s="472">
        <f>변경내역서!I581</f>
        <v>0</v>
      </c>
      <c r="I297" s="473">
        <f>변경내역서!N580</f>
        <v>21511</v>
      </c>
      <c r="J297" s="513">
        <f>변경내역서!G580</f>
        <v>8</v>
      </c>
      <c r="K297" s="474">
        <f>변경내역서!I580</f>
        <v>6592</v>
      </c>
      <c r="L297" s="475">
        <f t="shared" si="10"/>
        <v>21511</v>
      </c>
      <c r="M297" s="475">
        <f t="shared" si="10"/>
        <v>8</v>
      </c>
      <c r="N297" s="476">
        <f t="shared" si="10"/>
        <v>6592</v>
      </c>
    </row>
    <row r="298" spans="2:14" ht="16.5" customHeight="1">
      <c r="B298" s="468"/>
      <c r="C298" s="469"/>
      <c r="D298" s="470"/>
      <c r="E298" s="508">
        <v>12</v>
      </c>
      <c r="F298" s="471">
        <f>변경내역서!N583</f>
        <v>0</v>
      </c>
      <c r="G298" s="471">
        <f>변경내역서!G583</f>
        <v>0</v>
      </c>
      <c r="H298" s="472">
        <f>변경내역서!I583</f>
        <v>0</v>
      </c>
      <c r="I298" s="473">
        <f>변경내역서!N582</f>
        <v>16083</v>
      </c>
      <c r="J298" s="513">
        <f>변경내역서!G582</f>
        <v>12</v>
      </c>
      <c r="K298" s="474">
        <f>변경내역서!I582</f>
        <v>9120</v>
      </c>
      <c r="L298" s="475">
        <f t="shared" si="10"/>
        <v>16083</v>
      </c>
      <c r="M298" s="475">
        <f t="shared" si="10"/>
        <v>12</v>
      </c>
      <c r="N298" s="476">
        <f t="shared" si="10"/>
        <v>9120</v>
      </c>
    </row>
    <row r="299" spans="2:14" ht="16.5" customHeight="1">
      <c r="B299" s="468"/>
      <c r="C299" s="469"/>
      <c r="D299" s="470"/>
      <c r="E299" s="508"/>
      <c r="F299" s="471">
        <f>변경내역서!N585</f>
        <v>0</v>
      </c>
      <c r="G299" s="471">
        <f>변경내역서!G585</f>
        <v>0</v>
      </c>
      <c r="H299" s="472">
        <f>변경내역서!I585</f>
        <v>0</v>
      </c>
      <c r="I299" s="473">
        <f>변경내역서!N584</f>
        <v>0</v>
      </c>
      <c r="J299" s="513">
        <f>변경내역서!G584</f>
        <v>0</v>
      </c>
      <c r="K299" s="474">
        <f>변경내역서!I584</f>
        <v>0</v>
      </c>
      <c r="L299" s="475">
        <f t="shared" si="10"/>
        <v>0</v>
      </c>
      <c r="M299" s="475">
        <f t="shared" si="10"/>
        <v>0</v>
      </c>
      <c r="N299" s="476">
        <f t="shared" si="10"/>
        <v>0</v>
      </c>
    </row>
    <row r="300" spans="2:14" ht="16.5" customHeight="1">
      <c r="B300" s="468"/>
      <c r="C300" s="469"/>
      <c r="D300" s="470"/>
      <c r="E300" s="508"/>
      <c r="F300" s="471">
        <f>변경내역서!N587</f>
        <v>0</v>
      </c>
      <c r="G300" s="471">
        <f>변경내역서!G587</f>
        <v>0</v>
      </c>
      <c r="H300" s="472">
        <f>변경내역서!I587</f>
        <v>0</v>
      </c>
      <c r="I300" s="473">
        <f>변경내역서!N586</f>
        <v>0</v>
      </c>
      <c r="J300" s="513">
        <f>변경내역서!G586</f>
        <v>0</v>
      </c>
      <c r="K300" s="474">
        <f>변경내역서!I586</f>
        <v>0</v>
      </c>
      <c r="L300" s="475">
        <f t="shared" si="10"/>
        <v>0</v>
      </c>
      <c r="M300" s="475">
        <f t="shared" si="10"/>
        <v>0</v>
      </c>
      <c r="N300" s="476">
        <f t="shared" si="10"/>
        <v>0</v>
      </c>
    </row>
    <row r="301" spans="2:14" ht="16.5" customHeight="1">
      <c r="B301" s="468"/>
      <c r="C301" s="469"/>
      <c r="D301" s="470"/>
      <c r="E301" s="508"/>
      <c r="F301" s="471">
        <f>변경내역서!N589</f>
        <v>0</v>
      </c>
      <c r="G301" s="471">
        <f>변경내역서!G589</f>
        <v>0</v>
      </c>
      <c r="H301" s="472">
        <f>변경내역서!I589</f>
        <v>0</v>
      </c>
      <c r="I301" s="473">
        <f>변경내역서!N588</f>
        <v>0</v>
      </c>
      <c r="J301" s="513">
        <f>변경내역서!G588</f>
        <v>0</v>
      </c>
      <c r="K301" s="474">
        <f>변경내역서!I588</f>
        <v>0</v>
      </c>
      <c r="L301" s="475">
        <f t="shared" si="10"/>
        <v>0</v>
      </c>
      <c r="M301" s="475">
        <f t="shared" si="10"/>
        <v>0</v>
      </c>
      <c r="N301" s="476">
        <f t="shared" si="10"/>
        <v>0</v>
      </c>
    </row>
    <row r="302" spans="2:14" ht="16.5" customHeight="1">
      <c r="B302" s="468"/>
      <c r="C302" s="469"/>
      <c r="D302" s="470"/>
      <c r="E302" s="508"/>
      <c r="F302" s="471">
        <f>변경내역서!N591</f>
        <v>0</v>
      </c>
      <c r="G302" s="471">
        <f>변경내역서!G591</f>
        <v>0</v>
      </c>
      <c r="H302" s="472">
        <f>변경내역서!I591</f>
        <v>0</v>
      </c>
      <c r="I302" s="473">
        <f>변경내역서!N590</f>
        <v>0</v>
      </c>
      <c r="J302" s="513">
        <f>변경내역서!G590</f>
        <v>0</v>
      </c>
      <c r="K302" s="474">
        <f>변경내역서!I590</f>
        <v>0</v>
      </c>
      <c r="L302" s="475">
        <f t="shared" si="10"/>
        <v>0</v>
      </c>
      <c r="M302" s="475">
        <f t="shared" si="10"/>
        <v>0</v>
      </c>
      <c r="N302" s="476">
        <f t="shared" si="10"/>
        <v>0</v>
      </c>
    </row>
    <row r="303" spans="2:14" ht="16.5" customHeight="1">
      <c r="B303" s="468"/>
      <c r="C303" s="469"/>
      <c r="D303" s="470"/>
      <c r="E303" s="508"/>
      <c r="F303" s="471">
        <f>변경내역서!N593</f>
        <v>0</v>
      </c>
      <c r="G303" s="471">
        <f>변경내역서!G593</f>
        <v>0</v>
      </c>
      <c r="H303" s="472">
        <f>변경내역서!I593</f>
        <v>0</v>
      </c>
      <c r="I303" s="473">
        <f>변경내역서!N592</f>
        <v>0</v>
      </c>
      <c r="J303" s="513">
        <f>변경내역서!G592</f>
        <v>0</v>
      </c>
      <c r="K303" s="474">
        <f>변경내역서!I592</f>
        <v>0</v>
      </c>
      <c r="L303" s="475">
        <f t="shared" si="10"/>
        <v>0</v>
      </c>
      <c r="M303" s="475">
        <f t="shared" si="10"/>
        <v>0</v>
      </c>
      <c r="N303" s="476">
        <f t="shared" si="10"/>
        <v>0</v>
      </c>
    </row>
    <row r="304" spans="2:14" ht="16.5" customHeight="1">
      <c r="B304" s="468"/>
      <c r="C304" s="469"/>
      <c r="D304" s="470"/>
      <c r="E304" s="508"/>
      <c r="F304" s="471">
        <f>변경내역서!N595</f>
        <v>0</v>
      </c>
      <c r="G304" s="471">
        <f>변경내역서!G595</f>
        <v>0</v>
      </c>
      <c r="H304" s="472">
        <f>변경내역서!I595</f>
        <v>0</v>
      </c>
      <c r="I304" s="473">
        <f>변경내역서!N594</f>
        <v>0</v>
      </c>
      <c r="J304" s="513">
        <f>변경내역서!G594</f>
        <v>0</v>
      </c>
      <c r="K304" s="474">
        <f>변경내역서!I594</f>
        <v>0</v>
      </c>
      <c r="L304" s="475">
        <f t="shared" si="10"/>
        <v>0</v>
      </c>
      <c r="M304" s="475">
        <f t="shared" si="10"/>
        <v>0</v>
      </c>
      <c r="N304" s="476">
        <f t="shared" si="10"/>
        <v>0</v>
      </c>
    </row>
    <row r="305" spans="2:14" ht="16.5" customHeight="1">
      <c r="B305" s="478" t="s">
        <v>216</v>
      </c>
      <c r="C305" s="479"/>
      <c r="D305" s="480"/>
      <c r="E305" s="509"/>
      <c r="F305" s="481">
        <f>변경내역서!N597</f>
        <v>0</v>
      </c>
      <c r="G305" s="481">
        <f>변경내역서!G597</f>
        <v>0</v>
      </c>
      <c r="H305" s="482">
        <f>변경내역서!I597</f>
        <v>2915089</v>
      </c>
      <c r="I305" s="483">
        <f>변경내역서!N596</f>
        <v>0</v>
      </c>
      <c r="J305" s="516">
        <f>변경내역서!G596</f>
        <v>0</v>
      </c>
      <c r="K305" s="484">
        <f>변경내역서!I598</f>
        <v>1583252</v>
      </c>
      <c r="L305" s="485">
        <f t="shared" si="10"/>
        <v>0</v>
      </c>
      <c r="M305" s="485">
        <f t="shared" si="10"/>
        <v>0</v>
      </c>
      <c r="N305" s="486">
        <f t="shared" si="10"/>
        <v>-1331837</v>
      </c>
    </row>
    <row r="306" spans="2:14" ht="16.5" customHeight="1">
      <c r="B306" s="468" t="s">
        <v>3748</v>
      </c>
      <c r="C306" s="469"/>
      <c r="D306" s="470"/>
      <c r="E306" s="508"/>
      <c r="F306" s="471"/>
      <c r="G306" s="471"/>
      <c r="H306" s="472"/>
      <c r="I306" s="473"/>
      <c r="J306" s="513"/>
      <c r="K306" s="474"/>
      <c r="L306" s="475"/>
      <c r="M306" s="475"/>
      <c r="N306" s="476"/>
    </row>
    <row r="307" spans="2:14" ht="16.5" customHeight="1">
      <c r="B307" s="468" t="s">
        <v>344</v>
      </c>
      <c r="C307" s="469" t="s">
        <v>532</v>
      </c>
      <c r="D307" s="470" t="s">
        <v>255</v>
      </c>
      <c r="E307" s="508">
        <v>26</v>
      </c>
      <c r="F307" s="471">
        <f>변경내역서!N601</f>
        <v>0</v>
      </c>
      <c r="G307" s="471">
        <f>변경내역서!G601</f>
        <v>0</v>
      </c>
      <c r="H307" s="472">
        <f>변경내역서!I601</f>
        <v>0</v>
      </c>
      <c r="I307" s="473">
        <f>변경내역서!N600</f>
        <v>11955</v>
      </c>
      <c r="J307" s="513">
        <f>변경내역서!G600</f>
        <v>26</v>
      </c>
      <c r="K307" s="474">
        <f>변경내역서!I600</f>
        <v>12844</v>
      </c>
      <c r="L307" s="475">
        <f t="shared" ref="L307:N338" si="11">I307-F307</f>
        <v>11955</v>
      </c>
      <c r="M307" s="475">
        <f t="shared" si="11"/>
        <v>26</v>
      </c>
      <c r="N307" s="476">
        <f t="shared" si="11"/>
        <v>12844</v>
      </c>
    </row>
    <row r="308" spans="2:14" ht="16.5" customHeight="1">
      <c r="B308" s="468" t="s">
        <v>344</v>
      </c>
      <c r="C308" s="469" t="s">
        <v>533</v>
      </c>
      <c r="D308" s="470" t="s">
        <v>255</v>
      </c>
      <c r="E308" s="508">
        <v>7</v>
      </c>
      <c r="F308" s="471">
        <f>변경내역서!N603</f>
        <v>0</v>
      </c>
      <c r="G308" s="471">
        <f>변경내역서!G603</f>
        <v>0</v>
      </c>
      <c r="H308" s="472">
        <f>변경내역서!I603</f>
        <v>0</v>
      </c>
      <c r="I308" s="473">
        <f>변경내역서!N602</f>
        <v>19333</v>
      </c>
      <c r="J308" s="513">
        <f>변경내역서!G602</f>
        <v>7</v>
      </c>
      <c r="K308" s="474">
        <f>변경내역서!I602</f>
        <v>6958</v>
      </c>
      <c r="L308" s="475">
        <f t="shared" si="11"/>
        <v>19333</v>
      </c>
      <c r="M308" s="475">
        <f t="shared" si="11"/>
        <v>7</v>
      </c>
      <c r="N308" s="476">
        <f t="shared" si="11"/>
        <v>6958</v>
      </c>
    </row>
    <row r="309" spans="2:14" ht="16.5" customHeight="1">
      <c r="B309" s="468" t="s">
        <v>344</v>
      </c>
      <c r="C309" s="469" t="s">
        <v>254</v>
      </c>
      <c r="D309" s="470" t="s">
        <v>255</v>
      </c>
      <c r="E309" s="508">
        <v>15</v>
      </c>
      <c r="F309" s="471">
        <f>변경내역서!N605</f>
        <v>0</v>
      </c>
      <c r="G309" s="471">
        <f>변경내역서!G605</f>
        <v>0</v>
      </c>
      <c r="H309" s="472">
        <f>변경내역서!I605</f>
        <v>0</v>
      </c>
      <c r="I309" s="473">
        <f>변경내역서!N604</f>
        <v>67413</v>
      </c>
      <c r="J309" s="513">
        <f>변경내역서!G604</f>
        <v>15</v>
      </c>
      <c r="K309" s="474">
        <f>변경내역서!I604</f>
        <v>48345</v>
      </c>
      <c r="L309" s="475">
        <f t="shared" si="11"/>
        <v>67413</v>
      </c>
      <c r="M309" s="475">
        <f t="shared" si="11"/>
        <v>15</v>
      </c>
      <c r="N309" s="476">
        <f t="shared" si="11"/>
        <v>48345</v>
      </c>
    </row>
    <row r="310" spans="2:14" ht="16.5" customHeight="1">
      <c r="B310" s="468" t="s">
        <v>256</v>
      </c>
      <c r="C310" s="469" t="s">
        <v>534</v>
      </c>
      <c r="D310" s="470" t="s">
        <v>255</v>
      </c>
      <c r="E310" s="508">
        <v>91</v>
      </c>
      <c r="F310" s="471">
        <f>변경내역서!N607</f>
        <v>0</v>
      </c>
      <c r="G310" s="471">
        <f>변경내역서!G607</f>
        <v>0</v>
      </c>
      <c r="H310" s="472">
        <f>변경내역서!I607</f>
        <v>0</v>
      </c>
      <c r="I310" s="473">
        <f>변경내역서!N606</f>
        <v>3658</v>
      </c>
      <c r="J310" s="513">
        <f>변경내역서!G606</f>
        <v>91</v>
      </c>
      <c r="K310" s="474">
        <f>변경내역서!I606</f>
        <v>34580</v>
      </c>
      <c r="L310" s="475">
        <f t="shared" si="11"/>
        <v>3658</v>
      </c>
      <c r="M310" s="475">
        <f t="shared" si="11"/>
        <v>91</v>
      </c>
      <c r="N310" s="476">
        <f t="shared" si="11"/>
        <v>34580</v>
      </c>
    </row>
    <row r="311" spans="2:14" ht="16.5" customHeight="1">
      <c r="B311" s="468" t="s">
        <v>256</v>
      </c>
      <c r="C311" s="469" t="s">
        <v>535</v>
      </c>
      <c r="D311" s="470" t="s">
        <v>255</v>
      </c>
      <c r="E311" s="508">
        <v>91</v>
      </c>
      <c r="F311" s="471">
        <f>변경내역서!N609</f>
        <v>0</v>
      </c>
      <c r="G311" s="471">
        <f>변경내역서!G609</f>
        <v>0</v>
      </c>
      <c r="H311" s="472">
        <f>변경내역서!I609</f>
        <v>0</v>
      </c>
      <c r="I311" s="473">
        <f>변경내역서!N608</f>
        <v>6033</v>
      </c>
      <c r="J311" s="513">
        <f>변경내역서!G608</f>
        <v>91</v>
      </c>
      <c r="K311" s="474">
        <f>변경내역서!I608</f>
        <v>91273</v>
      </c>
      <c r="L311" s="475">
        <f t="shared" si="11"/>
        <v>6033</v>
      </c>
      <c r="M311" s="475">
        <f t="shared" si="11"/>
        <v>91</v>
      </c>
      <c r="N311" s="476">
        <f t="shared" si="11"/>
        <v>91273</v>
      </c>
    </row>
    <row r="312" spans="2:14" ht="16.5" customHeight="1">
      <c r="B312" s="468" t="s">
        <v>260</v>
      </c>
      <c r="C312" s="469" t="s">
        <v>348</v>
      </c>
      <c r="D312" s="470" t="s">
        <v>262</v>
      </c>
      <c r="E312" s="508">
        <v>4</v>
      </c>
      <c r="F312" s="471">
        <f>변경내역서!N611</f>
        <v>0</v>
      </c>
      <c r="G312" s="471">
        <f>변경내역서!G611</f>
        <v>0</v>
      </c>
      <c r="H312" s="472">
        <f>변경내역서!I611</f>
        <v>0</v>
      </c>
      <c r="I312" s="473">
        <f>변경내역서!N610</f>
        <v>59524</v>
      </c>
      <c r="J312" s="513">
        <f>변경내역서!G610</f>
        <v>4</v>
      </c>
      <c r="K312" s="474">
        <f>변경내역서!I610</f>
        <v>41644</v>
      </c>
      <c r="L312" s="475">
        <f t="shared" si="11"/>
        <v>59524</v>
      </c>
      <c r="M312" s="475">
        <f t="shared" si="11"/>
        <v>4</v>
      </c>
      <c r="N312" s="476">
        <f t="shared" si="11"/>
        <v>41644</v>
      </c>
    </row>
    <row r="313" spans="2:14" ht="16.5" customHeight="1">
      <c r="B313" s="468" t="s">
        <v>260</v>
      </c>
      <c r="C313" s="469" t="s">
        <v>261</v>
      </c>
      <c r="D313" s="470" t="s">
        <v>262</v>
      </c>
      <c r="E313" s="508">
        <v>4</v>
      </c>
      <c r="F313" s="471">
        <f>변경내역서!N613</f>
        <v>0</v>
      </c>
      <c r="G313" s="471">
        <f>변경내역서!G613</f>
        <v>0</v>
      </c>
      <c r="H313" s="472">
        <f>변경내역서!I613</f>
        <v>0</v>
      </c>
      <c r="I313" s="473">
        <f>변경내역서!N612</f>
        <v>64970</v>
      </c>
      <c r="J313" s="513">
        <f>변경내역서!G612</f>
        <v>4</v>
      </c>
      <c r="K313" s="474">
        <f>변경내역서!I612</f>
        <v>63428</v>
      </c>
      <c r="L313" s="475">
        <f t="shared" si="11"/>
        <v>64970</v>
      </c>
      <c r="M313" s="475">
        <f t="shared" si="11"/>
        <v>4</v>
      </c>
      <c r="N313" s="476">
        <f t="shared" si="11"/>
        <v>63428</v>
      </c>
    </row>
    <row r="314" spans="2:14" ht="16.5" customHeight="1">
      <c r="B314" s="468" t="s">
        <v>263</v>
      </c>
      <c r="C314" s="469" t="s">
        <v>536</v>
      </c>
      <c r="D314" s="470" t="s">
        <v>265</v>
      </c>
      <c r="E314" s="508">
        <v>1</v>
      </c>
      <c r="F314" s="471">
        <f>변경내역서!N615</f>
        <v>0</v>
      </c>
      <c r="G314" s="471">
        <f>변경내역서!G615</f>
        <v>0</v>
      </c>
      <c r="H314" s="472">
        <f>변경내역서!I615</f>
        <v>0</v>
      </c>
      <c r="I314" s="473">
        <f>변경내역서!N614</f>
        <v>687</v>
      </c>
      <c r="J314" s="513">
        <f>변경내역서!G614</f>
        <v>1</v>
      </c>
      <c r="K314" s="474">
        <f>변경내역서!I614</f>
        <v>687</v>
      </c>
      <c r="L314" s="475">
        <f t="shared" si="11"/>
        <v>687</v>
      </c>
      <c r="M314" s="475">
        <f t="shared" si="11"/>
        <v>1</v>
      </c>
      <c r="N314" s="476">
        <f t="shared" si="11"/>
        <v>687</v>
      </c>
    </row>
    <row r="315" spans="2:14" ht="16.5" customHeight="1">
      <c r="B315" s="468" t="s">
        <v>263</v>
      </c>
      <c r="C315" s="469" t="s">
        <v>264</v>
      </c>
      <c r="D315" s="470" t="s">
        <v>265</v>
      </c>
      <c r="E315" s="508">
        <v>2</v>
      </c>
      <c r="F315" s="471">
        <f>변경내역서!N617</f>
        <v>0</v>
      </c>
      <c r="G315" s="471">
        <f>변경내역서!G617</f>
        <v>0</v>
      </c>
      <c r="H315" s="472">
        <f>변경내역서!I617</f>
        <v>0</v>
      </c>
      <c r="I315" s="473">
        <f>변경내역서!N616</f>
        <v>3124</v>
      </c>
      <c r="J315" s="513">
        <f>변경내역서!G616</f>
        <v>2</v>
      </c>
      <c r="K315" s="474">
        <f>변경내역서!I616</f>
        <v>6248</v>
      </c>
      <c r="L315" s="475">
        <f t="shared" si="11"/>
        <v>3124</v>
      </c>
      <c r="M315" s="475">
        <f t="shared" si="11"/>
        <v>2</v>
      </c>
      <c r="N315" s="476">
        <f t="shared" si="11"/>
        <v>6248</v>
      </c>
    </row>
    <row r="316" spans="2:14" ht="16.5" customHeight="1">
      <c r="B316" s="468" t="s">
        <v>268</v>
      </c>
      <c r="C316" s="469" t="s">
        <v>537</v>
      </c>
      <c r="D316" s="470" t="s">
        <v>255</v>
      </c>
      <c r="E316" s="508">
        <v>45</v>
      </c>
      <c r="F316" s="471">
        <f>변경내역서!N619</f>
        <v>0</v>
      </c>
      <c r="G316" s="471">
        <f>변경내역서!G619</f>
        <v>0</v>
      </c>
      <c r="H316" s="472">
        <f>변경내역서!I619</f>
        <v>0</v>
      </c>
      <c r="I316" s="473">
        <f>변경내역서!N618</f>
        <v>3353</v>
      </c>
      <c r="J316" s="513">
        <f>변경내역서!G618</f>
        <v>45</v>
      </c>
      <c r="K316" s="474">
        <f>변경내역서!I618</f>
        <v>78705</v>
      </c>
      <c r="L316" s="475">
        <f t="shared" si="11"/>
        <v>3353</v>
      </c>
      <c r="M316" s="475">
        <f t="shared" si="11"/>
        <v>45</v>
      </c>
      <c r="N316" s="476">
        <f t="shared" si="11"/>
        <v>78705</v>
      </c>
    </row>
    <row r="317" spans="2:14" ht="16.5" customHeight="1">
      <c r="B317" s="468" t="s">
        <v>270</v>
      </c>
      <c r="C317" s="469" t="s">
        <v>538</v>
      </c>
      <c r="D317" s="470" t="s">
        <v>255</v>
      </c>
      <c r="E317" s="508">
        <v>56</v>
      </c>
      <c r="F317" s="471">
        <f>변경내역서!N621</f>
        <v>0</v>
      </c>
      <c r="G317" s="471">
        <f>변경내역서!G621</f>
        <v>0</v>
      </c>
      <c r="H317" s="472">
        <f>변경내역서!I621</f>
        <v>0</v>
      </c>
      <c r="I317" s="473">
        <f>변경내역서!N620</f>
        <v>3232</v>
      </c>
      <c r="J317" s="513">
        <f>변경내역서!G620</f>
        <v>56</v>
      </c>
      <c r="K317" s="474">
        <f>변경내역서!I620</f>
        <v>84784</v>
      </c>
      <c r="L317" s="475">
        <f t="shared" si="11"/>
        <v>3232</v>
      </c>
      <c r="M317" s="475">
        <f t="shared" si="11"/>
        <v>56</v>
      </c>
      <c r="N317" s="476">
        <f t="shared" si="11"/>
        <v>84784</v>
      </c>
    </row>
    <row r="318" spans="2:14" ht="16.5" customHeight="1">
      <c r="B318" s="468" t="s">
        <v>270</v>
      </c>
      <c r="C318" s="469" t="s">
        <v>539</v>
      </c>
      <c r="D318" s="470" t="s">
        <v>255</v>
      </c>
      <c r="E318" s="508">
        <v>112</v>
      </c>
      <c r="F318" s="471">
        <f>변경내역서!N623</f>
        <v>0</v>
      </c>
      <c r="G318" s="471">
        <f>변경내역서!G623</f>
        <v>0</v>
      </c>
      <c r="H318" s="472">
        <f>변경내역서!I623</f>
        <v>0</v>
      </c>
      <c r="I318" s="473">
        <f>변경내역서!N622</f>
        <v>22447</v>
      </c>
      <c r="J318" s="513">
        <f>변경내역서!G622</f>
        <v>112</v>
      </c>
      <c r="K318" s="474">
        <f>변경내역서!I622</f>
        <v>1801632</v>
      </c>
      <c r="L318" s="475">
        <f t="shared" si="11"/>
        <v>22447</v>
      </c>
      <c r="M318" s="475">
        <f t="shared" si="11"/>
        <v>112</v>
      </c>
      <c r="N318" s="476">
        <f t="shared" si="11"/>
        <v>1801632</v>
      </c>
    </row>
    <row r="319" spans="2:14" ht="16.5" customHeight="1">
      <c r="B319" s="468" t="s">
        <v>540</v>
      </c>
      <c r="C319" s="469" t="s">
        <v>541</v>
      </c>
      <c r="D319" s="470" t="s">
        <v>255</v>
      </c>
      <c r="E319" s="508">
        <v>55</v>
      </c>
      <c r="F319" s="471">
        <f>변경내역서!N625</f>
        <v>0</v>
      </c>
      <c r="G319" s="471">
        <f>변경내역서!G625</f>
        <v>0</v>
      </c>
      <c r="H319" s="472">
        <f>변경내역서!I625</f>
        <v>0</v>
      </c>
      <c r="I319" s="473">
        <f>변경내역서!N624</f>
        <v>1883</v>
      </c>
      <c r="J319" s="513">
        <f>변경내역서!G624</f>
        <v>55</v>
      </c>
      <c r="K319" s="474">
        <f>변경내역서!I624</f>
        <v>14740</v>
      </c>
      <c r="L319" s="475">
        <f t="shared" si="11"/>
        <v>1883</v>
      </c>
      <c r="M319" s="475">
        <f t="shared" si="11"/>
        <v>55</v>
      </c>
      <c r="N319" s="476">
        <f t="shared" si="11"/>
        <v>14740</v>
      </c>
    </row>
    <row r="320" spans="2:14" ht="16.5" customHeight="1">
      <c r="B320" s="468" t="s">
        <v>542</v>
      </c>
      <c r="C320" s="469" t="s">
        <v>543</v>
      </c>
      <c r="D320" s="470" t="s">
        <v>265</v>
      </c>
      <c r="E320" s="508">
        <v>16</v>
      </c>
      <c r="F320" s="471">
        <f>변경내역서!N627</f>
        <v>0</v>
      </c>
      <c r="G320" s="471">
        <f>변경내역서!G627</f>
        <v>0</v>
      </c>
      <c r="H320" s="472">
        <f>변경내역서!I627</f>
        <v>0</v>
      </c>
      <c r="I320" s="473">
        <f>변경내역서!N626</f>
        <v>26647</v>
      </c>
      <c r="J320" s="513">
        <f>변경내역서!G626</f>
        <v>16</v>
      </c>
      <c r="K320" s="474">
        <f>변경내역서!I626</f>
        <v>10640</v>
      </c>
      <c r="L320" s="475">
        <f t="shared" si="11"/>
        <v>26647</v>
      </c>
      <c r="M320" s="475">
        <f t="shared" si="11"/>
        <v>16</v>
      </c>
      <c r="N320" s="476">
        <f t="shared" si="11"/>
        <v>10640</v>
      </c>
    </row>
    <row r="321" spans="2:14" ht="16.5" customHeight="1">
      <c r="B321" s="468" t="s">
        <v>276</v>
      </c>
      <c r="C321" s="469" t="s">
        <v>277</v>
      </c>
      <c r="D321" s="470" t="s">
        <v>255</v>
      </c>
      <c r="E321" s="508">
        <v>45</v>
      </c>
      <c r="F321" s="471">
        <f>변경내역서!N629</f>
        <v>0</v>
      </c>
      <c r="G321" s="471">
        <f>변경내역서!G629</f>
        <v>0</v>
      </c>
      <c r="H321" s="472">
        <f>변경내역서!I629</f>
        <v>0</v>
      </c>
      <c r="I321" s="473">
        <f>변경내역서!N628</f>
        <v>494</v>
      </c>
      <c r="J321" s="513">
        <f>변경내역서!G628</f>
        <v>45</v>
      </c>
      <c r="K321" s="474">
        <f>변경내역서!I628</f>
        <v>10935</v>
      </c>
      <c r="L321" s="475">
        <f t="shared" si="11"/>
        <v>494</v>
      </c>
      <c r="M321" s="475">
        <f t="shared" si="11"/>
        <v>45</v>
      </c>
      <c r="N321" s="476">
        <f t="shared" si="11"/>
        <v>10935</v>
      </c>
    </row>
    <row r="322" spans="2:14" ht="16.5" customHeight="1">
      <c r="B322" s="468" t="s">
        <v>416</v>
      </c>
      <c r="C322" s="469" t="s">
        <v>417</v>
      </c>
      <c r="D322" s="470" t="s">
        <v>280</v>
      </c>
      <c r="E322" s="508">
        <v>2</v>
      </c>
      <c r="F322" s="471">
        <f>변경내역서!N631</f>
        <v>0</v>
      </c>
      <c r="G322" s="471">
        <f>변경내역서!G631</f>
        <v>0</v>
      </c>
      <c r="H322" s="472">
        <f>변경내역서!I631</f>
        <v>0</v>
      </c>
      <c r="I322" s="473">
        <f>변경내역서!N630</f>
        <v>161351</v>
      </c>
      <c r="J322" s="513">
        <f>변경내역서!G630</f>
        <v>2</v>
      </c>
      <c r="K322" s="474">
        <f>변경내역서!I630</f>
        <v>93596</v>
      </c>
      <c r="L322" s="475">
        <f t="shared" si="11"/>
        <v>161351</v>
      </c>
      <c r="M322" s="475">
        <f t="shared" si="11"/>
        <v>2</v>
      </c>
      <c r="N322" s="476">
        <f t="shared" si="11"/>
        <v>93596</v>
      </c>
    </row>
    <row r="323" spans="2:14" ht="16.5" customHeight="1">
      <c r="B323" s="468" t="s">
        <v>285</v>
      </c>
      <c r="C323" s="469" t="s">
        <v>286</v>
      </c>
      <c r="D323" s="470" t="s">
        <v>287</v>
      </c>
      <c r="E323" s="508">
        <v>32.4</v>
      </c>
      <c r="F323" s="471">
        <f>변경내역서!N633</f>
        <v>0</v>
      </c>
      <c r="G323" s="471">
        <f>변경내역서!G633</f>
        <v>0</v>
      </c>
      <c r="H323" s="472">
        <f>변경내역서!I633</f>
        <v>0</v>
      </c>
      <c r="I323" s="487">
        <f>변경내역서!N632</f>
        <v>1555</v>
      </c>
      <c r="J323" s="514">
        <f>변경내역서!G632</f>
        <v>32.4</v>
      </c>
      <c r="K323" s="474">
        <f>변경내역서!I632</f>
        <v>10789</v>
      </c>
      <c r="L323" s="475">
        <f t="shared" si="11"/>
        <v>1555</v>
      </c>
      <c r="M323" s="475">
        <f t="shared" si="11"/>
        <v>32.4</v>
      </c>
      <c r="N323" s="476">
        <f t="shared" si="11"/>
        <v>10789</v>
      </c>
    </row>
    <row r="324" spans="2:14" ht="16.5" customHeight="1">
      <c r="B324" s="468" t="s">
        <v>288</v>
      </c>
      <c r="C324" s="469" t="s">
        <v>286</v>
      </c>
      <c r="D324" s="470" t="s">
        <v>287</v>
      </c>
      <c r="E324" s="508">
        <v>32.4</v>
      </c>
      <c r="F324" s="471">
        <f>변경내역서!N635</f>
        <v>0</v>
      </c>
      <c r="G324" s="471">
        <f>변경내역서!G635</f>
        <v>0</v>
      </c>
      <c r="H324" s="472">
        <f>변경내역서!I635</f>
        <v>0</v>
      </c>
      <c r="I324" s="487">
        <f>변경내역서!N634</f>
        <v>1555</v>
      </c>
      <c r="J324" s="514">
        <f>변경내역서!G634</f>
        <v>32.4</v>
      </c>
      <c r="K324" s="474">
        <f>변경내역서!I634</f>
        <v>10789</v>
      </c>
      <c r="L324" s="475">
        <f t="shared" si="11"/>
        <v>1555</v>
      </c>
      <c r="M324" s="475">
        <f t="shared" si="11"/>
        <v>32.4</v>
      </c>
      <c r="N324" s="476">
        <f t="shared" si="11"/>
        <v>10789</v>
      </c>
    </row>
    <row r="325" spans="2:14" ht="16.5" customHeight="1">
      <c r="B325" s="468" t="s">
        <v>544</v>
      </c>
      <c r="C325" s="469" t="s">
        <v>545</v>
      </c>
      <c r="D325" s="470" t="s">
        <v>212</v>
      </c>
      <c r="E325" s="508">
        <v>1</v>
      </c>
      <c r="F325" s="471">
        <f>변경내역서!N637</f>
        <v>0</v>
      </c>
      <c r="G325" s="471">
        <f>변경내역서!G637</f>
        <v>0</v>
      </c>
      <c r="H325" s="472">
        <f>변경내역서!I637</f>
        <v>0</v>
      </c>
      <c r="I325" s="473" t="str">
        <f>변경내역서!N636</f>
        <v/>
      </c>
      <c r="J325" s="513">
        <f>변경내역서!G636</f>
        <v>1</v>
      </c>
      <c r="K325" s="474">
        <f>변경내역서!I636</f>
        <v>0</v>
      </c>
      <c r="L325" s="475" t="e">
        <f t="shared" si="11"/>
        <v>#VALUE!</v>
      </c>
      <c r="M325" s="475">
        <f t="shared" si="11"/>
        <v>1</v>
      </c>
      <c r="N325" s="476">
        <f t="shared" si="11"/>
        <v>0</v>
      </c>
    </row>
    <row r="326" spans="2:14" ht="16.5" customHeight="1">
      <c r="B326" s="468"/>
      <c r="C326" s="469"/>
      <c r="D326" s="470"/>
      <c r="E326" s="508"/>
      <c r="F326" s="471">
        <f>변경내역서!N639</f>
        <v>0</v>
      </c>
      <c r="G326" s="471">
        <f>변경내역서!G639</f>
        <v>0</v>
      </c>
      <c r="H326" s="472">
        <f>변경내역서!I639</f>
        <v>0</v>
      </c>
      <c r="I326" s="473">
        <f>변경내역서!N638</f>
        <v>0</v>
      </c>
      <c r="J326" s="513">
        <f>변경내역서!G638</f>
        <v>0</v>
      </c>
      <c r="K326" s="474">
        <f>변경내역서!I638</f>
        <v>0</v>
      </c>
      <c r="L326" s="475">
        <f t="shared" si="11"/>
        <v>0</v>
      </c>
      <c r="M326" s="475">
        <f t="shared" si="11"/>
        <v>0</v>
      </c>
      <c r="N326" s="476">
        <f t="shared" si="11"/>
        <v>0</v>
      </c>
    </row>
    <row r="327" spans="2:14" ht="16.5" customHeight="1">
      <c r="B327" s="468"/>
      <c r="C327" s="469"/>
      <c r="D327" s="470"/>
      <c r="E327" s="508"/>
      <c r="F327" s="471">
        <f>변경내역서!N641</f>
        <v>0</v>
      </c>
      <c r="G327" s="471">
        <f>변경내역서!G641</f>
        <v>0</v>
      </c>
      <c r="H327" s="472">
        <f>변경내역서!I641</f>
        <v>0</v>
      </c>
      <c r="I327" s="473">
        <f>변경내역서!N640</f>
        <v>0</v>
      </c>
      <c r="J327" s="513">
        <f>변경내역서!G640</f>
        <v>0</v>
      </c>
      <c r="K327" s="474">
        <f>변경내역서!I640</f>
        <v>0</v>
      </c>
      <c r="L327" s="475">
        <f t="shared" si="11"/>
        <v>0</v>
      </c>
      <c r="M327" s="475">
        <f t="shared" si="11"/>
        <v>0</v>
      </c>
      <c r="N327" s="476">
        <f t="shared" si="11"/>
        <v>0</v>
      </c>
    </row>
    <row r="328" spans="2:14" ht="16.5" customHeight="1">
      <c r="B328" s="468"/>
      <c r="C328" s="469"/>
      <c r="D328" s="470"/>
      <c r="E328" s="508"/>
      <c r="F328" s="471">
        <f>변경내역서!N643</f>
        <v>0</v>
      </c>
      <c r="G328" s="471">
        <f>변경내역서!G643</f>
        <v>0</v>
      </c>
      <c r="H328" s="472">
        <f>변경내역서!I643</f>
        <v>0</v>
      </c>
      <c r="I328" s="473">
        <f>변경내역서!N642</f>
        <v>0</v>
      </c>
      <c r="J328" s="513">
        <f>변경내역서!G642</f>
        <v>0</v>
      </c>
      <c r="K328" s="474">
        <f>변경내역서!I642</f>
        <v>0</v>
      </c>
      <c r="L328" s="475">
        <f t="shared" si="11"/>
        <v>0</v>
      </c>
      <c r="M328" s="475">
        <f t="shared" si="11"/>
        <v>0</v>
      </c>
      <c r="N328" s="476">
        <f t="shared" si="11"/>
        <v>0</v>
      </c>
    </row>
    <row r="329" spans="2:14" ht="16.5" customHeight="1">
      <c r="B329" s="468"/>
      <c r="C329" s="469"/>
      <c r="D329" s="470"/>
      <c r="E329" s="508"/>
      <c r="F329" s="471">
        <f>변경내역서!N645</f>
        <v>0</v>
      </c>
      <c r="G329" s="471">
        <f>변경내역서!G645</f>
        <v>0</v>
      </c>
      <c r="H329" s="472">
        <f>변경내역서!I645</f>
        <v>0</v>
      </c>
      <c r="I329" s="473">
        <f>변경내역서!N644</f>
        <v>0</v>
      </c>
      <c r="J329" s="513">
        <f>변경내역서!G644</f>
        <v>0</v>
      </c>
      <c r="K329" s="474">
        <f>변경내역서!I644</f>
        <v>0</v>
      </c>
      <c r="L329" s="475">
        <f t="shared" si="11"/>
        <v>0</v>
      </c>
      <c r="M329" s="475">
        <f t="shared" si="11"/>
        <v>0</v>
      </c>
      <c r="N329" s="476">
        <f t="shared" si="11"/>
        <v>0</v>
      </c>
    </row>
    <row r="330" spans="2:14" ht="16.5" customHeight="1">
      <c r="B330" s="468"/>
      <c r="C330" s="469"/>
      <c r="D330" s="470"/>
      <c r="E330" s="508"/>
      <c r="F330" s="471">
        <f>변경내역서!N647</f>
        <v>0</v>
      </c>
      <c r="G330" s="471">
        <f>변경내역서!G647</f>
        <v>0</v>
      </c>
      <c r="H330" s="472">
        <f>변경내역서!I647</f>
        <v>0</v>
      </c>
      <c r="I330" s="473">
        <f>변경내역서!N646</f>
        <v>0</v>
      </c>
      <c r="J330" s="513">
        <f>변경내역서!G646</f>
        <v>0</v>
      </c>
      <c r="K330" s="474">
        <f>변경내역서!I646</f>
        <v>0</v>
      </c>
      <c r="L330" s="475">
        <f t="shared" si="11"/>
        <v>0</v>
      </c>
      <c r="M330" s="475">
        <f t="shared" si="11"/>
        <v>0</v>
      </c>
      <c r="N330" s="476">
        <f t="shared" si="11"/>
        <v>0</v>
      </c>
    </row>
    <row r="331" spans="2:14" ht="16.5" customHeight="1">
      <c r="B331" s="478" t="s">
        <v>216</v>
      </c>
      <c r="C331" s="479"/>
      <c r="D331" s="480"/>
      <c r="E331" s="509"/>
      <c r="F331" s="481">
        <f>변경내역서!N649</f>
        <v>0</v>
      </c>
      <c r="G331" s="481">
        <f>변경내역서!G649</f>
        <v>0</v>
      </c>
      <c r="H331" s="482">
        <f ca="1">변경내역서!I649</f>
        <v>0</v>
      </c>
      <c r="I331" s="483">
        <f>변경내역서!N648</f>
        <v>0</v>
      </c>
      <c r="J331" s="516">
        <f>변경내역서!G648</f>
        <v>0</v>
      </c>
      <c r="K331" s="484">
        <f>변경내역서!I648</f>
        <v>2422617</v>
      </c>
      <c r="L331" s="485">
        <f t="shared" si="11"/>
        <v>0</v>
      </c>
      <c r="M331" s="485">
        <f t="shared" si="11"/>
        <v>0</v>
      </c>
      <c r="N331" s="486">
        <f t="shared" ca="1" si="11"/>
        <v>2422617</v>
      </c>
    </row>
    <row r="332" spans="2:14" ht="16.5" customHeight="1">
      <c r="B332" s="468" t="s">
        <v>546</v>
      </c>
      <c r="C332" s="469" t="s">
        <v>545</v>
      </c>
      <c r="D332" s="470" t="s">
        <v>212</v>
      </c>
      <c r="E332" s="508">
        <v>1</v>
      </c>
      <c r="F332" s="471">
        <f>변경내역서!N651</f>
        <v>179032531.96829</v>
      </c>
      <c r="G332" s="471">
        <f>변경내역서!G651</f>
        <v>1</v>
      </c>
      <c r="H332" s="472">
        <f>변경내역서!I651</f>
        <v>179032531</v>
      </c>
      <c r="I332" s="473">
        <f>변경내역서!N650</f>
        <v>0</v>
      </c>
      <c r="J332" s="513">
        <f>변경내역서!G650</f>
        <v>0</v>
      </c>
      <c r="K332" s="474">
        <f>변경내역서!I650</f>
        <v>0</v>
      </c>
      <c r="L332" s="475">
        <f t="shared" si="11"/>
        <v>-179032531.96829</v>
      </c>
      <c r="M332" s="475">
        <f t="shared" si="11"/>
        <v>-1</v>
      </c>
      <c r="N332" s="476">
        <f t="shared" si="11"/>
        <v>-179032531</v>
      </c>
    </row>
    <row r="333" spans="2:14" ht="16.5" customHeight="1">
      <c r="B333" s="468" t="s">
        <v>544</v>
      </c>
      <c r="C333" s="469" t="s">
        <v>545</v>
      </c>
      <c r="D333" s="470" t="s">
        <v>212</v>
      </c>
      <c r="E333" s="508">
        <v>1</v>
      </c>
      <c r="F333" s="471">
        <f>변경내역서!N653</f>
        <v>947410.10000000009</v>
      </c>
      <c r="G333" s="471">
        <f>변경내역서!G653</f>
        <v>1</v>
      </c>
      <c r="H333" s="472">
        <f>변경내역서!I653</f>
        <v>947410</v>
      </c>
      <c r="I333" s="473">
        <f>변경내역서!N652</f>
        <v>179032531.96829</v>
      </c>
      <c r="J333" s="513">
        <f>변경내역서!G652</f>
        <v>1</v>
      </c>
      <c r="K333" s="474">
        <f>변경내역서!I652</f>
        <v>179032531</v>
      </c>
      <c r="L333" s="475">
        <f t="shared" si="11"/>
        <v>178085121.86829001</v>
      </c>
      <c r="M333" s="475">
        <f t="shared" si="11"/>
        <v>0</v>
      </c>
      <c r="N333" s="476">
        <f t="shared" si="11"/>
        <v>178085121</v>
      </c>
    </row>
    <row r="334" spans="2:14" ht="16.5" customHeight="1">
      <c r="B334" s="468" t="s">
        <v>547</v>
      </c>
      <c r="C334" s="469" t="s">
        <v>548</v>
      </c>
      <c r="D334" s="470" t="s">
        <v>212</v>
      </c>
      <c r="E334" s="508">
        <v>1</v>
      </c>
      <c r="F334" s="471">
        <f>변경내역서!N655</f>
        <v>687720.56443999999</v>
      </c>
      <c r="G334" s="471">
        <f>변경내역서!G655</f>
        <v>1</v>
      </c>
      <c r="H334" s="472">
        <f>변경내역서!I655</f>
        <v>687720</v>
      </c>
      <c r="I334" s="473">
        <f>변경내역서!N654</f>
        <v>0</v>
      </c>
      <c r="J334" s="513">
        <f>변경내역서!G654</f>
        <v>0</v>
      </c>
      <c r="K334" s="474">
        <f>변경내역서!I654</f>
        <v>0</v>
      </c>
      <c r="L334" s="475">
        <f t="shared" si="11"/>
        <v>-687720.56443999999</v>
      </c>
      <c r="M334" s="475">
        <f t="shared" si="11"/>
        <v>-1</v>
      </c>
      <c r="N334" s="476">
        <f t="shared" si="11"/>
        <v>-687720</v>
      </c>
    </row>
    <row r="335" spans="2:14" ht="16.5" customHeight="1">
      <c r="B335" s="468" t="s">
        <v>547</v>
      </c>
      <c r="C335" s="469" t="s">
        <v>549</v>
      </c>
      <c r="D335" s="470" t="s">
        <v>212</v>
      </c>
      <c r="E335" s="508">
        <v>1</v>
      </c>
      <c r="F335" s="471">
        <f>변경내역서!N657</f>
        <v>0</v>
      </c>
      <c r="G335" s="471">
        <f>변경내역서!G657</f>
        <v>0</v>
      </c>
      <c r="H335" s="472">
        <f>변경내역서!I657</f>
        <v>0</v>
      </c>
      <c r="I335" s="473">
        <f>변경내역서!N656</f>
        <v>0</v>
      </c>
      <c r="J335" s="513">
        <f>변경내역서!G656</f>
        <v>0</v>
      </c>
      <c r="K335" s="474">
        <f>변경내역서!I656</f>
        <v>0</v>
      </c>
      <c r="L335" s="475">
        <f t="shared" si="11"/>
        <v>0</v>
      </c>
      <c r="M335" s="475">
        <f t="shared" si="11"/>
        <v>0</v>
      </c>
      <c r="N335" s="476">
        <f t="shared" si="11"/>
        <v>0</v>
      </c>
    </row>
    <row r="336" spans="2:14" ht="16.5" customHeight="1">
      <c r="B336" s="468"/>
      <c r="C336" s="469"/>
      <c r="D336" s="470"/>
      <c r="E336" s="508"/>
      <c r="F336" s="471"/>
      <c r="G336" s="471"/>
      <c r="H336" s="472"/>
      <c r="I336" s="473"/>
      <c r="J336" s="513"/>
      <c r="K336" s="474"/>
      <c r="L336" s="475"/>
      <c r="M336" s="475"/>
      <c r="N336" s="476"/>
    </row>
    <row r="337" spans="2:14" ht="16.5" customHeight="1">
      <c r="B337" s="468"/>
      <c r="C337" s="469"/>
      <c r="D337" s="470"/>
      <c r="E337" s="508"/>
      <c r="F337" s="471"/>
      <c r="G337" s="471"/>
      <c r="H337" s="472"/>
      <c r="I337" s="473"/>
      <c r="J337" s="513"/>
      <c r="K337" s="474"/>
      <c r="L337" s="475"/>
      <c r="M337" s="475"/>
      <c r="N337" s="476"/>
    </row>
    <row r="338" spans="2:14" ht="16.5" customHeight="1">
      <c r="B338" s="478" t="s">
        <v>216</v>
      </c>
      <c r="C338" s="479"/>
      <c r="D338" s="480"/>
      <c r="E338" s="509"/>
      <c r="F338" s="481">
        <f>변경내역서!N675</f>
        <v>0</v>
      </c>
      <c r="G338" s="481">
        <f>변경내역서!G675</f>
        <v>0</v>
      </c>
      <c r="H338" s="482">
        <f>H332+H333+H334</f>
        <v>180667661</v>
      </c>
      <c r="I338" s="483">
        <f>변경내역서!N674</f>
        <v>0</v>
      </c>
      <c r="J338" s="516">
        <f>변경내역서!G674</f>
        <v>0</v>
      </c>
      <c r="K338" s="484">
        <f ca="1">변경내역서!I674</f>
        <v>179032531</v>
      </c>
      <c r="L338" s="485">
        <f t="shared" si="11"/>
        <v>0</v>
      </c>
      <c r="M338" s="485">
        <f t="shared" si="11"/>
        <v>0</v>
      </c>
      <c r="N338" s="486">
        <f t="shared" ca="1" si="11"/>
        <v>-1635130</v>
      </c>
    </row>
    <row r="339" spans="2:14" ht="16.5" customHeight="1">
      <c r="B339" s="519" t="s">
        <v>3749</v>
      </c>
      <c r="C339" s="520"/>
      <c r="D339" s="521"/>
      <c r="E339" s="522"/>
      <c r="F339" s="523"/>
      <c r="G339" s="523"/>
      <c r="H339" s="523"/>
      <c r="I339" s="524"/>
      <c r="J339" s="525"/>
      <c r="K339" s="526"/>
      <c r="L339" s="527"/>
      <c r="M339" s="527"/>
      <c r="N339" s="528"/>
    </row>
    <row r="340" spans="2:14" ht="16.5" customHeight="1">
      <c r="B340" s="468" t="s">
        <v>418</v>
      </c>
      <c r="C340" s="469" t="s">
        <v>419</v>
      </c>
      <c r="D340" s="470" t="s">
        <v>321</v>
      </c>
      <c r="E340" s="508">
        <v>1</v>
      </c>
      <c r="F340" s="471">
        <f>변경내역서!H676</f>
        <v>799445.00727000006</v>
      </c>
      <c r="G340" s="471">
        <f>변경내역서!G676</f>
        <v>1</v>
      </c>
      <c r="H340" s="471">
        <f>변경내역서!I676</f>
        <v>799445</v>
      </c>
      <c r="I340" s="473"/>
      <c r="J340" s="513"/>
      <c r="K340" s="474"/>
      <c r="L340" s="475">
        <f t="shared" ref="L340:N351" si="12">I340-F340</f>
        <v>-799445.00727000006</v>
      </c>
      <c r="M340" s="475">
        <f t="shared" si="12"/>
        <v>-1</v>
      </c>
      <c r="N340" s="476">
        <f t="shared" si="12"/>
        <v>-799445</v>
      </c>
    </row>
    <row r="341" spans="2:14" ht="16.5" customHeight="1">
      <c r="B341" s="468" t="s">
        <v>418</v>
      </c>
      <c r="C341" s="469" t="s">
        <v>420</v>
      </c>
      <c r="D341" s="470" t="s">
        <v>321</v>
      </c>
      <c r="E341" s="508">
        <v>1</v>
      </c>
      <c r="F341" s="471">
        <f>변경내역서!H678</f>
        <v>14316076.725860002</v>
      </c>
      <c r="G341" s="471">
        <f>변경내역서!G678</f>
        <v>1</v>
      </c>
      <c r="H341" s="471">
        <f>변경내역서!I678</f>
        <v>14316076</v>
      </c>
      <c r="I341" s="473"/>
      <c r="J341" s="513"/>
      <c r="K341" s="474"/>
      <c r="L341" s="475">
        <f t="shared" si="12"/>
        <v>-14316076.725860002</v>
      </c>
      <c r="M341" s="475">
        <f t="shared" si="12"/>
        <v>-1</v>
      </c>
      <c r="N341" s="476">
        <f t="shared" si="12"/>
        <v>-14316076</v>
      </c>
    </row>
    <row r="342" spans="2:14" ht="16.5" customHeight="1">
      <c r="B342" s="468" t="s">
        <v>418</v>
      </c>
      <c r="C342" s="469" t="s">
        <v>421</v>
      </c>
      <c r="D342" s="470" t="s">
        <v>321</v>
      </c>
      <c r="E342" s="508">
        <v>1</v>
      </c>
      <c r="F342" s="471">
        <f>변경내역서!H680</f>
        <v>6048835.4098900007</v>
      </c>
      <c r="G342" s="471">
        <f>변경내역서!G680</f>
        <v>1</v>
      </c>
      <c r="H342" s="471">
        <f>변경내역서!I680</f>
        <v>6048835</v>
      </c>
      <c r="I342" s="473"/>
      <c r="J342" s="513"/>
      <c r="K342" s="474"/>
      <c r="L342" s="475">
        <f t="shared" si="12"/>
        <v>-6048835.4098900007</v>
      </c>
      <c r="M342" s="475">
        <f t="shared" si="12"/>
        <v>-1</v>
      </c>
      <c r="N342" s="476">
        <f t="shared" si="12"/>
        <v>-6048835</v>
      </c>
    </row>
    <row r="343" spans="2:14" ht="16.5" customHeight="1">
      <c r="B343" s="468" t="s">
        <v>550</v>
      </c>
      <c r="C343" s="469" t="s">
        <v>551</v>
      </c>
      <c r="D343" s="470" t="s">
        <v>212</v>
      </c>
      <c r="E343" s="508">
        <v>1</v>
      </c>
      <c r="F343" s="471">
        <f>변경내역서!H682</f>
        <v>469277.9</v>
      </c>
      <c r="G343" s="471">
        <f>변경내역서!G682</f>
        <v>1</v>
      </c>
      <c r="H343" s="471">
        <f>변경내역서!I682</f>
        <v>469277</v>
      </c>
      <c r="I343" s="473"/>
      <c r="J343" s="513"/>
      <c r="K343" s="474"/>
      <c r="L343" s="475">
        <f t="shared" si="12"/>
        <v>-469277.9</v>
      </c>
      <c r="M343" s="475">
        <f t="shared" si="12"/>
        <v>-1</v>
      </c>
      <c r="N343" s="476">
        <f t="shared" si="12"/>
        <v>-469277</v>
      </c>
    </row>
    <row r="344" spans="2:14" ht="16.5" customHeight="1">
      <c r="B344" s="468" t="s">
        <v>552</v>
      </c>
      <c r="C344" s="469" t="s">
        <v>553</v>
      </c>
      <c r="D344" s="470" t="s">
        <v>321</v>
      </c>
      <c r="E344" s="508" t="s">
        <v>554</v>
      </c>
      <c r="F344" s="471">
        <f>변경내역서!N683</f>
        <v>0</v>
      </c>
      <c r="G344" s="471">
        <f>변경내역서!G683</f>
        <v>0</v>
      </c>
      <c r="H344" s="472">
        <f>변경내역서!I683</f>
        <v>0</v>
      </c>
      <c r="I344" s="473">
        <f>변경내역서!H687</f>
        <v>1697490.6139100001</v>
      </c>
      <c r="J344" s="513">
        <f>변경내역서!G687</f>
        <v>1</v>
      </c>
      <c r="K344" s="474">
        <f>변경내역서!I687</f>
        <v>1697490</v>
      </c>
      <c r="L344" s="475">
        <f t="shared" si="12"/>
        <v>1697490.6139100001</v>
      </c>
      <c r="M344" s="475">
        <f t="shared" si="12"/>
        <v>1</v>
      </c>
      <c r="N344" s="476">
        <f t="shared" si="12"/>
        <v>1697490</v>
      </c>
    </row>
    <row r="345" spans="2:14" ht="16.5" customHeight="1">
      <c r="B345" s="468" t="s">
        <v>555</v>
      </c>
      <c r="C345" s="469" t="s">
        <v>553</v>
      </c>
      <c r="D345" s="470" t="s">
        <v>321</v>
      </c>
      <c r="E345" s="508" t="s">
        <v>554</v>
      </c>
      <c r="F345" s="471">
        <f>변경내역서!N721</f>
        <v>0</v>
      </c>
      <c r="G345" s="471">
        <f>변경내역서!G721</f>
        <v>0</v>
      </c>
      <c r="H345" s="472">
        <f>변경내역서!I721</f>
        <v>0</v>
      </c>
      <c r="I345" s="473">
        <f>변경내역서!H689</f>
        <v>9205408</v>
      </c>
      <c r="J345" s="513">
        <f>변경내역서!G689</f>
        <v>1</v>
      </c>
      <c r="K345" s="474">
        <f>변경내역서!I689</f>
        <v>9205408</v>
      </c>
      <c r="L345" s="475">
        <f t="shared" si="12"/>
        <v>9205408</v>
      </c>
      <c r="M345" s="475">
        <f t="shared" si="12"/>
        <v>1</v>
      </c>
      <c r="N345" s="476">
        <f t="shared" si="12"/>
        <v>9205408</v>
      </c>
    </row>
    <row r="346" spans="2:14" ht="16.5" customHeight="1">
      <c r="B346" s="468" t="s">
        <v>556</v>
      </c>
      <c r="C346" s="469" t="s">
        <v>320</v>
      </c>
      <c r="D346" s="470" t="s">
        <v>321</v>
      </c>
      <c r="E346" s="508" t="s">
        <v>554</v>
      </c>
      <c r="F346" s="471"/>
      <c r="G346" s="471"/>
      <c r="H346" s="472"/>
      <c r="I346" s="473">
        <f>변경내역서!H691</f>
        <v>3047380.00385</v>
      </c>
      <c r="J346" s="513">
        <f>변경내역서!G691</f>
        <v>1</v>
      </c>
      <c r="K346" s="474">
        <f>변경내역서!I691</f>
        <v>3047380</v>
      </c>
      <c r="L346" s="475">
        <f t="shared" si="12"/>
        <v>3047380.00385</v>
      </c>
      <c r="M346" s="475">
        <f t="shared" si="12"/>
        <v>1</v>
      </c>
      <c r="N346" s="476">
        <f t="shared" si="12"/>
        <v>3047380</v>
      </c>
    </row>
    <row r="347" spans="2:14" ht="16.5" customHeight="1">
      <c r="B347" s="468" t="s">
        <v>557</v>
      </c>
      <c r="C347" s="469" t="s">
        <v>558</v>
      </c>
      <c r="D347" s="470" t="s">
        <v>321</v>
      </c>
      <c r="E347" s="508" t="s">
        <v>554</v>
      </c>
      <c r="F347" s="471"/>
      <c r="G347" s="471"/>
      <c r="H347" s="472"/>
      <c r="I347" s="473">
        <f>변경내역서!H693</f>
        <v>274749.81443000003</v>
      </c>
      <c r="J347" s="513">
        <f>변경내역서!G693</f>
        <v>1</v>
      </c>
      <c r="K347" s="474">
        <f>변경내역서!I693</f>
        <v>274749</v>
      </c>
      <c r="L347" s="475">
        <f t="shared" si="12"/>
        <v>274749.81443000003</v>
      </c>
      <c r="M347" s="475">
        <f t="shared" si="12"/>
        <v>1</v>
      </c>
      <c r="N347" s="476">
        <f t="shared" si="12"/>
        <v>274749</v>
      </c>
    </row>
    <row r="348" spans="2:14" ht="16.5" customHeight="1">
      <c r="B348" s="468" t="s">
        <v>559</v>
      </c>
      <c r="C348" s="469" t="s">
        <v>558</v>
      </c>
      <c r="D348" s="470" t="s">
        <v>321</v>
      </c>
      <c r="E348" s="508" t="s">
        <v>554</v>
      </c>
      <c r="F348" s="471"/>
      <c r="G348" s="471"/>
      <c r="H348" s="472"/>
      <c r="I348" s="473">
        <f>변경내역서!H695</f>
        <v>2648620.4053400001</v>
      </c>
      <c r="J348" s="513">
        <f>변경내역서!G695</f>
        <v>1</v>
      </c>
      <c r="K348" s="474">
        <f>변경내역서!I695</f>
        <v>2648620</v>
      </c>
      <c r="L348" s="475">
        <f t="shared" si="12"/>
        <v>2648620.4053400001</v>
      </c>
      <c r="M348" s="475">
        <f t="shared" si="12"/>
        <v>1</v>
      </c>
      <c r="N348" s="476">
        <f t="shared" si="12"/>
        <v>2648620</v>
      </c>
    </row>
    <row r="349" spans="2:14" ht="16.5" customHeight="1">
      <c r="B349" s="468" t="s">
        <v>560</v>
      </c>
      <c r="C349" s="469" t="s">
        <v>558</v>
      </c>
      <c r="D349" s="470" t="s">
        <v>321</v>
      </c>
      <c r="E349" s="508" t="s">
        <v>554</v>
      </c>
      <c r="F349" s="471"/>
      <c r="G349" s="471"/>
      <c r="H349" s="472"/>
      <c r="I349" s="473">
        <f>변경내역서!H697</f>
        <v>2352035.88711</v>
      </c>
      <c r="J349" s="513">
        <f>변경내역서!G697</f>
        <v>1</v>
      </c>
      <c r="K349" s="474">
        <f>변경내역서!I697</f>
        <v>2352035</v>
      </c>
      <c r="L349" s="475">
        <f t="shared" si="12"/>
        <v>2352035.88711</v>
      </c>
      <c r="M349" s="475">
        <f t="shared" si="12"/>
        <v>1</v>
      </c>
      <c r="N349" s="476">
        <f t="shared" si="12"/>
        <v>2352035</v>
      </c>
    </row>
    <row r="350" spans="2:14" ht="16.5" customHeight="1">
      <c r="B350" s="468" t="s">
        <v>561</v>
      </c>
      <c r="C350" s="469" t="s">
        <v>558</v>
      </c>
      <c r="D350" s="470" t="s">
        <v>321</v>
      </c>
      <c r="E350" s="508" t="s">
        <v>554</v>
      </c>
      <c r="F350" s="471"/>
      <c r="G350" s="471"/>
      <c r="H350" s="472"/>
      <c r="I350" s="473">
        <f>변경내역서!H699</f>
        <v>1175383.53296</v>
      </c>
      <c r="J350" s="513">
        <f>변경내역서!G699</f>
        <v>1</v>
      </c>
      <c r="K350" s="474">
        <f>변경내역서!I699</f>
        <v>1175383</v>
      </c>
      <c r="L350" s="475">
        <f t="shared" si="12"/>
        <v>1175383.53296</v>
      </c>
      <c r="M350" s="475">
        <f t="shared" si="12"/>
        <v>1</v>
      </c>
      <c r="N350" s="476">
        <f t="shared" si="12"/>
        <v>1175383</v>
      </c>
    </row>
    <row r="351" spans="2:14" ht="16.5" customHeight="1">
      <c r="B351" s="468" t="s">
        <v>562</v>
      </c>
      <c r="C351" s="469" t="s">
        <v>563</v>
      </c>
      <c r="D351" s="470" t="s">
        <v>321</v>
      </c>
      <c r="E351" s="508" t="s">
        <v>554</v>
      </c>
      <c r="F351" s="471"/>
      <c r="G351" s="471"/>
      <c r="H351" s="472"/>
      <c r="I351" s="473">
        <f>변경내역서!H701</f>
        <v>3237100.2045200001</v>
      </c>
      <c r="J351" s="513">
        <f>변경내역서!G701</f>
        <v>1</v>
      </c>
      <c r="K351" s="474">
        <f>변경내역서!O701</f>
        <v>3237100</v>
      </c>
      <c r="L351" s="475">
        <f t="shared" si="12"/>
        <v>3237100.2045200001</v>
      </c>
      <c r="M351" s="475">
        <f t="shared" si="12"/>
        <v>1</v>
      </c>
      <c r="N351" s="476">
        <f t="shared" si="12"/>
        <v>3237100</v>
      </c>
    </row>
    <row r="352" spans="2:14" ht="16.5" customHeight="1">
      <c r="B352" s="468"/>
      <c r="C352" s="469"/>
      <c r="D352" s="470"/>
      <c r="E352" s="508"/>
      <c r="F352" s="471"/>
      <c r="G352" s="471"/>
      <c r="H352" s="472"/>
      <c r="I352" s="473"/>
      <c r="J352" s="513"/>
      <c r="K352" s="474"/>
      <c r="L352" s="475"/>
      <c r="M352" s="475"/>
      <c r="N352" s="476"/>
    </row>
    <row r="353" spans="2:14" ht="16.5" customHeight="1">
      <c r="B353" s="468"/>
      <c r="C353" s="469"/>
      <c r="D353" s="470"/>
      <c r="E353" s="508"/>
      <c r="F353" s="471"/>
      <c r="G353" s="471"/>
      <c r="H353" s="472"/>
      <c r="I353" s="473"/>
      <c r="J353" s="513"/>
      <c r="K353" s="474"/>
      <c r="L353" s="475"/>
      <c r="M353" s="475"/>
      <c r="N353" s="476"/>
    </row>
    <row r="354" spans="2:14" ht="16.5" customHeight="1">
      <c r="B354" s="468"/>
      <c r="C354" s="469"/>
      <c r="D354" s="470"/>
      <c r="E354" s="508"/>
      <c r="F354" s="471"/>
      <c r="G354" s="471"/>
      <c r="H354" s="472"/>
      <c r="I354" s="473"/>
      <c r="J354" s="513"/>
      <c r="K354" s="474"/>
      <c r="L354" s="475"/>
      <c r="M354" s="475"/>
      <c r="N354" s="476"/>
    </row>
    <row r="355" spans="2:14" ht="16.5" customHeight="1">
      <c r="B355" s="468"/>
      <c r="C355" s="469"/>
      <c r="D355" s="470"/>
      <c r="E355" s="508"/>
      <c r="F355" s="471"/>
      <c r="G355" s="471"/>
      <c r="H355" s="472"/>
      <c r="I355" s="473"/>
      <c r="J355" s="513"/>
      <c r="K355" s="474"/>
      <c r="L355" s="475"/>
      <c r="M355" s="475"/>
      <c r="N355" s="476"/>
    </row>
    <row r="356" spans="2:14" ht="16.5" customHeight="1">
      <c r="B356" s="468"/>
      <c r="C356" s="469"/>
      <c r="D356" s="470"/>
      <c r="E356" s="508"/>
      <c r="F356" s="471"/>
      <c r="G356" s="471"/>
      <c r="H356" s="472"/>
      <c r="I356" s="473"/>
      <c r="J356" s="513"/>
      <c r="K356" s="474"/>
      <c r="L356" s="475"/>
      <c r="M356" s="475"/>
      <c r="N356" s="476"/>
    </row>
    <row r="357" spans="2:14" ht="16.5" customHeight="1">
      <c r="B357" s="468"/>
      <c r="C357" s="469"/>
      <c r="D357" s="470"/>
      <c r="E357" s="508"/>
      <c r="F357" s="471"/>
      <c r="G357" s="471"/>
      <c r="H357" s="472"/>
      <c r="I357" s="473"/>
      <c r="J357" s="513"/>
      <c r="K357" s="474"/>
      <c r="L357" s="475"/>
      <c r="M357" s="475"/>
      <c r="N357" s="476"/>
    </row>
    <row r="358" spans="2:14" ht="16.5" customHeight="1">
      <c r="B358" s="468"/>
      <c r="C358" s="469"/>
      <c r="D358" s="470"/>
      <c r="E358" s="508"/>
      <c r="F358" s="471">
        <f>변경내역서!N685</f>
        <v>0</v>
      </c>
      <c r="G358" s="471">
        <f>변경내역서!G685</f>
        <v>0</v>
      </c>
      <c r="H358" s="472">
        <f>변경내역서!I685</f>
        <v>0</v>
      </c>
      <c r="I358" s="473">
        <f>변경내역서!N684</f>
        <v>0</v>
      </c>
      <c r="J358" s="513">
        <f>변경내역서!G684</f>
        <v>0</v>
      </c>
      <c r="K358" s="474">
        <f>변경내역서!I684</f>
        <v>0</v>
      </c>
      <c r="L358" s="475">
        <f t="shared" ref="L358:N384" si="13">I358-F358</f>
        <v>0</v>
      </c>
      <c r="M358" s="475">
        <f t="shared" si="13"/>
        <v>0</v>
      </c>
      <c r="N358" s="476">
        <f t="shared" si="13"/>
        <v>0</v>
      </c>
    </row>
    <row r="359" spans="2:14" ht="16.5" customHeight="1">
      <c r="B359" s="468"/>
      <c r="C359" s="469"/>
      <c r="D359" s="470"/>
      <c r="E359" s="508"/>
      <c r="F359" s="471">
        <f>변경내역서!N723</f>
        <v>0</v>
      </c>
      <c r="G359" s="471">
        <f>변경내역서!G723</f>
        <v>0</v>
      </c>
      <c r="H359" s="472">
        <f>변경내역서!I723</f>
        <v>0</v>
      </c>
      <c r="I359" s="473">
        <f>변경내역서!N722</f>
        <v>0</v>
      </c>
      <c r="J359" s="513">
        <f>변경내역서!G722</f>
        <v>0</v>
      </c>
      <c r="K359" s="474">
        <f>변경내역서!I722</f>
        <v>0</v>
      </c>
      <c r="L359" s="475">
        <f t="shared" si="13"/>
        <v>0</v>
      </c>
      <c r="M359" s="475">
        <f t="shared" si="13"/>
        <v>0</v>
      </c>
      <c r="N359" s="476">
        <f t="shared" si="13"/>
        <v>0</v>
      </c>
    </row>
    <row r="360" spans="2:14" ht="16.5" customHeight="1">
      <c r="B360" s="478" t="s">
        <v>564</v>
      </c>
      <c r="C360" s="479"/>
      <c r="D360" s="480"/>
      <c r="E360" s="509"/>
      <c r="F360" s="481">
        <f>변경내역서!N725</f>
        <v>0</v>
      </c>
      <c r="G360" s="481">
        <f>변경내역서!G725</f>
        <v>0</v>
      </c>
      <c r="H360" s="482">
        <f>SUM(H340:H358)</f>
        <v>21633633</v>
      </c>
      <c r="I360" s="483">
        <f>변경내역서!N724</f>
        <v>0</v>
      </c>
      <c r="J360" s="516">
        <f>변경내역서!G724</f>
        <v>0</v>
      </c>
      <c r="K360" s="484">
        <f>SUM(K340:K359)</f>
        <v>23638165</v>
      </c>
      <c r="L360" s="485">
        <f t="shared" si="13"/>
        <v>0</v>
      </c>
      <c r="M360" s="485">
        <f t="shared" si="13"/>
        <v>0</v>
      </c>
      <c r="N360" s="486">
        <f t="shared" si="13"/>
        <v>2004532</v>
      </c>
    </row>
    <row r="361" spans="2:14" ht="16.5" customHeight="1">
      <c r="B361" s="468" t="s">
        <v>565</v>
      </c>
      <c r="C361" s="469" t="s">
        <v>466</v>
      </c>
      <c r="D361" s="470" t="s">
        <v>294</v>
      </c>
      <c r="E361" s="508">
        <v>6</v>
      </c>
      <c r="F361" s="471">
        <f>변경내역서!N727</f>
        <v>79688.700000000012</v>
      </c>
      <c r="G361" s="471">
        <f>변경내역서!G727</f>
        <v>6</v>
      </c>
      <c r="H361" s="472">
        <f>변경내역서!I727</f>
        <v>478132</v>
      </c>
      <c r="I361" s="473">
        <f>변경내역서!N726</f>
        <v>0</v>
      </c>
      <c r="J361" s="513">
        <f>변경내역서!G726</f>
        <v>0</v>
      </c>
      <c r="K361" s="474">
        <f>변경내역서!I726</f>
        <v>0</v>
      </c>
      <c r="L361" s="475">
        <f t="shared" si="13"/>
        <v>-79688.700000000012</v>
      </c>
      <c r="M361" s="475">
        <f t="shared" si="13"/>
        <v>-6</v>
      </c>
      <c r="N361" s="476">
        <f t="shared" si="13"/>
        <v>-478132</v>
      </c>
    </row>
    <row r="362" spans="2:14" ht="16.5" customHeight="1">
      <c r="B362" s="468" t="s">
        <v>465</v>
      </c>
      <c r="C362" s="469" t="s">
        <v>466</v>
      </c>
      <c r="D362" s="470" t="s">
        <v>294</v>
      </c>
      <c r="E362" s="508">
        <v>6</v>
      </c>
      <c r="F362" s="471">
        <f>변경내역서!N729</f>
        <v>79688.700000000012</v>
      </c>
      <c r="G362" s="471">
        <f>변경내역서!G729</f>
        <v>4</v>
      </c>
      <c r="H362" s="472">
        <f>변경내역서!I729</f>
        <v>318754</v>
      </c>
      <c r="I362" s="473">
        <f>변경내역서!N728</f>
        <v>87657</v>
      </c>
      <c r="J362" s="513">
        <f>변경내역서!G728</f>
        <v>13</v>
      </c>
      <c r="K362" s="474">
        <f>변경내역서!I728</f>
        <v>1139541</v>
      </c>
      <c r="L362" s="475">
        <f t="shared" si="13"/>
        <v>7968.2999999999884</v>
      </c>
      <c r="M362" s="475">
        <f t="shared" si="13"/>
        <v>9</v>
      </c>
      <c r="N362" s="476">
        <f t="shared" si="13"/>
        <v>820787</v>
      </c>
    </row>
    <row r="363" spans="2:14" ht="16.5" customHeight="1">
      <c r="B363" s="468" t="s">
        <v>467</v>
      </c>
      <c r="C363" s="469" t="s">
        <v>468</v>
      </c>
      <c r="D363" s="470" t="s">
        <v>294</v>
      </c>
      <c r="E363" s="508">
        <v>4</v>
      </c>
      <c r="F363" s="471">
        <f>변경내역서!N731</f>
        <v>354172</v>
      </c>
      <c r="G363" s="471">
        <f>변경내역서!G731</f>
        <v>24</v>
      </c>
      <c r="H363" s="472">
        <f>변경내역서!I731</f>
        <v>8500128</v>
      </c>
      <c r="I363" s="473">
        <f>변경내역서!N730</f>
        <v>126616</v>
      </c>
      <c r="J363" s="513">
        <f>변경내역서!G730</f>
        <v>4</v>
      </c>
      <c r="K363" s="474">
        <f>변경내역서!I730</f>
        <v>506464</v>
      </c>
      <c r="L363" s="475">
        <f t="shared" si="13"/>
        <v>-227556</v>
      </c>
      <c r="M363" s="475">
        <f t="shared" si="13"/>
        <v>-20</v>
      </c>
      <c r="N363" s="476">
        <f t="shared" si="13"/>
        <v>-7993664</v>
      </c>
    </row>
    <row r="364" spans="2:14" ht="16.5" customHeight="1">
      <c r="B364" s="468" t="s">
        <v>469</v>
      </c>
      <c r="C364" s="469" t="s">
        <v>470</v>
      </c>
      <c r="D364" s="470" t="s">
        <v>294</v>
      </c>
      <c r="E364" s="508">
        <v>24</v>
      </c>
      <c r="F364" s="471">
        <f>변경내역서!N733</f>
        <v>84115.85</v>
      </c>
      <c r="G364" s="471">
        <f>변경내역서!G733</f>
        <v>18</v>
      </c>
      <c r="H364" s="472">
        <f>변경내역서!I733</f>
        <v>1514085</v>
      </c>
      <c r="I364" s="473">
        <f>변경내역서!N732</f>
        <v>350630</v>
      </c>
      <c r="J364" s="513">
        <f>변경내역서!G732</f>
        <v>37</v>
      </c>
      <c r="K364" s="474">
        <f>변경내역서!I732</f>
        <v>12973310</v>
      </c>
      <c r="L364" s="475">
        <f t="shared" si="13"/>
        <v>266514.15000000002</v>
      </c>
      <c r="M364" s="475">
        <f t="shared" si="13"/>
        <v>19</v>
      </c>
      <c r="N364" s="476">
        <f t="shared" si="13"/>
        <v>11459225</v>
      </c>
    </row>
    <row r="365" spans="2:14" ht="16.5" customHeight="1">
      <c r="B365" s="468" t="s">
        <v>471</v>
      </c>
      <c r="C365" s="469" t="s">
        <v>472</v>
      </c>
      <c r="D365" s="470" t="s">
        <v>294</v>
      </c>
      <c r="E365" s="508">
        <v>18</v>
      </c>
      <c r="F365" s="471">
        <f>변경내역서!N735</f>
        <v>32760.910000000003</v>
      </c>
      <c r="G365" s="471">
        <f>변경내역서!G735</f>
        <v>16</v>
      </c>
      <c r="H365" s="472">
        <f>변경내역서!I735</f>
        <v>524174</v>
      </c>
      <c r="I365" s="473">
        <f>변경내역서!N734</f>
        <v>79688</v>
      </c>
      <c r="J365" s="513">
        <f>변경내역서!G734</f>
        <v>3</v>
      </c>
      <c r="K365" s="474">
        <f>변경내역서!I734</f>
        <v>239064</v>
      </c>
      <c r="L365" s="475">
        <f t="shared" si="13"/>
        <v>46927.09</v>
      </c>
      <c r="M365" s="475">
        <f t="shared" si="13"/>
        <v>-13</v>
      </c>
      <c r="N365" s="476">
        <f t="shared" si="13"/>
        <v>-285110</v>
      </c>
    </row>
    <row r="366" spans="2:14" ht="16.5" customHeight="1">
      <c r="B366" s="468" t="s">
        <v>473</v>
      </c>
      <c r="C366" s="469" t="s">
        <v>474</v>
      </c>
      <c r="D366" s="470" t="s">
        <v>294</v>
      </c>
      <c r="E366" s="508">
        <v>16</v>
      </c>
      <c r="F366" s="471">
        <f>변경내역서!N737</f>
        <v>30990.050000000003</v>
      </c>
      <c r="G366" s="471">
        <f>변경내역서!G737</f>
        <v>6</v>
      </c>
      <c r="H366" s="472">
        <f>변경내역서!I737</f>
        <v>185940</v>
      </c>
      <c r="I366" s="473">
        <f>변경내역서!N736</f>
        <v>62865</v>
      </c>
      <c r="J366" s="513">
        <f>변경내역서!G736</f>
        <v>2</v>
      </c>
      <c r="K366" s="474">
        <f>변경내역서!I736</f>
        <v>125730</v>
      </c>
      <c r="L366" s="475">
        <f t="shared" si="13"/>
        <v>31874.949999999997</v>
      </c>
      <c r="M366" s="475">
        <f t="shared" si="13"/>
        <v>-4</v>
      </c>
      <c r="N366" s="476">
        <f t="shared" si="13"/>
        <v>-60210</v>
      </c>
    </row>
    <row r="367" spans="2:14" ht="16.5" customHeight="1">
      <c r="B367" s="468" t="s">
        <v>475</v>
      </c>
      <c r="C367" s="469" t="s">
        <v>476</v>
      </c>
      <c r="D367" s="470" t="s">
        <v>294</v>
      </c>
      <c r="E367" s="508">
        <v>6</v>
      </c>
      <c r="F367" s="471">
        <f>변경내역서!N739</f>
        <v>1770860</v>
      </c>
      <c r="G367" s="471">
        <f>변경내역서!G739</f>
        <v>30</v>
      </c>
      <c r="H367" s="472">
        <f>변경내역서!I739</f>
        <v>53125800</v>
      </c>
      <c r="I367" s="473">
        <f>변경내역서!N738</f>
        <v>114220</v>
      </c>
      <c r="J367" s="513">
        <f>변경내역서!G738</f>
        <v>17</v>
      </c>
      <c r="K367" s="474">
        <f>변경내역서!I738</f>
        <v>1941740</v>
      </c>
      <c r="L367" s="475">
        <f t="shared" si="13"/>
        <v>-1656640</v>
      </c>
      <c r="M367" s="475">
        <f t="shared" si="13"/>
        <v>-13</v>
      </c>
      <c r="N367" s="476">
        <f t="shared" si="13"/>
        <v>-51184060</v>
      </c>
    </row>
    <row r="368" spans="2:14" ht="16.5" customHeight="1">
      <c r="B368" s="489" t="s">
        <v>292</v>
      </c>
      <c r="C368" s="469" t="s">
        <v>293</v>
      </c>
      <c r="D368" s="470" t="s">
        <v>294</v>
      </c>
      <c r="E368" s="508">
        <v>30</v>
      </c>
      <c r="F368" s="471">
        <f>변경내역서!N741</f>
        <v>398443.5</v>
      </c>
      <c r="G368" s="471">
        <f>변경내역서!G741</f>
        <v>30</v>
      </c>
      <c r="H368" s="472">
        <f>변경내역서!I741</f>
        <v>11953305</v>
      </c>
      <c r="I368" s="473">
        <f>변경내역서!N740</f>
        <v>0</v>
      </c>
      <c r="J368" s="513">
        <f>변경내역서!G740</f>
        <v>0</v>
      </c>
      <c r="K368" s="474">
        <f>변경내역서!I740</f>
        <v>0</v>
      </c>
      <c r="L368" s="475">
        <f t="shared" si="13"/>
        <v>-398443.5</v>
      </c>
      <c r="M368" s="475">
        <f t="shared" si="13"/>
        <v>-30</v>
      </c>
      <c r="N368" s="476">
        <f t="shared" si="13"/>
        <v>-11953305</v>
      </c>
    </row>
    <row r="369" spans="2:14" ht="16.5" customHeight="1">
      <c r="B369" s="489" t="s">
        <v>295</v>
      </c>
      <c r="C369" s="469" t="s">
        <v>296</v>
      </c>
      <c r="D369" s="470" t="s">
        <v>294</v>
      </c>
      <c r="E369" s="508">
        <v>30</v>
      </c>
      <c r="F369" s="471">
        <f>변경내역서!N743</f>
        <v>819623.07154000003</v>
      </c>
      <c r="G369" s="471">
        <f>변경내역서!G743</f>
        <v>1</v>
      </c>
      <c r="H369" s="472">
        <f>변경내역서!I743</f>
        <v>819623</v>
      </c>
      <c r="I369" s="473">
        <f>변경내역서!N742</f>
        <v>0</v>
      </c>
      <c r="J369" s="513">
        <f>변경내역서!G742</f>
        <v>0</v>
      </c>
      <c r="K369" s="474">
        <f>변경내역서!I742</f>
        <v>0</v>
      </c>
      <c r="L369" s="475">
        <f t="shared" si="13"/>
        <v>-819623.07154000003</v>
      </c>
      <c r="M369" s="475">
        <f t="shared" si="13"/>
        <v>-1</v>
      </c>
      <c r="N369" s="476">
        <f t="shared" si="13"/>
        <v>-819623</v>
      </c>
    </row>
    <row r="370" spans="2:14" ht="16.5" customHeight="1">
      <c r="B370" s="489" t="s">
        <v>566</v>
      </c>
      <c r="C370" s="469" t="s">
        <v>548</v>
      </c>
      <c r="D370" s="470" t="s">
        <v>212</v>
      </c>
      <c r="E370" s="508">
        <v>1</v>
      </c>
      <c r="F370" s="471">
        <f>변경내역서!N745</f>
        <v>0</v>
      </c>
      <c r="G370" s="471">
        <f>변경내역서!G745</f>
        <v>0</v>
      </c>
      <c r="H370" s="472">
        <f>변경내역서!I745</f>
        <v>0</v>
      </c>
      <c r="I370" s="473">
        <f>변경내역서!N744</f>
        <v>0</v>
      </c>
      <c r="J370" s="513">
        <f>변경내역서!G744</f>
        <v>0</v>
      </c>
      <c r="K370" s="474">
        <f>변경내역서!I744</f>
        <v>0</v>
      </c>
      <c r="L370" s="475">
        <f t="shared" si="13"/>
        <v>0</v>
      </c>
      <c r="M370" s="475">
        <f t="shared" si="13"/>
        <v>0</v>
      </c>
      <c r="N370" s="476">
        <f t="shared" si="13"/>
        <v>0</v>
      </c>
    </row>
    <row r="371" spans="2:14" ht="16.5" customHeight="1">
      <c r="B371" s="490" t="str">
        <f>변경내역서!D746</f>
        <v>조명기구 TYPE "G"</v>
      </c>
      <c r="C371" s="491" t="str">
        <f>변경내역서!E746</f>
        <v>다운라이트 LED 10W</v>
      </c>
      <c r="D371" s="470"/>
      <c r="E371" s="508"/>
      <c r="F371" s="471">
        <f>변경내역서!N747</f>
        <v>0</v>
      </c>
      <c r="G371" s="471">
        <f>변경내역서!G747</f>
        <v>0</v>
      </c>
      <c r="H371" s="472">
        <f>변경내역서!I747</f>
        <v>0</v>
      </c>
      <c r="I371" s="473">
        <f>변경내역서!N746</f>
        <v>17708</v>
      </c>
      <c r="J371" s="513">
        <f>변경내역서!G746</f>
        <v>14</v>
      </c>
      <c r="K371" s="474">
        <f>변경내역서!I746</f>
        <v>247912</v>
      </c>
      <c r="L371" s="475">
        <f t="shared" si="13"/>
        <v>17708</v>
      </c>
      <c r="M371" s="475">
        <f t="shared" si="13"/>
        <v>14</v>
      </c>
      <c r="N371" s="476">
        <f t="shared" si="13"/>
        <v>247912</v>
      </c>
    </row>
    <row r="372" spans="2:14" ht="16.5" customHeight="1">
      <c r="B372" s="490" t="str">
        <f>변경내역서!D748</f>
        <v>조명기구 TYPE "H"</v>
      </c>
      <c r="C372" s="491" t="str">
        <f>변경내역서!E748</f>
        <v>벽부등 LED 10W</v>
      </c>
      <c r="D372" s="470"/>
      <c r="E372" s="508"/>
      <c r="F372" s="471">
        <f>변경내역서!N749</f>
        <v>0</v>
      </c>
      <c r="G372" s="471">
        <f>변경내역서!G749</f>
        <v>0</v>
      </c>
      <c r="H372" s="472">
        <f>변경내역서!I749</f>
        <v>0</v>
      </c>
      <c r="I372" s="473">
        <f>변경내역서!N748</f>
        <v>45156</v>
      </c>
      <c r="J372" s="513">
        <f>변경내역서!G748</f>
        <v>26</v>
      </c>
      <c r="K372" s="474">
        <f>변경내역서!I748</f>
        <v>1174056</v>
      </c>
      <c r="L372" s="475">
        <f t="shared" si="13"/>
        <v>45156</v>
      </c>
      <c r="M372" s="475">
        <f t="shared" si="13"/>
        <v>26</v>
      </c>
      <c r="N372" s="476">
        <f t="shared" si="13"/>
        <v>1174056</v>
      </c>
    </row>
    <row r="373" spans="2:14" ht="16.5" customHeight="1">
      <c r="B373" s="490" t="str">
        <f>변경내역서!D750</f>
        <v>조명기구 TYPE "I"</v>
      </c>
      <c r="C373" s="491" t="str">
        <f>변경내역서!E750</f>
        <v>벽부등 LED 15W</v>
      </c>
      <c r="D373" s="470"/>
      <c r="E373" s="508"/>
      <c r="F373" s="471">
        <f>변경내역서!N751</f>
        <v>0</v>
      </c>
      <c r="G373" s="471">
        <f>변경내역서!G751</f>
        <v>0</v>
      </c>
      <c r="H373" s="472">
        <f>변경내역서!I751</f>
        <v>0</v>
      </c>
      <c r="I373" s="473">
        <f>변경내역서!N750</f>
        <v>35417</v>
      </c>
      <c r="J373" s="513">
        <f>변경내역서!G750</f>
        <v>4</v>
      </c>
      <c r="K373" s="474">
        <f>변경내역서!I750</f>
        <v>141668</v>
      </c>
      <c r="L373" s="475">
        <f t="shared" si="13"/>
        <v>35417</v>
      </c>
      <c r="M373" s="475">
        <f t="shared" si="13"/>
        <v>4</v>
      </c>
      <c r="N373" s="476">
        <f t="shared" si="13"/>
        <v>141668</v>
      </c>
    </row>
    <row r="374" spans="2:14" ht="16.5" customHeight="1">
      <c r="B374" s="490" t="str">
        <f>변경내역서!D752</f>
        <v>보안등기구</v>
      </c>
      <c r="C374" s="491" t="str">
        <f>변경내역서!E752</f>
        <v>LED 50W</v>
      </c>
      <c r="D374" s="470"/>
      <c r="E374" s="508"/>
      <c r="F374" s="471">
        <f>변경내역서!N753</f>
        <v>0</v>
      </c>
      <c r="G374" s="471">
        <f>변경내역서!G753</f>
        <v>0</v>
      </c>
      <c r="H374" s="472">
        <f>변경내역서!I753</f>
        <v>0</v>
      </c>
      <c r="I374" s="473">
        <f>변경내역서!N752</f>
        <v>256774</v>
      </c>
      <c r="J374" s="513">
        <f>변경내역서!G752</f>
        <v>15</v>
      </c>
      <c r="K374" s="474">
        <f>변경내역서!I752</f>
        <v>3851610</v>
      </c>
      <c r="L374" s="475">
        <f t="shared" si="13"/>
        <v>256774</v>
      </c>
      <c r="M374" s="475">
        <f t="shared" si="13"/>
        <v>15</v>
      </c>
      <c r="N374" s="476">
        <f t="shared" si="13"/>
        <v>3851610</v>
      </c>
    </row>
    <row r="375" spans="2:14" ht="16.5" customHeight="1">
      <c r="B375" s="490" t="str">
        <f>변경내역서!D754</f>
        <v>스텐가로등주</v>
      </c>
      <c r="C375" s="491" t="str">
        <f>변경내역서!E754</f>
        <v>5M, 1등</v>
      </c>
      <c r="D375" s="470"/>
      <c r="E375" s="508"/>
      <c r="F375" s="471">
        <f>변경내역서!N755</f>
        <v>0</v>
      </c>
      <c r="G375" s="471">
        <f>변경내역서!G755</f>
        <v>0</v>
      </c>
      <c r="H375" s="472">
        <f>변경내역서!I755</f>
        <v>0</v>
      </c>
      <c r="I375" s="473">
        <f>변경내역서!N754</f>
        <v>779178</v>
      </c>
      <c r="J375" s="513">
        <f>변경내역서!G754</f>
        <v>15</v>
      </c>
      <c r="K375" s="474">
        <f>변경내역서!I754</f>
        <v>11687670</v>
      </c>
      <c r="L375" s="475">
        <f t="shared" si="13"/>
        <v>779178</v>
      </c>
      <c r="M375" s="475">
        <f t="shared" si="13"/>
        <v>15</v>
      </c>
      <c r="N375" s="476">
        <f t="shared" si="13"/>
        <v>11687670</v>
      </c>
    </row>
    <row r="376" spans="2:14" ht="16.5" customHeight="1">
      <c r="B376" s="490" t="str">
        <f>변경내역서!D756</f>
        <v>가로등주부속자재</v>
      </c>
      <c r="C376" s="491" t="str">
        <f>변경내역서!E756</f>
        <v>베이스커버 '소'</v>
      </c>
      <c r="D376" s="470"/>
      <c r="E376" s="508"/>
      <c r="F376" s="471">
        <f>변경내역서!N757</f>
        <v>0</v>
      </c>
      <c r="G376" s="471">
        <f>변경내역서!G757</f>
        <v>0</v>
      </c>
      <c r="H376" s="472">
        <f>변경내역서!I757</f>
        <v>0</v>
      </c>
      <c r="I376" s="473">
        <f>변경내역서!N756</f>
        <v>44271</v>
      </c>
      <c r="J376" s="513">
        <f>변경내역서!G756</f>
        <v>15</v>
      </c>
      <c r="K376" s="474">
        <f>변경내역서!I756</f>
        <v>664065</v>
      </c>
      <c r="L376" s="475">
        <f t="shared" si="13"/>
        <v>44271</v>
      </c>
      <c r="M376" s="475">
        <f t="shared" si="13"/>
        <v>15</v>
      </c>
      <c r="N376" s="476">
        <f t="shared" si="13"/>
        <v>664065</v>
      </c>
    </row>
    <row r="377" spans="2:14" ht="16.5" customHeight="1">
      <c r="B377" s="490" t="str">
        <f>변경내역서!D758</f>
        <v>옥외 라인조명</v>
      </c>
      <c r="C377" s="491" t="str">
        <f>변경내역서!E758</f>
        <v>LED 18W</v>
      </c>
      <c r="D377" s="470"/>
      <c r="E377" s="508"/>
      <c r="F377" s="471">
        <f>변경내역서!N759</f>
        <v>0</v>
      </c>
      <c r="G377" s="471">
        <f>변경내역서!G759</f>
        <v>0</v>
      </c>
      <c r="H377" s="472">
        <f>변경내역서!I759</f>
        <v>0</v>
      </c>
      <c r="I377" s="473">
        <f>변경내역서!N758</f>
        <v>221357</v>
      </c>
      <c r="J377" s="513">
        <f>변경내역서!G758</f>
        <v>60</v>
      </c>
      <c r="K377" s="474">
        <f>변경내역서!I758</f>
        <v>13281420</v>
      </c>
      <c r="L377" s="475">
        <f t="shared" si="13"/>
        <v>221357</v>
      </c>
      <c r="M377" s="475">
        <f t="shared" si="13"/>
        <v>60</v>
      </c>
      <c r="N377" s="476">
        <f t="shared" si="13"/>
        <v>13281420</v>
      </c>
    </row>
    <row r="378" spans="2:14" ht="16.5" customHeight="1">
      <c r="B378" s="490" t="str">
        <f>변경내역서!D760</f>
        <v>볼라드등</v>
      </c>
      <c r="C378" s="491" t="str">
        <f>변경내역서!E760</f>
        <v>LED 18W</v>
      </c>
      <c r="D378" s="470"/>
      <c r="E378" s="508"/>
      <c r="F378" s="471">
        <f>변경내역서!N761</f>
        <v>0</v>
      </c>
      <c r="G378" s="471">
        <f>변경내역서!G761</f>
        <v>0</v>
      </c>
      <c r="H378" s="472">
        <f>변경내역서!I761</f>
        <v>0</v>
      </c>
      <c r="I378" s="473">
        <f>변경내역서!N760</f>
        <v>425006</v>
      </c>
      <c r="J378" s="513">
        <f>변경내역서!G760</f>
        <v>27</v>
      </c>
      <c r="K378" s="474">
        <f>변경내역서!I760</f>
        <v>11475162</v>
      </c>
      <c r="L378" s="475">
        <f t="shared" si="13"/>
        <v>425006</v>
      </c>
      <c r="M378" s="475">
        <f t="shared" si="13"/>
        <v>27</v>
      </c>
      <c r="N378" s="476">
        <f t="shared" si="13"/>
        <v>11475162</v>
      </c>
    </row>
    <row r="379" spans="2:14" ht="16.5" customHeight="1">
      <c r="B379" s="490" t="str">
        <f>변경내역서!D762</f>
        <v>옥외 투광등</v>
      </c>
      <c r="C379" s="491" t="str">
        <f>변경내역서!E762</f>
        <v>LED 54W</v>
      </c>
      <c r="D379" s="470"/>
      <c r="E379" s="508"/>
      <c r="F379" s="471">
        <f>변경내역서!N763</f>
        <v>0</v>
      </c>
      <c r="G379" s="471">
        <f>변경내역서!G763</f>
        <v>0</v>
      </c>
      <c r="H379" s="472">
        <f>변경내역서!I763</f>
        <v>0</v>
      </c>
      <c r="I379" s="473">
        <f>변경내역서!N762</f>
        <v>451569</v>
      </c>
      <c r="J379" s="513">
        <f>변경내역서!G762</f>
        <v>36</v>
      </c>
      <c r="K379" s="474">
        <f>변경내역서!I762</f>
        <v>16256484</v>
      </c>
      <c r="L379" s="475">
        <f t="shared" si="13"/>
        <v>451569</v>
      </c>
      <c r="M379" s="475">
        <f t="shared" si="13"/>
        <v>36</v>
      </c>
      <c r="N379" s="476">
        <f t="shared" si="13"/>
        <v>16256484</v>
      </c>
    </row>
    <row r="380" spans="2:14" ht="16.5" customHeight="1">
      <c r="B380" s="490" t="str">
        <f>변경내역서!D764</f>
        <v>지중등</v>
      </c>
      <c r="C380" s="491" t="str">
        <f>변경내역서!E764</f>
        <v>LED 12W</v>
      </c>
      <c r="D380" s="470"/>
      <c r="E380" s="508"/>
      <c r="F380" s="471">
        <f>변경내역서!N765</f>
        <v>0</v>
      </c>
      <c r="G380" s="471">
        <f>변경내역서!G765</f>
        <v>0</v>
      </c>
      <c r="H380" s="472">
        <f>변경내역서!I765</f>
        <v>0</v>
      </c>
      <c r="I380" s="473">
        <f>변경내역서!N764</f>
        <v>292191</v>
      </c>
      <c r="J380" s="513">
        <f>변경내역서!G764</f>
        <v>62</v>
      </c>
      <c r="K380" s="474">
        <f>변경내역서!I764</f>
        <v>18115842</v>
      </c>
      <c r="L380" s="475">
        <f t="shared" si="13"/>
        <v>292191</v>
      </c>
      <c r="M380" s="475">
        <f t="shared" si="13"/>
        <v>62</v>
      </c>
      <c r="N380" s="476">
        <f t="shared" si="13"/>
        <v>18115842</v>
      </c>
    </row>
    <row r="381" spans="2:14" ht="16.5" customHeight="1">
      <c r="B381" s="492"/>
      <c r="C381" s="491"/>
      <c r="D381" s="470"/>
      <c r="E381" s="508"/>
      <c r="F381" s="471">
        <f>변경내역서!N767</f>
        <v>0</v>
      </c>
      <c r="G381" s="471">
        <f>변경내역서!G767</f>
        <v>0</v>
      </c>
      <c r="H381" s="472">
        <f>변경내역서!I767</f>
        <v>0</v>
      </c>
      <c r="I381" s="473">
        <f>변경내역서!N766</f>
        <v>0</v>
      </c>
      <c r="J381" s="513">
        <f>변경내역서!G766</f>
        <v>0</v>
      </c>
      <c r="K381" s="474">
        <f>변경내역서!I766</f>
        <v>0</v>
      </c>
      <c r="L381" s="475">
        <f t="shared" si="13"/>
        <v>0</v>
      </c>
      <c r="M381" s="475">
        <f t="shared" si="13"/>
        <v>0</v>
      </c>
      <c r="N381" s="476">
        <f t="shared" si="13"/>
        <v>0</v>
      </c>
    </row>
    <row r="382" spans="2:14" ht="16.5" customHeight="1">
      <c r="B382" s="492"/>
      <c r="C382" s="491"/>
      <c r="D382" s="470"/>
      <c r="E382" s="508"/>
      <c r="F382" s="471">
        <f>변경내역서!N769</f>
        <v>0</v>
      </c>
      <c r="G382" s="471">
        <f>변경내역서!G769</f>
        <v>0</v>
      </c>
      <c r="H382" s="472">
        <f>변경내역서!I769</f>
        <v>0</v>
      </c>
      <c r="I382" s="473">
        <f>변경내역서!N768</f>
        <v>0</v>
      </c>
      <c r="J382" s="513">
        <f>변경내역서!G768</f>
        <v>0</v>
      </c>
      <c r="K382" s="474">
        <f>변경내역서!I768</f>
        <v>0</v>
      </c>
      <c r="L382" s="475">
        <f t="shared" si="13"/>
        <v>0</v>
      </c>
      <c r="M382" s="475">
        <f t="shared" si="13"/>
        <v>0</v>
      </c>
      <c r="N382" s="476">
        <f t="shared" si="13"/>
        <v>0</v>
      </c>
    </row>
    <row r="383" spans="2:14" ht="16.5" customHeight="1">
      <c r="B383" s="492"/>
      <c r="C383" s="491"/>
      <c r="D383" s="470"/>
      <c r="E383" s="508"/>
      <c r="F383" s="471">
        <f>변경내역서!N771</f>
        <v>0</v>
      </c>
      <c r="G383" s="471">
        <f>변경내역서!G771</f>
        <v>0</v>
      </c>
      <c r="H383" s="472">
        <f>변경내역서!I771</f>
        <v>0</v>
      </c>
      <c r="I383" s="473">
        <f>변경내역서!N770</f>
        <v>0</v>
      </c>
      <c r="J383" s="513">
        <f>변경내역서!G770</f>
        <v>0</v>
      </c>
      <c r="K383" s="474">
        <f>변경내역서!I770</f>
        <v>0</v>
      </c>
      <c r="L383" s="475">
        <f t="shared" si="13"/>
        <v>0</v>
      </c>
      <c r="M383" s="475">
        <f t="shared" si="13"/>
        <v>0</v>
      </c>
      <c r="N383" s="476">
        <f t="shared" si="13"/>
        <v>0</v>
      </c>
    </row>
    <row r="384" spans="2:14" ht="16.5" customHeight="1">
      <c r="B384" s="468"/>
      <c r="C384" s="469"/>
      <c r="D384" s="470"/>
      <c r="E384" s="508"/>
      <c r="F384" s="471">
        <f>변경내역서!N773</f>
        <v>0</v>
      </c>
      <c r="G384" s="471">
        <f>변경내역서!G773</f>
        <v>0</v>
      </c>
      <c r="H384" s="472">
        <f>변경내역서!I773</f>
        <v>0</v>
      </c>
      <c r="I384" s="473">
        <f>변경내역서!N772</f>
        <v>0</v>
      </c>
      <c r="J384" s="513">
        <f>변경내역서!G772</f>
        <v>0</v>
      </c>
      <c r="K384" s="474">
        <f>변경내역서!I772</f>
        <v>0</v>
      </c>
      <c r="L384" s="475">
        <f t="shared" si="13"/>
        <v>0</v>
      </c>
      <c r="M384" s="475">
        <f t="shared" si="13"/>
        <v>0</v>
      </c>
      <c r="N384" s="476">
        <f t="shared" si="13"/>
        <v>0</v>
      </c>
    </row>
    <row r="385" spans="2:14" ht="16.5" customHeight="1">
      <c r="B385" s="493" t="s">
        <v>564</v>
      </c>
      <c r="C385" s="494"/>
      <c r="D385" s="495"/>
      <c r="E385" s="510"/>
      <c r="F385" s="496"/>
      <c r="G385" s="496"/>
      <c r="H385" s="497">
        <f>SUM(H361:H383)</f>
        <v>77419941</v>
      </c>
      <c r="I385" s="498"/>
      <c r="J385" s="517"/>
      <c r="K385" s="499">
        <f>SUM(K361:K383)</f>
        <v>93821738</v>
      </c>
      <c r="L385" s="500"/>
      <c r="M385" s="501"/>
      <c r="N385" s="502">
        <f>N382-N379</f>
        <v>-16256484</v>
      </c>
    </row>
    <row r="386" spans="2:14">
      <c r="B386" s="503"/>
      <c r="C386" s="503"/>
      <c r="D386" s="504"/>
      <c r="E386" s="511"/>
      <c r="F386" s="505"/>
      <c r="G386" s="505"/>
      <c r="H386" s="505"/>
      <c r="I386" s="505"/>
      <c r="J386" s="505"/>
      <c r="K386" s="505"/>
      <c r="L386" s="505"/>
      <c r="M386" s="505"/>
      <c r="N386" s="505"/>
    </row>
  </sheetData>
  <mergeCells count="8">
    <mergeCell ref="B2:N2"/>
    <mergeCell ref="B4:B5"/>
    <mergeCell ref="C4:C5"/>
    <mergeCell ref="D4:D5"/>
    <mergeCell ref="E4:E5"/>
    <mergeCell ref="F4:H4"/>
    <mergeCell ref="I4:K4"/>
    <mergeCell ref="L4:N4"/>
  </mergeCells>
  <phoneticPr fontId="1" type="noConversion"/>
  <printOptions horizontalCentered="1"/>
  <pageMargins left="0.7" right="0.7" top="0.75" bottom="0.75" header="0.3" footer="0.3"/>
  <pageSetup paperSize="9" scale="58" fitToHeight="0" orientation="landscape" r:id="rId1"/>
  <rowBreaks count="13" manualBreakCount="13">
    <brk id="32" min="1" max="13" man="1"/>
    <brk id="60" min="1" max="13" man="1"/>
    <brk id="86" min="1" max="13" man="1"/>
    <brk id="112" min="1" max="13" man="1"/>
    <brk id="145" min="1" max="13" man="1"/>
    <brk id="179" min="1" max="13" man="1"/>
    <brk id="210" min="1" max="13" man="1"/>
    <brk id="232" min="1" max="13" man="1"/>
    <brk id="258" min="1" max="13" man="1"/>
    <brk id="284" min="1" max="13" man="1"/>
    <brk id="305" min="1" max="13" man="1"/>
    <brk id="331" min="1" max="13" man="1"/>
    <brk id="360" min="1" max="13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0784A-2F85-435B-8943-BAC344452DA5}">
  <sheetPr>
    <tabColor theme="5"/>
    <pageSetUpPr fitToPage="1"/>
  </sheetPr>
  <dimension ref="A1:AF776"/>
  <sheetViews>
    <sheetView showZeros="0" view="pageBreakPreview" topLeftCell="D1" zoomScale="85" zoomScaleNormal="100" zoomScaleSheetLayoutView="85" workbookViewId="0">
      <selection activeCell="R549" sqref="R549:R582"/>
    </sheetView>
  </sheetViews>
  <sheetFormatPr defaultRowHeight="16.5"/>
  <cols>
    <col min="1" max="1" width="13.625" style="422" hidden="1" customWidth="1"/>
    <col min="2" max="2" width="19.625" style="422" hidden="1" customWidth="1"/>
    <col min="3" max="3" width="23.25" style="422" hidden="1" customWidth="1"/>
    <col min="4" max="4" width="40.125" style="422" bestFit="1" customWidth="1"/>
    <col min="5" max="5" width="32.375" style="422" bestFit="1" customWidth="1"/>
    <col min="6" max="6" width="4.75" style="457" customWidth="1"/>
    <col min="7" max="7" width="11.25" style="458" customWidth="1"/>
    <col min="8" max="8" width="14.625" style="458" customWidth="1"/>
    <col min="9" max="9" width="14.875" style="458" customWidth="1"/>
    <col min="10" max="10" width="11.75" style="458" customWidth="1"/>
    <col min="11" max="11" width="13.25" style="458" customWidth="1"/>
    <col min="12" max="12" width="10.5" style="458" bestFit="1" customWidth="1"/>
    <col min="13" max="13" width="12.625" style="458" bestFit="1" customWidth="1"/>
    <col min="14" max="14" width="12.625" style="458" customWidth="1"/>
    <col min="15" max="17" width="14.625" style="458" customWidth="1"/>
    <col min="18" max="18" width="12.5" style="414" customWidth="1"/>
    <col min="19" max="19" width="9" style="422"/>
    <col min="20" max="20" width="15.875" style="422" bestFit="1" customWidth="1"/>
    <col min="21" max="27" width="9" style="422"/>
    <col min="28" max="32" width="13.25" style="422" customWidth="1"/>
    <col min="33" max="16384" width="9" style="422"/>
  </cols>
  <sheetData>
    <row r="1" spans="1:32" s="412" customFormat="1" ht="23.1" customHeight="1">
      <c r="A1" s="412" t="s">
        <v>190</v>
      </c>
      <c r="B1" s="412" t="s">
        <v>567</v>
      </c>
      <c r="D1" s="702" t="s">
        <v>192</v>
      </c>
      <c r="E1" s="703"/>
      <c r="F1" s="703"/>
      <c r="G1" s="703"/>
      <c r="H1" s="703"/>
      <c r="I1" s="703"/>
      <c r="J1" s="703"/>
      <c r="K1" s="703"/>
      <c r="L1" s="703"/>
      <c r="M1" s="703"/>
      <c r="O1" s="413"/>
      <c r="P1" s="413"/>
      <c r="Q1" s="413"/>
      <c r="R1" s="414"/>
      <c r="X1" s="697" t="s">
        <v>568</v>
      </c>
      <c r="Y1" s="697"/>
      <c r="Z1" s="697"/>
      <c r="AA1" s="414"/>
      <c r="AB1" s="414" t="s">
        <v>569</v>
      </c>
      <c r="AC1" s="414"/>
      <c r="AD1" s="414"/>
      <c r="AE1" s="414"/>
      <c r="AF1" s="414"/>
    </row>
    <row r="2" spans="1:32" s="414" customFormat="1" ht="23.1" customHeight="1">
      <c r="A2" s="697" t="s">
        <v>194</v>
      </c>
      <c r="B2" s="697" t="s">
        <v>195</v>
      </c>
      <c r="C2" s="697" t="s">
        <v>570</v>
      </c>
      <c r="D2" s="698" t="s">
        <v>571</v>
      </c>
      <c r="E2" s="698" t="s">
        <v>572</v>
      </c>
      <c r="F2" s="698" t="s">
        <v>199</v>
      </c>
      <c r="G2" s="699" t="s">
        <v>200</v>
      </c>
      <c r="H2" s="699" t="s">
        <v>201</v>
      </c>
      <c r="I2" s="699"/>
      <c r="J2" s="699" t="s">
        <v>202</v>
      </c>
      <c r="K2" s="699"/>
      <c r="L2" s="699" t="s">
        <v>203</v>
      </c>
      <c r="M2" s="699"/>
      <c r="N2" s="415" t="s">
        <v>573</v>
      </c>
      <c r="O2" s="699" t="s">
        <v>574</v>
      </c>
      <c r="P2" s="700" t="s">
        <v>575</v>
      </c>
      <c r="Q2" s="701"/>
      <c r="R2" s="698" t="s">
        <v>576</v>
      </c>
      <c r="X2" s="414" t="s">
        <v>577</v>
      </c>
      <c r="Y2" s="414" t="s">
        <v>578</v>
      </c>
      <c r="Z2" s="414" t="s">
        <v>579</v>
      </c>
      <c r="AA2" s="414" t="s">
        <v>580</v>
      </c>
      <c r="AB2" s="414" t="s">
        <v>581</v>
      </c>
      <c r="AC2" s="414" t="s">
        <v>582</v>
      </c>
      <c r="AD2" s="414" t="s">
        <v>583</v>
      </c>
      <c r="AE2" s="414" t="s">
        <v>584</v>
      </c>
      <c r="AF2" s="414" t="s">
        <v>577</v>
      </c>
    </row>
    <row r="3" spans="1:32" s="414" customFormat="1" ht="23.1" customHeight="1">
      <c r="A3" s="697"/>
      <c r="B3" s="697"/>
      <c r="C3" s="697"/>
      <c r="D3" s="698"/>
      <c r="E3" s="698"/>
      <c r="F3" s="698"/>
      <c r="G3" s="699"/>
      <c r="H3" s="415" t="s">
        <v>206</v>
      </c>
      <c r="I3" s="415" t="s">
        <v>207</v>
      </c>
      <c r="J3" s="415" t="s">
        <v>206</v>
      </c>
      <c r="K3" s="415" t="s">
        <v>207</v>
      </c>
      <c r="L3" s="415" t="s">
        <v>206</v>
      </c>
      <c r="M3" s="415" t="s">
        <v>207</v>
      </c>
      <c r="N3" s="415" t="s">
        <v>585</v>
      </c>
      <c r="O3" s="699"/>
      <c r="P3" s="416" t="s">
        <v>586</v>
      </c>
      <c r="Q3" s="416" t="s">
        <v>587</v>
      </c>
      <c r="R3" s="698"/>
      <c r="X3" s="412"/>
      <c r="Y3" s="412"/>
      <c r="Z3" s="412"/>
      <c r="AA3" s="412"/>
      <c r="AB3" s="412"/>
      <c r="AC3" s="412"/>
      <c r="AD3" s="412"/>
      <c r="AE3" s="412">
        <f>IF(옵션!$C$11 =0, "1", 옵션!$C$11)</f>
        <v>1</v>
      </c>
      <c r="AF3" s="412">
        <f>IF(옵션!$C$12 =0, "1", 옵션!$C$12)</f>
        <v>1</v>
      </c>
    </row>
    <row r="4" spans="1:32" ht="23.1" customHeight="1">
      <c r="A4" s="412"/>
      <c r="B4" s="412" t="s">
        <v>208</v>
      </c>
      <c r="C4" s="412"/>
      <c r="D4" s="417" t="s">
        <v>253</v>
      </c>
      <c r="E4" s="418"/>
      <c r="F4" s="419"/>
      <c r="G4" s="420"/>
      <c r="H4" s="420"/>
      <c r="I4" s="420"/>
      <c r="J4" s="420"/>
      <c r="K4" s="420"/>
      <c r="L4" s="420"/>
      <c r="M4" s="420"/>
      <c r="N4" s="420"/>
      <c r="O4" s="420"/>
      <c r="P4" s="420"/>
      <c r="Q4" s="420"/>
      <c r="R4" s="421"/>
    </row>
    <row r="5" spans="1:32" s="426" customFormat="1" ht="23.1" customHeight="1">
      <c r="A5" s="423" t="s">
        <v>588</v>
      </c>
      <c r="B5" s="423" t="s">
        <v>589</v>
      </c>
      <c r="C5" s="423" t="s">
        <v>588</v>
      </c>
      <c r="D5" s="695" t="s">
        <v>590</v>
      </c>
      <c r="E5" s="695" t="s">
        <v>591</v>
      </c>
      <c r="F5" s="424" t="s">
        <v>592</v>
      </c>
      <c r="G5" s="425">
        <v>6</v>
      </c>
      <c r="H5" s="425">
        <v>3223</v>
      </c>
      <c r="I5" s="425">
        <v>19338</v>
      </c>
      <c r="J5" s="425">
        <v>64190</v>
      </c>
      <c r="K5" s="425">
        <v>385140</v>
      </c>
      <c r="L5" s="425">
        <v>0</v>
      </c>
      <c r="M5" s="425">
        <v>0</v>
      </c>
      <c r="N5" s="425">
        <f>H5+J5</f>
        <v>67413</v>
      </c>
      <c r="O5" s="425">
        <f>IF((I5+K5+M5)=0, "", (I5+K5+M5))</f>
        <v>404478</v>
      </c>
      <c r="P5" s="683">
        <f>G6-G5</f>
        <v>-6</v>
      </c>
      <c r="Q5" s="683">
        <f>O6-O5</f>
        <v>-404478</v>
      </c>
      <c r="R5" s="689" t="s">
        <v>593</v>
      </c>
      <c r="AC5" s="426">
        <v>19344</v>
      </c>
      <c r="AD5" s="426">
        <v>19344</v>
      </c>
      <c r="AF5" s="426">
        <v>385140</v>
      </c>
    </row>
    <row r="6" spans="1:32" ht="23.1" customHeight="1">
      <c r="A6" s="412" t="s">
        <v>594</v>
      </c>
      <c r="B6" s="412" t="s">
        <v>221</v>
      </c>
      <c r="C6" s="412" t="s">
        <v>594</v>
      </c>
      <c r="D6" s="696"/>
      <c r="E6" s="696"/>
      <c r="F6" s="427"/>
      <c r="G6" s="416"/>
      <c r="H6" s="416"/>
      <c r="I6" s="416"/>
      <c r="J6" s="416"/>
      <c r="K6" s="416"/>
      <c r="L6" s="416"/>
      <c r="M6" s="416"/>
      <c r="N6" s="416"/>
      <c r="O6" s="416"/>
      <c r="P6" s="684"/>
      <c r="Q6" s="684"/>
      <c r="R6" s="690"/>
      <c r="AC6" s="422">
        <f>I6</f>
        <v>0</v>
      </c>
      <c r="AD6" s="422">
        <f>G6*H6</f>
        <v>0</v>
      </c>
      <c r="AF6" s="422">
        <f>K6</f>
        <v>0</v>
      </c>
    </row>
    <row r="7" spans="1:32" s="426" customFormat="1" ht="23.1" customHeight="1">
      <c r="A7" s="423" t="s">
        <v>595</v>
      </c>
      <c r="B7" s="423" t="s">
        <v>589</v>
      </c>
      <c r="C7" s="423" t="s">
        <v>595</v>
      </c>
      <c r="D7" s="695" t="s">
        <v>596</v>
      </c>
      <c r="E7" s="695" t="s">
        <v>597</v>
      </c>
      <c r="F7" s="687" t="s">
        <v>592</v>
      </c>
      <c r="G7" s="425">
        <v>144</v>
      </c>
      <c r="H7" s="425">
        <v>431</v>
      </c>
      <c r="I7" s="425">
        <v>62064</v>
      </c>
      <c r="J7" s="425">
        <v>5786</v>
      </c>
      <c r="K7" s="425">
        <v>833184</v>
      </c>
      <c r="L7" s="425">
        <v>0</v>
      </c>
      <c r="M7" s="425">
        <v>0</v>
      </c>
      <c r="N7" s="425">
        <f>H7+J7</f>
        <v>6217</v>
      </c>
      <c r="O7" s="425">
        <f t="shared" ref="O7:O47" si="0">IF((I7+K7+M7)=0, "", (I7+K7+M7))</f>
        <v>895248</v>
      </c>
      <c r="P7" s="683">
        <f>G8-G7</f>
        <v>-144</v>
      </c>
      <c r="Q7" s="683">
        <f>O8-O7</f>
        <v>-895248</v>
      </c>
      <c r="R7" s="689" t="s">
        <v>598</v>
      </c>
      <c r="AC7" s="426">
        <v>62064</v>
      </c>
      <c r="AD7" s="426">
        <v>62064</v>
      </c>
      <c r="AF7" s="426">
        <v>833184</v>
      </c>
    </row>
    <row r="8" spans="1:32" ht="23.1" customHeight="1">
      <c r="A8" s="412" t="s">
        <v>599</v>
      </c>
      <c r="B8" s="412" t="s">
        <v>221</v>
      </c>
      <c r="C8" s="412" t="s">
        <v>599</v>
      </c>
      <c r="D8" s="696"/>
      <c r="E8" s="696"/>
      <c r="F8" s="688"/>
      <c r="G8" s="416"/>
      <c r="H8" s="416"/>
      <c r="I8" s="416"/>
      <c r="J8" s="416"/>
      <c r="K8" s="416"/>
      <c r="L8" s="416"/>
      <c r="M8" s="416"/>
      <c r="N8" s="416"/>
      <c r="O8" s="416"/>
      <c r="P8" s="684"/>
      <c r="Q8" s="684"/>
      <c r="R8" s="690"/>
      <c r="AC8" s="422">
        <f>I8</f>
        <v>0</v>
      </c>
      <c r="AD8" s="422">
        <f>G8*H8</f>
        <v>0</v>
      </c>
      <c r="AF8" s="422">
        <f>K8</f>
        <v>0</v>
      </c>
    </row>
    <row r="9" spans="1:32" s="426" customFormat="1" ht="23.1" customHeight="1">
      <c r="A9" s="423" t="s">
        <v>600</v>
      </c>
      <c r="B9" s="423" t="s">
        <v>589</v>
      </c>
      <c r="C9" s="423" t="s">
        <v>600</v>
      </c>
      <c r="D9" s="695" t="s">
        <v>596</v>
      </c>
      <c r="E9" s="695" t="s">
        <v>601</v>
      </c>
      <c r="F9" s="687" t="s">
        <v>592</v>
      </c>
      <c r="G9" s="425">
        <v>796</v>
      </c>
      <c r="H9" s="425">
        <v>564</v>
      </c>
      <c r="I9" s="425">
        <v>448944</v>
      </c>
      <c r="J9" s="425">
        <v>7079</v>
      </c>
      <c r="K9" s="425">
        <v>5634884</v>
      </c>
      <c r="L9" s="425">
        <v>0</v>
      </c>
      <c r="M9" s="425">
        <v>0</v>
      </c>
      <c r="N9" s="425">
        <f>H9+J9</f>
        <v>7643</v>
      </c>
      <c r="O9" s="425">
        <f t="shared" si="0"/>
        <v>6083828</v>
      </c>
      <c r="P9" s="683">
        <f>G10-G9</f>
        <v>-796</v>
      </c>
      <c r="Q9" s="683">
        <f>O10-O9</f>
        <v>-6083828</v>
      </c>
      <c r="R9" s="689" t="s">
        <v>602</v>
      </c>
      <c r="AC9" s="426">
        <v>449740</v>
      </c>
      <c r="AD9" s="426">
        <v>449740</v>
      </c>
      <c r="AF9" s="426">
        <v>5635680</v>
      </c>
    </row>
    <row r="10" spans="1:32" ht="23.1" customHeight="1">
      <c r="A10" s="412" t="s">
        <v>603</v>
      </c>
      <c r="B10" s="412" t="s">
        <v>221</v>
      </c>
      <c r="C10" s="412" t="s">
        <v>603</v>
      </c>
      <c r="D10" s="696"/>
      <c r="E10" s="696"/>
      <c r="F10" s="688"/>
      <c r="G10" s="416"/>
      <c r="H10" s="416"/>
      <c r="I10" s="416"/>
      <c r="J10" s="416"/>
      <c r="K10" s="416"/>
      <c r="L10" s="416"/>
      <c r="M10" s="416"/>
      <c r="N10" s="416"/>
      <c r="O10" s="416"/>
      <c r="P10" s="684"/>
      <c r="Q10" s="684"/>
      <c r="R10" s="690"/>
      <c r="AC10" s="422">
        <f>I10</f>
        <v>0</v>
      </c>
      <c r="AD10" s="422">
        <f>G10*H10</f>
        <v>0</v>
      </c>
      <c r="AF10" s="422">
        <f>K10</f>
        <v>0</v>
      </c>
    </row>
    <row r="11" spans="1:32" s="426" customFormat="1" ht="23.1" customHeight="1">
      <c r="A11" s="423" t="s">
        <v>604</v>
      </c>
      <c r="B11" s="423" t="s">
        <v>589</v>
      </c>
      <c r="C11" s="423" t="s">
        <v>604</v>
      </c>
      <c r="D11" s="695" t="s">
        <v>596</v>
      </c>
      <c r="E11" s="695" t="s">
        <v>605</v>
      </c>
      <c r="F11" s="687" t="s">
        <v>592</v>
      </c>
      <c r="G11" s="425">
        <v>21</v>
      </c>
      <c r="H11" s="425">
        <v>1080</v>
      </c>
      <c r="I11" s="425">
        <v>22680</v>
      </c>
      <c r="J11" s="425">
        <v>8877</v>
      </c>
      <c r="K11" s="425">
        <v>186417</v>
      </c>
      <c r="L11" s="425">
        <v>0</v>
      </c>
      <c r="M11" s="425">
        <v>0</v>
      </c>
      <c r="N11" s="425">
        <f t="shared" ref="N11:N74" si="1">H11+J11</f>
        <v>9957</v>
      </c>
      <c r="O11" s="425">
        <f t="shared" si="0"/>
        <v>209097</v>
      </c>
      <c r="P11" s="683">
        <f>G12-G11</f>
        <v>-21</v>
      </c>
      <c r="Q11" s="683">
        <f>O12-O11</f>
        <v>-209097</v>
      </c>
      <c r="R11" s="689" t="s">
        <v>606</v>
      </c>
      <c r="AC11" s="426">
        <v>22680</v>
      </c>
      <c r="AD11" s="426">
        <v>22680</v>
      </c>
      <c r="AF11" s="426">
        <v>186417</v>
      </c>
    </row>
    <row r="12" spans="1:32" ht="23.1" customHeight="1">
      <c r="A12" s="412" t="s">
        <v>607</v>
      </c>
      <c r="B12" s="412" t="s">
        <v>221</v>
      </c>
      <c r="C12" s="412" t="s">
        <v>607</v>
      </c>
      <c r="D12" s="696"/>
      <c r="E12" s="696"/>
      <c r="F12" s="688"/>
      <c r="G12" s="416"/>
      <c r="H12" s="416"/>
      <c r="I12" s="416"/>
      <c r="J12" s="416"/>
      <c r="K12" s="416"/>
      <c r="L12" s="416"/>
      <c r="M12" s="416"/>
      <c r="N12" s="416">
        <f t="shared" si="1"/>
        <v>0</v>
      </c>
      <c r="O12" s="416"/>
      <c r="P12" s="684"/>
      <c r="Q12" s="684"/>
      <c r="R12" s="690"/>
      <c r="AC12" s="422">
        <f>I12</f>
        <v>0</v>
      </c>
      <c r="AD12" s="422">
        <f>G12*H12</f>
        <v>0</v>
      </c>
      <c r="AF12" s="422">
        <f>K12</f>
        <v>0</v>
      </c>
    </row>
    <row r="13" spans="1:32" s="426" customFormat="1" ht="23.1" customHeight="1">
      <c r="A13" s="423" t="s">
        <v>608</v>
      </c>
      <c r="B13" s="423" t="s">
        <v>589</v>
      </c>
      <c r="C13" s="423" t="s">
        <v>608</v>
      </c>
      <c r="D13" s="695" t="s">
        <v>609</v>
      </c>
      <c r="E13" s="695" t="s">
        <v>610</v>
      </c>
      <c r="F13" s="687" t="s">
        <v>611</v>
      </c>
      <c r="G13" s="425">
        <v>1</v>
      </c>
      <c r="H13" s="425">
        <v>15857</v>
      </c>
      <c r="I13" s="425">
        <v>15857</v>
      </c>
      <c r="J13" s="425">
        <v>49113</v>
      </c>
      <c r="K13" s="425">
        <v>49113</v>
      </c>
      <c r="L13" s="425">
        <v>0</v>
      </c>
      <c r="M13" s="425">
        <v>0</v>
      </c>
      <c r="N13" s="425">
        <f t="shared" si="1"/>
        <v>64970</v>
      </c>
      <c r="O13" s="425">
        <f t="shared" si="0"/>
        <v>64970</v>
      </c>
      <c r="P13" s="683">
        <f>G14-G13</f>
        <v>-1</v>
      </c>
      <c r="Q13" s="683">
        <f>O14-O13</f>
        <v>-64970</v>
      </c>
      <c r="R13" s="689" t="s">
        <v>612</v>
      </c>
      <c r="AF13" s="426">
        <v>49114</v>
      </c>
    </row>
    <row r="14" spans="1:32" ht="23.1" customHeight="1">
      <c r="A14" s="412" t="s">
        <v>613</v>
      </c>
      <c r="B14" s="412" t="s">
        <v>221</v>
      </c>
      <c r="C14" s="412" t="s">
        <v>613</v>
      </c>
      <c r="D14" s="696"/>
      <c r="E14" s="696"/>
      <c r="F14" s="688"/>
      <c r="G14" s="416"/>
      <c r="H14" s="416"/>
      <c r="I14" s="416"/>
      <c r="J14" s="416"/>
      <c r="K14" s="416"/>
      <c r="L14" s="416"/>
      <c r="M14" s="416"/>
      <c r="N14" s="416">
        <f t="shared" si="1"/>
        <v>0</v>
      </c>
      <c r="O14" s="416"/>
      <c r="P14" s="684"/>
      <c r="Q14" s="684"/>
      <c r="R14" s="690"/>
      <c r="AF14" s="422">
        <f>K14</f>
        <v>0</v>
      </c>
    </row>
    <row r="15" spans="1:32" s="426" customFormat="1" ht="23.1" customHeight="1">
      <c r="A15" s="423" t="s">
        <v>614</v>
      </c>
      <c r="B15" s="423" t="s">
        <v>589</v>
      </c>
      <c r="C15" s="423" t="s">
        <v>614</v>
      </c>
      <c r="D15" s="695" t="s">
        <v>615</v>
      </c>
      <c r="E15" s="695" t="s">
        <v>616</v>
      </c>
      <c r="F15" s="687" t="s">
        <v>617</v>
      </c>
      <c r="G15" s="425">
        <v>1</v>
      </c>
      <c r="H15" s="425">
        <v>3124</v>
      </c>
      <c r="I15" s="425">
        <v>3124</v>
      </c>
      <c r="J15" s="425">
        <v>0</v>
      </c>
      <c r="K15" s="425">
        <v>0</v>
      </c>
      <c r="L15" s="425">
        <v>0</v>
      </c>
      <c r="M15" s="425">
        <v>0</v>
      </c>
      <c r="N15" s="425">
        <f t="shared" si="1"/>
        <v>3124</v>
      </c>
      <c r="O15" s="425">
        <f t="shared" si="0"/>
        <v>3124</v>
      </c>
      <c r="P15" s="683">
        <f>G16-G15</f>
        <v>-1</v>
      </c>
      <c r="Q15" s="683">
        <f>O16-O15</f>
        <v>-3124</v>
      </c>
      <c r="R15" s="689" t="s">
        <v>618</v>
      </c>
    </row>
    <row r="16" spans="1:32" ht="23.1" customHeight="1">
      <c r="A16" s="412" t="s">
        <v>619</v>
      </c>
      <c r="B16" s="412" t="s">
        <v>221</v>
      </c>
      <c r="C16" s="412" t="s">
        <v>619</v>
      </c>
      <c r="D16" s="696"/>
      <c r="E16" s="696"/>
      <c r="F16" s="688"/>
      <c r="G16" s="416"/>
      <c r="H16" s="416"/>
      <c r="I16" s="416"/>
      <c r="J16" s="416"/>
      <c r="K16" s="416"/>
      <c r="L16" s="416"/>
      <c r="M16" s="416"/>
      <c r="N16" s="416">
        <f t="shared" si="1"/>
        <v>0</v>
      </c>
      <c r="O16" s="416"/>
      <c r="P16" s="684"/>
      <c r="Q16" s="684"/>
      <c r="R16" s="690"/>
    </row>
    <row r="17" spans="1:32" s="426" customFormat="1" ht="23.1" customHeight="1">
      <c r="A17" s="423" t="s">
        <v>620</v>
      </c>
      <c r="B17" s="423" t="s">
        <v>589</v>
      </c>
      <c r="C17" s="423" t="s">
        <v>620</v>
      </c>
      <c r="D17" s="695" t="s">
        <v>621</v>
      </c>
      <c r="E17" s="695" t="s">
        <v>622</v>
      </c>
      <c r="F17" s="687" t="s">
        <v>617</v>
      </c>
      <c r="G17" s="425">
        <v>1</v>
      </c>
      <c r="H17" s="425">
        <v>20945</v>
      </c>
      <c r="I17" s="425">
        <v>20945</v>
      </c>
      <c r="J17" s="425">
        <v>80237</v>
      </c>
      <c r="K17" s="425">
        <v>80237</v>
      </c>
      <c r="L17" s="425">
        <v>0</v>
      </c>
      <c r="M17" s="425">
        <v>0</v>
      </c>
      <c r="N17" s="425">
        <f t="shared" si="1"/>
        <v>101182</v>
      </c>
      <c r="O17" s="425">
        <f t="shared" si="0"/>
        <v>101182</v>
      </c>
      <c r="P17" s="683">
        <f>G18-G17</f>
        <v>-1</v>
      </c>
      <c r="Q17" s="683">
        <f>O18-O17</f>
        <v>-101182</v>
      </c>
      <c r="R17" s="689" t="s">
        <v>623</v>
      </c>
      <c r="AF17" s="426">
        <v>80238</v>
      </c>
    </row>
    <row r="18" spans="1:32" ht="23.1" customHeight="1">
      <c r="A18" s="412" t="s">
        <v>624</v>
      </c>
      <c r="B18" s="412" t="s">
        <v>221</v>
      </c>
      <c r="C18" s="412" t="s">
        <v>624</v>
      </c>
      <c r="D18" s="696"/>
      <c r="E18" s="696"/>
      <c r="F18" s="688"/>
      <c r="G18" s="416"/>
      <c r="H18" s="416"/>
      <c r="I18" s="416"/>
      <c r="J18" s="416"/>
      <c r="K18" s="416"/>
      <c r="L18" s="416"/>
      <c r="M18" s="416"/>
      <c r="N18" s="416">
        <f t="shared" si="1"/>
        <v>0</v>
      </c>
      <c r="O18" s="416"/>
      <c r="P18" s="684"/>
      <c r="Q18" s="684"/>
      <c r="R18" s="690"/>
      <c r="AF18" s="422">
        <f t="shared" ref="AF18:AF34" si="2">K18</f>
        <v>0</v>
      </c>
    </row>
    <row r="19" spans="1:32" s="426" customFormat="1" ht="23.1" customHeight="1">
      <c r="A19" s="423" t="s">
        <v>625</v>
      </c>
      <c r="B19" s="423" t="s">
        <v>589</v>
      </c>
      <c r="C19" s="423" t="s">
        <v>625</v>
      </c>
      <c r="D19" s="695" t="s">
        <v>626</v>
      </c>
      <c r="E19" s="695" t="s">
        <v>627</v>
      </c>
      <c r="F19" s="687" t="s">
        <v>592</v>
      </c>
      <c r="G19" s="425">
        <v>986</v>
      </c>
      <c r="H19" s="425">
        <v>737</v>
      </c>
      <c r="I19" s="425">
        <v>726682</v>
      </c>
      <c r="J19" s="425">
        <v>1375</v>
      </c>
      <c r="K19" s="425">
        <v>1355750</v>
      </c>
      <c r="L19" s="425">
        <v>0</v>
      </c>
      <c r="M19" s="425">
        <v>0</v>
      </c>
      <c r="N19" s="425">
        <f t="shared" si="1"/>
        <v>2112</v>
      </c>
      <c r="O19" s="425">
        <f t="shared" si="0"/>
        <v>2082432</v>
      </c>
      <c r="P19" s="683">
        <f>G20-G19</f>
        <v>-986</v>
      </c>
      <c r="Q19" s="683">
        <f>O20-O19</f>
        <v>-2082432</v>
      </c>
      <c r="R19" s="689" t="s">
        <v>628</v>
      </c>
      <c r="AD19" s="426">
        <v>727668</v>
      </c>
      <c r="AF19" s="426">
        <v>1355750</v>
      </c>
    </row>
    <row r="20" spans="1:32" ht="23.1" customHeight="1">
      <c r="A20" s="412" t="s">
        <v>629</v>
      </c>
      <c r="B20" s="412" t="s">
        <v>221</v>
      </c>
      <c r="C20" s="412" t="s">
        <v>629</v>
      </c>
      <c r="D20" s="696"/>
      <c r="E20" s="696"/>
      <c r="F20" s="688"/>
      <c r="G20" s="416"/>
      <c r="H20" s="416"/>
      <c r="I20" s="416"/>
      <c r="J20" s="416"/>
      <c r="K20" s="416"/>
      <c r="L20" s="416"/>
      <c r="M20" s="416"/>
      <c r="N20" s="416">
        <f t="shared" si="1"/>
        <v>0</v>
      </c>
      <c r="O20" s="416"/>
      <c r="P20" s="684"/>
      <c r="Q20" s="684"/>
      <c r="R20" s="690"/>
      <c r="AD20" s="422">
        <f t="shared" ref="AD20:AD30" si="3">G20*H20</f>
        <v>0</v>
      </c>
      <c r="AF20" s="422">
        <f t="shared" si="2"/>
        <v>0</v>
      </c>
    </row>
    <row r="21" spans="1:32" s="426" customFormat="1" ht="23.1" customHeight="1">
      <c r="A21" s="423" t="s">
        <v>630</v>
      </c>
      <c r="B21" s="423" t="s">
        <v>589</v>
      </c>
      <c r="C21" s="423" t="s">
        <v>630</v>
      </c>
      <c r="D21" s="695" t="s">
        <v>631</v>
      </c>
      <c r="E21" s="695" t="s">
        <v>632</v>
      </c>
      <c r="F21" s="687" t="s">
        <v>592</v>
      </c>
      <c r="G21" s="425">
        <v>141</v>
      </c>
      <c r="H21" s="425">
        <v>1150</v>
      </c>
      <c r="I21" s="425">
        <v>162150</v>
      </c>
      <c r="J21" s="425">
        <v>3262</v>
      </c>
      <c r="K21" s="425">
        <v>459942</v>
      </c>
      <c r="L21" s="425">
        <v>0</v>
      </c>
      <c r="M21" s="425">
        <v>0</v>
      </c>
      <c r="N21" s="425">
        <f t="shared" si="1"/>
        <v>4412</v>
      </c>
      <c r="O21" s="425">
        <f t="shared" si="0"/>
        <v>622092</v>
      </c>
      <c r="P21" s="683">
        <f>G22-G21</f>
        <v>-141</v>
      </c>
      <c r="Q21" s="683">
        <f>O22-O21</f>
        <v>-622092</v>
      </c>
      <c r="R21" s="689" t="s">
        <v>633</v>
      </c>
      <c r="AD21" s="426">
        <v>162150</v>
      </c>
      <c r="AF21" s="426">
        <v>460083</v>
      </c>
    </row>
    <row r="22" spans="1:32" ht="23.1" customHeight="1">
      <c r="A22" s="412" t="s">
        <v>634</v>
      </c>
      <c r="B22" s="412" t="s">
        <v>221</v>
      </c>
      <c r="C22" s="412" t="s">
        <v>634</v>
      </c>
      <c r="D22" s="696"/>
      <c r="E22" s="696"/>
      <c r="F22" s="688"/>
      <c r="G22" s="416"/>
      <c r="H22" s="416"/>
      <c r="I22" s="416"/>
      <c r="J22" s="416"/>
      <c r="K22" s="416"/>
      <c r="L22" s="416"/>
      <c r="M22" s="416"/>
      <c r="N22" s="416">
        <f t="shared" si="1"/>
        <v>0</v>
      </c>
      <c r="O22" s="416"/>
      <c r="P22" s="684"/>
      <c r="Q22" s="684"/>
      <c r="R22" s="690"/>
      <c r="AD22" s="422">
        <f t="shared" si="3"/>
        <v>0</v>
      </c>
      <c r="AF22" s="422">
        <f t="shared" si="2"/>
        <v>0</v>
      </c>
    </row>
    <row r="23" spans="1:32" s="426" customFormat="1" ht="23.1" customHeight="1">
      <c r="A23" s="423" t="s">
        <v>635</v>
      </c>
      <c r="B23" s="423" t="s">
        <v>589</v>
      </c>
      <c r="C23" s="423" t="s">
        <v>635</v>
      </c>
      <c r="D23" s="695" t="s">
        <v>631</v>
      </c>
      <c r="E23" s="695" t="s">
        <v>636</v>
      </c>
      <c r="F23" s="687" t="s">
        <v>592</v>
      </c>
      <c r="G23" s="425">
        <v>147</v>
      </c>
      <c r="H23" s="425">
        <v>2014</v>
      </c>
      <c r="I23" s="425">
        <v>296058</v>
      </c>
      <c r="J23" s="425">
        <v>3262</v>
      </c>
      <c r="K23" s="425">
        <v>479514</v>
      </c>
      <c r="L23" s="425">
        <v>0</v>
      </c>
      <c r="M23" s="425">
        <v>0</v>
      </c>
      <c r="N23" s="425">
        <f t="shared" si="1"/>
        <v>5276</v>
      </c>
      <c r="O23" s="425">
        <f t="shared" si="0"/>
        <v>775572</v>
      </c>
      <c r="P23" s="683">
        <f>G24-G23</f>
        <v>-147</v>
      </c>
      <c r="Q23" s="683">
        <f>O24-O23</f>
        <v>-775572</v>
      </c>
      <c r="R23" s="689" t="s">
        <v>637</v>
      </c>
      <c r="AD23" s="426">
        <v>296205</v>
      </c>
      <c r="AF23" s="426">
        <v>479661</v>
      </c>
    </row>
    <row r="24" spans="1:32" ht="23.1" customHeight="1">
      <c r="A24" s="412" t="s">
        <v>638</v>
      </c>
      <c r="B24" s="412" t="s">
        <v>221</v>
      </c>
      <c r="C24" s="412" t="s">
        <v>638</v>
      </c>
      <c r="D24" s="696"/>
      <c r="E24" s="696"/>
      <c r="F24" s="688"/>
      <c r="G24" s="416"/>
      <c r="H24" s="416"/>
      <c r="I24" s="416"/>
      <c r="J24" s="416"/>
      <c r="K24" s="416"/>
      <c r="L24" s="416"/>
      <c r="M24" s="416"/>
      <c r="N24" s="416">
        <f t="shared" si="1"/>
        <v>0</v>
      </c>
      <c r="O24" s="416"/>
      <c r="P24" s="684"/>
      <c r="Q24" s="684"/>
      <c r="R24" s="690"/>
      <c r="AD24" s="422">
        <f t="shared" si="3"/>
        <v>0</v>
      </c>
      <c r="AF24" s="422">
        <f t="shared" si="2"/>
        <v>0</v>
      </c>
    </row>
    <row r="25" spans="1:32" s="426" customFormat="1" ht="23.1" customHeight="1">
      <c r="A25" s="423" t="s">
        <v>639</v>
      </c>
      <c r="B25" s="423" t="s">
        <v>589</v>
      </c>
      <c r="C25" s="423" t="s">
        <v>639</v>
      </c>
      <c r="D25" s="695" t="s">
        <v>631</v>
      </c>
      <c r="E25" s="695" t="s">
        <v>640</v>
      </c>
      <c r="F25" s="687" t="s">
        <v>592</v>
      </c>
      <c r="G25" s="425">
        <v>1619</v>
      </c>
      <c r="H25" s="425">
        <v>2008</v>
      </c>
      <c r="I25" s="425">
        <v>3250952</v>
      </c>
      <c r="J25" s="425">
        <v>2938</v>
      </c>
      <c r="K25" s="425">
        <v>4756622</v>
      </c>
      <c r="L25" s="425">
        <v>0</v>
      </c>
      <c r="M25" s="425">
        <v>0</v>
      </c>
      <c r="N25" s="425">
        <f t="shared" si="1"/>
        <v>4946</v>
      </c>
      <c r="O25" s="425">
        <f t="shared" si="0"/>
        <v>8007574</v>
      </c>
      <c r="P25" s="683">
        <f>G26-G25</f>
        <v>-1619</v>
      </c>
      <c r="Q25" s="683">
        <f>O26-O25</f>
        <v>-8007574</v>
      </c>
      <c r="R25" s="689" t="s">
        <v>641</v>
      </c>
      <c r="AD25" s="426">
        <v>3250952</v>
      </c>
      <c r="AF25" s="426">
        <v>4758241</v>
      </c>
    </row>
    <row r="26" spans="1:32" ht="23.1" customHeight="1">
      <c r="A26" s="412" t="s">
        <v>642</v>
      </c>
      <c r="B26" s="412" t="s">
        <v>221</v>
      </c>
      <c r="C26" s="412" t="s">
        <v>642</v>
      </c>
      <c r="D26" s="696"/>
      <c r="E26" s="696"/>
      <c r="F26" s="688"/>
      <c r="G26" s="416"/>
      <c r="H26" s="416"/>
      <c r="I26" s="416"/>
      <c r="J26" s="416"/>
      <c r="K26" s="416"/>
      <c r="L26" s="416"/>
      <c r="M26" s="416"/>
      <c r="N26" s="416">
        <f t="shared" si="1"/>
        <v>0</v>
      </c>
      <c r="O26" s="416"/>
      <c r="P26" s="684"/>
      <c r="Q26" s="684"/>
      <c r="R26" s="690"/>
      <c r="AD26" s="422">
        <f t="shared" si="3"/>
        <v>0</v>
      </c>
      <c r="AF26" s="422">
        <f t="shared" si="2"/>
        <v>0</v>
      </c>
    </row>
    <row r="27" spans="1:32" s="426" customFormat="1" ht="23.1" customHeight="1">
      <c r="A27" s="423" t="s">
        <v>643</v>
      </c>
      <c r="B27" s="423" t="s">
        <v>589</v>
      </c>
      <c r="C27" s="423" t="s">
        <v>643</v>
      </c>
      <c r="D27" s="695" t="s">
        <v>631</v>
      </c>
      <c r="E27" s="695" t="s">
        <v>644</v>
      </c>
      <c r="F27" s="687" t="s">
        <v>592</v>
      </c>
      <c r="G27" s="425">
        <v>57</v>
      </c>
      <c r="H27" s="425">
        <v>2004</v>
      </c>
      <c r="I27" s="425">
        <v>114228</v>
      </c>
      <c r="J27" s="425">
        <v>2742</v>
      </c>
      <c r="K27" s="425">
        <v>156294</v>
      </c>
      <c r="L27" s="425">
        <v>0</v>
      </c>
      <c r="M27" s="425">
        <v>0</v>
      </c>
      <c r="N27" s="425">
        <f t="shared" si="1"/>
        <v>4746</v>
      </c>
      <c r="O27" s="425">
        <f t="shared" si="0"/>
        <v>270522</v>
      </c>
      <c r="P27" s="683">
        <f>G28-G27</f>
        <v>-57</v>
      </c>
      <c r="Q27" s="683">
        <f>O28-O27</f>
        <v>-270522</v>
      </c>
      <c r="R27" s="689" t="s">
        <v>645</v>
      </c>
      <c r="AD27" s="426">
        <v>114228</v>
      </c>
      <c r="AF27" s="426">
        <v>156294</v>
      </c>
    </row>
    <row r="28" spans="1:32" ht="23.1" customHeight="1">
      <c r="A28" s="412" t="s">
        <v>646</v>
      </c>
      <c r="B28" s="412" t="s">
        <v>221</v>
      </c>
      <c r="C28" s="412" t="s">
        <v>646</v>
      </c>
      <c r="D28" s="696"/>
      <c r="E28" s="696"/>
      <c r="F28" s="688"/>
      <c r="G28" s="416"/>
      <c r="H28" s="416"/>
      <c r="I28" s="416"/>
      <c r="J28" s="416"/>
      <c r="K28" s="416"/>
      <c r="L28" s="416"/>
      <c r="M28" s="416"/>
      <c r="N28" s="416">
        <f t="shared" si="1"/>
        <v>0</v>
      </c>
      <c r="O28" s="416"/>
      <c r="P28" s="684"/>
      <c r="Q28" s="684"/>
      <c r="R28" s="690"/>
      <c r="AD28" s="422">
        <f t="shared" si="3"/>
        <v>0</v>
      </c>
      <c r="AF28" s="422">
        <f t="shared" si="2"/>
        <v>0</v>
      </c>
    </row>
    <row r="29" spans="1:32" s="426" customFormat="1" ht="23.1" customHeight="1">
      <c r="A29" s="423" t="s">
        <v>647</v>
      </c>
      <c r="B29" s="423" t="s">
        <v>589</v>
      </c>
      <c r="C29" s="423" t="s">
        <v>647</v>
      </c>
      <c r="D29" s="695" t="s">
        <v>631</v>
      </c>
      <c r="E29" s="695" t="s">
        <v>648</v>
      </c>
      <c r="F29" s="687" t="s">
        <v>592</v>
      </c>
      <c r="G29" s="425">
        <v>111</v>
      </c>
      <c r="H29" s="425">
        <v>2003</v>
      </c>
      <c r="I29" s="425">
        <v>222333</v>
      </c>
      <c r="J29" s="425">
        <v>2708</v>
      </c>
      <c r="K29" s="425">
        <v>300588</v>
      </c>
      <c r="L29" s="425">
        <v>0</v>
      </c>
      <c r="M29" s="425">
        <v>0</v>
      </c>
      <c r="N29" s="425">
        <f t="shared" si="1"/>
        <v>4711</v>
      </c>
      <c r="O29" s="425">
        <f t="shared" si="0"/>
        <v>522921</v>
      </c>
      <c r="P29" s="683">
        <f>G30-G29</f>
        <v>-111</v>
      </c>
      <c r="Q29" s="683">
        <f>O30-O29</f>
        <v>-522921</v>
      </c>
      <c r="R29" s="689" t="s">
        <v>649</v>
      </c>
      <c r="AD29" s="426">
        <v>222333</v>
      </c>
      <c r="AF29" s="426">
        <v>300588</v>
      </c>
    </row>
    <row r="30" spans="1:32" ht="23.1" customHeight="1">
      <c r="A30" s="412" t="s">
        <v>650</v>
      </c>
      <c r="B30" s="412" t="s">
        <v>221</v>
      </c>
      <c r="C30" s="412" t="s">
        <v>650</v>
      </c>
      <c r="D30" s="696"/>
      <c r="E30" s="696"/>
      <c r="F30" s="688"/>
      <c r="G30" s="416"/>
      <c r="H30" s="416"/>
      <c r="I30" s="416"/>
      <c r="J30" s="416"/>
      <c r="K30" s="416"/>
      <c r="L30" s="416"/>
      <c r="M30" s="416"/>
      <c r="N30" s="416">
        <f t="shared" si="1"/>
        <v>0</v>
      </c>
      <c r="O30" s="416"/>
      <c r="P30" s="684"/>
      <c r="Q30" s="684"/>
      <c r="R30" s="690"/>
      <c r="AD30" s="422">
        <f t="shared" si="3"/>
        <v>0</v>
      </c>
      <c r="AF30" s="422">
        <f t="shared" si="2"/>
        <v>0</v>
      </c>
    </row>
    <row r="31" spans="1:32" s="426" customFormat="1" ht="23.1" customHeight="1">
      <c r="A31" s="423" t="s">
        <v>651</v>
      </c>
      <c r="B31" s="423" t="s">
        <v>589</v>
      </c>
      <c r="C31" s="423" t="s">
        <v>651</v>
      </c>
      <c r="D31" s="695" t="s">
        <v>652</v>
      </c>
      <c r="E31" s="695" t="s">
        <v>653</v>
      </c>
      <c r="F31" s="687" t="s">
        <v>592</v>
      </c>
      <c r="G31" s="425">
        <v>900</v>
      </c>
      <c r="H31" s="425">
        <v>243</v>
      </c>
      <c r="I31" s="425">
        <v>218700</v>
      </c>
      <c r="J31" s="425">
        <v>251</v>
      </c>
      <c r="K31" s="425">
        <v>225900</v>
      </c>
      <c r="L31" s="425">
        <v>0</v>
      </c>
      <c r="M31" s="425">
        <v>0</v>
      </c>
      <c r="N31" s="425">
        <f t="shared" si="1"/>
        <v>494</v>
      </c>
      <c r="O31" s="425">
        <f t="shared" si="0"/>
        <v>444600</v>
      </c>
      <c r="P31" s="683">
        <f>G32-G31</f>
        <v>-900</v>
      </c>
      <c r="Q31" s="683">
        <f>O32-O31</f>
        <v>-444600</v>
      </c>
      <c r="R31" s="689" t="s">
        <v>654</v>
      </c>
      <c r="AF31" s="426">
        <v>225900</v>
      </c>
    </row>
    <row r="32" spans="1:32" ht="23.1" customHeight="1">
      <c r="A32" s="412" t="s">
        <v>655</v>
      </c>
      <c r="B32" s="412" t="s">
        <v>221</v>
      </c>
      <c r="C32" s="412" t="s">
        <v>655</v>
      </c>
      <c r="D32" s="696"/>
      <c r="E32" s="696"/>
      <c r="F32" s="688"/>
      <c r="G32" s="416"/>
      <c r="H32" s="416"/>
      <c r="I32" s="416"/>
      <c r="J32" s="416"/>
      <c r="K32" s="416"/>
      <c r="L32" s="416"/>
      <c r="M32" s="416"/>
      <c r="N32" s="416">
        <f t="shared" si="1"/>
        <v>0</v>
      </c>
      <c r="O32" s="416"/>
      <c r="P32" s="684"/>
      <c r="Q32" s="684"/>
      <c r="R32" s="690"/>
      <c r="AF32" s="422">
        <f t="shared" si="2"/>
        <v>0</v>
      </c>
    </row>
    <row r="33" spans="1:32" s="426" customFormat="1" ht="23.1" customHeight="1">
      <c r="A33" s="423" t="s">
        <v>656</v>
      </c>
      <c r="B33" s="423" t="s">
        <v>589</v>
      </c>
      <c r="C33" s="423" t="s">
        <v>656</v>
      </c>
      <c r="D33" s="695" t="s">
        <v>657</v>
      </c>
      <c r="E33" s="695" t="s">
        <v>658</v>
      </c>
      <c r="F33" s="687" t="s">
        <v>659</v>
      </c>
      <c r="G33" s="425">
        <v>30</v>
      </c>
      <c r="H33" s="425">
        <v>128594</v>
      </c>
      <c r="I33" s="425">
        <v>3857820</v>
      </c>
      <c r="J33" s="425">
        <v>55147</v>
      </c>
      <c r="K33" s="425">
        <v>1654410</v>
      </c>
      <c r="L33" s="425">
        <v>4817</v>
      </c>
      <c r="M33" s="425">
        <f>TRUNC(G33*L33)</f>
        <v>144510</v>
      </c>
      <c r="N33" s="425">
        <f t="shared" si="1"/>
        <v>183741</v>
      </c>
      <c r="O33" s="425">
        <f t="shared" si="0"/>
        <v>5656740</v>
      </c>
      <c r="P33" s="683">
        <f>G34-G33</f>
        <v>-30</v>
      </c>
      <c r="Q33" s="683">
        <f>O34-O33</f>
        <v>-5656740</v>
      </c>
      <c r="R33" s="689" t="s">
        <v>660</v>
      </c>
      <c r="AF33" s="426">
        <v>1654410</v>
      </c>
    </row>
    <row r="34" spans="1:32" ht="23.1" customHeight="1">
      <c r="A34" s="412" t="s">
        <v>661</v>
      </c>
      <c r="B34" s="412" t="s">
        <v>221</v>
      </c>
      <c r="C34" s="412" t="s">
        <v>661</v>
      </c>
      <c r="D34" s="696"/>
      <c r="E34" s="696"/>
      <c r="F34" s="688"/>
      <c r="G34" s="416"/>
      <c r="H34" s="416"/>
      <c r="I34" s="416"/>
      <c r="J34" s="416"/>
      <c r="K34" s="416"/>
      <c r="L34" s="416"/>
      <c r="M34" s="416"/>
      <c r="N34" s="416">
        <f t="shared" si="1"/>
        <v>0</v>
      </c>
      <c r="O34" s="416"/>
      <c r="P34" s="684"/>
      <c r="Q34" s="684"/>
      <c r="R34" s="690"/>
      <c r="AF34" s="422">
        <f t="shared" si="2"/>
        <v>0</v>
      </c>
    </row>
    <row r="35" spans="1:32" s="426" customFormat="1" ht="23.1" customHeight="1">
      <c r="A35" s="423" t="s">
        <v>662</v>
      </c>
      <c r="B35" s="423" t="s">
        <v>589</v>
      </c>
      <c r="C35" s="423" t="s">
        <v>662</v>
      </c>
      <c r="D35" s="695" t="s">
        <v>663</v>
      </c>
      <c r="E35" s="695" t="s">
        <v>664</v>
      </c>
      <c r="F35" s="687" t="s">
        <v>659</v>
      </c>
      <c r="G35" s="425">
        <v>30</v>
      </c>
      <c r="H35" s="425">
        <v>8287</v>
      </c>
      <c r="I35" s="425">
        <v>248610</v>
      </c>
      <c r="J35" s="425">
        <v>90382</v>
      </c>
      <c r="K35" s="425">
        <v>2711460</v>
      </c>
      <c r="L35" s="425">
        <v>24982</v>
      </c>
      <c r="M35" s="425">
        <f>TRUNC(G35*L35)</f>
        <v>749460</v>
      </c>
      <c r="N35" s="425">
        <f t="shared" si="1"/>
        <v>98669</v>
      </c>
      <c r="O35" s="425">
        <f t="shared" si="0"/>
        <v>3709530</v>
      </c>
      <c r="P35" s="683">
        <f>G36-G35</f>
        <v>-30</v>
      </c>
      <c r="Q35" s="683">
        <f>O36-O35</f>
        <v>-3709530</v>
      </c>
      <c r="R35" s="689" t="s">
        <v>665</v>
      </c>
      <c r="AF35" s="426">
        <v>2711460</v>
      </c>
    </row>
    <row r="36" spans="1:32" ht="23.1" customHeight="1">
      <c r="A36" s="412"/>
      <c r="B36" s="412"/>
      <c r="C36" s="412"/>
      <c r="D36" s="696"/>
      <c r="E36" s="696"/>
      <c r="F36" s="688"/>
      <c r="G36" s="416"/>
      <c r="H36" s="416"/>
      <c r="I36" s="416"/>
      <c r="J36" s="416"/>
      <c r="K36" s="416"/>
      <c r="L36" s="416"/>
      <c r="M36" s="416"/>
      <c r="N36" s="416">
        <f t="shared" si="1"/>
        <v>0</v>
      </c>
      <c r="O36" s="416"/>
      <c r="P36" s="684"/>
      <c r="Q36" s="684"/>
      <c r="R36" s="690"/>
    </row>
    <row r="37" spans="1:32" s="426" customFormat="1" ht="23.1" customHeight="1">
      <c r="A37" s="423" t="s">
        <v>666</v>
      </c>
      <c r="B37" s="423" t="s">
        <v>589</v>
      </c>
      <c r="C37" s="423" t="s">
        <v>666</v>
      </c>
      <c r="D37" s="695" t="s">
        <v>667</v>
      </c>
      <c r="E37" s="695" t="s">
        <v>668</v>
      </c>
      <c r="F37" s="687" t="s">
        <v>659</v>
      </c>
      <c r="G37" s="425">
        <v>22</v>
      </c>
      <c r="H37" s="425">
        <v>90884</v>
      </c>
      <c r="I37" s="425">
        <v>1999448</v>
      </c>
      <c r="J37" s="425">
        <v>33485</v>
      </c>
      <c r="K37" s="425">
        <v>736670</v>
      </c>
      <c r="L37" s="425">
        <v>4817</v>
      </c>
      <c r="M37" s="425">
        <f>TRUNC(G37*L37)</f>
        <v>105974</v>
      </c>
      <c r="N37" s="425">
        <f t="shared" si="1"/>
        <v>124369</v>
      </c>
      <c r="O37" s="425">
        <f t="shared" si="0"/>
        <v>2842092</v>
      </c>
      <c r="P37" s="683">
        <f>G38-G37</f>
        <v>-22</v>
      </c>
      <c r="Q37" s="683">
        <f>O38-O37</f>
        <v>-2842092</v>
      </c>
      <c r="R37" s="689" t="s">
        <v>669</v>
      </c>
      <c r="AF37" s="426">
        <v>736670</v>
      </c>
    </row>
    <row r="38" spans="1:32" ht="23.1" customHeight="1">
      <c r="A38" s="412"/>
      <c r="B38" s="412"/>
      <c r="C38" s="412"/>
      <c r="D38" s="696"/>
      <c r="E38" s="696"/>
      <c r="F38" s="688"/>
      <c r="G38" s="416"/>
      <c r="H38" s="416"/>
      <c r="I38" s="416"/>
      <c r="J38" s="416"/>
      <c r="K38" s="416"/>
      <c r="L38" s="416"/>
      <c r="M38" s="416"/>
      <c r="N38" s="416">
        <f t="shared" si="1"/>
        <v>0</v>
      </c>
      <c r="O38" s="416"/>
      <c r="P38" s="684"/>
      <c r="Q38" s="684"/>
      <c r="R38" s="690"/>
    </row>
    <row r="39" spans="1:32" s="426" customFormat="1" ht="23.1" customHeight="1">
      <c r="A39" s="423" t="s">
        <v>670</v>
      </c>
      <c r="B39" s="423" t="s">
        <v>589</v>
      </c>
      <c r="C39" s="423" t="s">
        <v>670</v>
      </c>
      <c r="D39" s="695" t="s">
        <v>671</v>
      </c>
      <c r="E39" s="695" t="s">
        <v>672</v>
      </c>
      <c r="F39" s="687" t="s">
        <v>673</v>
      </c>
      <c r="G39" s="425">
        <v>324</v>
      </c>
      <c r="H39" s="425">
        <v>333</v>
      </c>
      <c r="I39" s="425">
        <v>107892</v>
      </c>
      <c r="J39" s="425">
        <v>804</v>
      </c>
      <c r="K39" s="425">
        <v>260496</v>
      </c>
      <c r="L39" s="425">
        <v>418</v>
      </c>
      <c r="M39" s="425">
        <f>TRUNC(G39*L39)</f>
        <v>135432</v>
      </c>
      <c r="N39" s="425">
        <f t="shared" si="1"/>
        <v>1137</v>
      </c>
      <c r="O39" s="425">
        <f t="shared" si="0"/>
        <v>503820</v>
      </c>
      <c r="P39" s="683">
        <f>G40-G39</f>
        <v>-324</v>
      </c>
      <c r="Q39" s="683">
        <f>O40-O39</f>
        <v>-503820</v>
      </c>
      <c r="R39" s="689" t="s">
        <v>670</v>
      </c>
    </row>
    <row r="40" spans="1:32" ht="23.1" customHeight="1">
      <c r="A40" s="412"/>
      <c r="B40" s="412"/>
      <c r="C40" s="412"/>
      <c r="D40" s="696"/>
      <c r="E40" s="696"/>
      <c r="F40" s="688"/>
      <c r="G40" s="416"/>
      <c r="H40" s="416"/>
      <c r="I40" s="416"/>
      <c r="J40" s="416"/>
      <c r="K40" s="416"/>
      <c r="L40" s="416"/>
      <c r="M40" s="416"/>
      <c r="N40" s="416">
        <f t="shared" si="1"/>
        <v>0</v>
      </c>
      <c r="O40" s="416"/>
      <c r="P40" s="684"/>
      <c r="Q40" s="684"/>
      <c r="R40" s="690"/>
    </row>
    <row r="41" spans="1:32" s="426" customFormat="1" ht="23.1" customHeight="1">
      <c r="A41" s="423" t="s">
        <v>674</v>
      </c>
      <c r="B41" s="423" t="s">
        <v>589</v>
      </c>
      <c r="C41" s="423" t="s">
        <v>674</v>
      </c>
      <c r="D41" s="695" t="s">
        <v>675</v>
      </c>
      <c r="E41" s="695" t="s">
        <v>672</v>
      </c>
      <c r="F41" s="687" t="s">
        <v>673</v>
      </c>
      <c r="G41" s="425">
        <v>324</v>
      </c>
      <c r="H41" s="425">
        <v>333</v>
      </c>
      <c r="I41" s="425">
        <v>107892</v>
      </c>
      <c r="J41" s="425">
        <v>804</v>
      </c>
      <c r="K41" s="425">
        <v>260496</v>
      </c>
      <c r="L41" s="425">
        <v>418</v>
      </c>
      <c r="M41" s="425">
        <f>TRUNC(G41*L41)</f>
        <v>135432</v>
      </c>
      <c r="N41" s="425">
        <f t="shared" si="1"/>
        <v>1137</v>
      </c>
      <c r="O41" s="425">
        <f t="shared" si="0"/>
        <v>503820</v>
      </c>
      <c r="P41" s="683">
        <f>G42-G41</f>
        <v>-324</v>
      </c>
      <c r="Q41" s="683">
        <f>O42-O41</f>
        <v>-503820</v>
      </c>
      <c r="R41" s="689" t="s">
        <v>674</v>
      </c>
    </row>
    <row r="42" spans="1:32" ht="23.1" customHeight="1">
      <c r="A42" s="412"/>
      <c r="B42" s="412"/>
      <c r="C42" s="412"/>
      <c r="D42" s="696"/>
      <c r="E42" s="696"/>
      <c r="F42" s="688"/>
      <c r="G42" s="416"/>
      <c r="H42" s="416"/>
      <c r="I42" s="416"/>
      <c r="J42" s="416"/>
      <c r="K42" s="416"/>
      <c r="L42" s="416"/>
      <c r="M42" s="416"/>
      <c r="N42" s="416">
        <f t="shared" si="1"/>
        <v>0</v>
      </c>
      <c r="O42" s="416"/>
      <c r="P42" s="684"/>
      <c r="Q42" s="684"/>
      <c r="R42" s="690"/>
    </row>
    <row r="43" spans="1:32" s="426" customFormat="1" ht="23.1" customHeight="1">
      <c r="A43" s="423" t="s">
        <v>676</v>
      </c>
      <c r="B43" s="423" t="s">
        <v>589</v>
      </c>
      <c r="C43" s="423" t="s">
        <v>676</v>
      </c>
      <c r="D43" s="695" t="s">
        <v>677</v>
      </c>
      <c r="E43" s="695" t="s">
        <v>678</v>
      </c>
      <c r="F43" s="687" t="s">
        <v>679</v>
      </c>
      <c r="G43" s="425">
        <v>30</v>
      </c>
      <c r="H43" s="425">
        <v>40714</v>
      </c>
      <c r="I43" s="425">
        <v>1221420</v>
      </c>
      <c r="J43" s="425">
        <v>43557</v>
      </c>
      <c r="K43" s="425">
        <v>1306710</v>
      </c>
      <c r="L43" s="425">
        <v>0</v>
      </c>
      <c r="M43" s="425">
        <v>0</v>
      </c>
      <c r="N43" s="425">
        <f t="shared" si="1"/>
        <v>84271</v>
      </c>
      <c r="O43" s="425">
        <f t="shared" si="0"/>
        <v>2528130</v>
      </c>
      <c r="P43" s="683">
        <f>G44-G43</f>
        <v>-30</v>
      </c>
      <c r="Q43" s="683">
        <f>O44-O43</f>
        <v>-2528130</v>
      </c>
      <c r="R43" s="689" t="s">
        <v>680</v>
      </c>
      <c r="AF43" s="426">
        <v>1306740</v>
      </c>
    </row>
    <row r="44" spans="1:32" ht="23.1" customHeight="1">
      <c r="A44" s="412"/>
      <c r="B44" s="412"/>
      <c r="C44" s="412"/>
      <c r="D44" s="696"/>
      <c r="E44" s="696"/>
      <c r="F44" s="688"/>
      <c r="G44" s="416"/>
      <c r="H44" s="416"/>
      <c r="I44" s="416"/>
      <c r="J44" s="416"/>
      <c r="K44" s="416"/>
      <c r="L44" s="416"/>
      <c r="M44" s="416"/>
      <c r="N44" s="416">
        <f t="shared" si="1"/>
        <v>0</v>
      </c>
      <c r="O44" s="416"/>
      <c r="P44" s="684"/>
      <c r="Q44" s="684"/>
      <c r="R44" s="690"/>
    </row>
    <row r="45" spans="1:32" s="426" customFormat="1" ht="23.1" customHeight="1">
      <c r="A45" s="423" t="s">
        <v>681</v>
      </c>
      <c r="B45" s="423" t="s">
        <v>589</v>
      </c>
      <c r="C45" s="423" t="s">
        <v>681</v>
      </c>
      <c r="D45" s="695" t="s">
        <v>682</v>
      </c>
      <c r="E45" s="695" t="s">
        <v>683</v>
      </c>
      <c r="F45" s="687" t="s">
        <v>684</v>
      </c>
      <c r="G45" s="425">
        <v>30</v>
      </c>
      <c r="H45" s="425">
        <v>838</v>
      </c>
      <c r="I45" s="425">
        <v>25140</v>
      </c>
      <c r="J45" s="425">
        <v>41952</v>
      </c>
      <c r="K45" s="425">
        <v>1258560</v>
      </c>
      <c r="L45" s="425">
        <v>0</v>
      </c>
      <c r="M45" s="425">
        <v>0</v>
      </c>
      <c r="N45" s="425">
        <f t="shared" si="1"/>
        <v>42790</v>
      </c>
      <c r="O45" s="425">
        <f t="shared" si="0"/>
        <v>1283700</v>
      </c>
      <c r="P45" s="683">
        <f>G46-G45</f>
        <v>-30</v>
      </c>
      <c r="Q45" s="683">
        <f>O46-O45</f>
        <v>-1283700</v>
      </c>
      <c r="R45" s="689" t="s">
        <v>685</v>
      </c>
      <c r="AF45" s="426">
        <v>1258590</v>
      </c>
    </row>
    <row r="46" spans="1:32" ht="23.1" customHeight="1">
      <c r="A46" s="412"/>
      <c r="B46" s="412"/>
      <c r="C46" s="412"/>
      <c r="D46" s="696"/>
      <c r="E46" s="696"/>
      <c r="F46" s="688"/>
      <c r="G46" s="416"/>
      <c r="H46" s="416"/>
      <c r="I46" s="416"/>
      <c r="J46" s="416"/>
      <c r="K46" s="416"/>
      <c r="L46" s="416"/>
      <c r="M46" s="416"/>
      <c r="N46" s="416">
        <f t="shared" si="1"/>
        <v>0</v>
      </c>
      <c r="O46" s="416"/>
      <c r="P46" s="684"/>
      <c r="Q46" s="684"/>
      <c r="R46" s="690"/>
    </row>
    <row r="47" spans="1:32" s="426" customFormat="1" ht="23.1" customHeight="1">
      <c r="A47" s="423" t="s">
        <v>686</v>
      </c>
      <c r="B47" s="423" t="s">
        <v>589</v>
      </c>
      <c r="C47" s="423" t="s">
        <v>686</v>
      </c>
      <c r="D47" s="695" t="s">
        <v>687</v>
      </c>
      <c r="E47" s="695" t="s">
        <v>688</v>
      </c>
      <c r="F47" s="687" t="s">
        <v>684</v>
      </c>
      <c r="G47" s="425">
        <v>22</v>
      </c>
      <c r="H47" s="425">
        <v>723</v>
      </c>
      <c r="I47" s="425">
        <v>15906</v>
      </c>
      <c r="J47" s="425">
        <v>36209</v>
      </c>
      <c r="K47" s="425">
        <v>796598</v>
      </c>
      <c r="L47" s="425">
        <v>0</v>
      </c>
      <c r="M47" s="425">
        <v>0</v>
      </c>
      <c r="N47" s="425">
        <f t="shared" si="1"/>
        <v>36932</v>
      </c>
      <c r="O47" s="425">
        <f t="shared" si="0"/>
        <v>812504</v>
      </c>
      <c r="P47" s="683">
        <f>G48-G47</f>
        <v>-22</v>
      </c>
      <c r="Q47" s="683">
        <f>O48-O47</f>
        <v>-812504</v>
      </c>
      <c r="R47" s="689" t="s">
        <v>689</v>
      </c>
      <c r="AF47" s="426">
        <v>796620</v>
      </c>
    </row>
    <row r="48" spans="1:32" ht="23.1" customHeight="1">
      <c r="A48" s="412"/>
      <c r="B48" s="412"/>
      <c r="C48" s="412"/>
      <c r="D48" s="696"/>
      <c r="E48" s="696"/>
      <c r="F48" s="688"/>
      <c r="G48" s="416"/>
      <c r="H48" s="416"/>
      <c r="I48" s="416"/>
      <c r="J48" s="416"/>
      <c r="K48" s="416"/>
      <c r="L48" s="416"/>
      <c r="M48" s="416"/>
      <c r="N48" s="416">
        <f t="shared" si="1"/>
        <v>0</v>
      </c>
      <c r="O48" s="416"/>
      <c r="P48" s="684"/>
      <c r="Q48" s="684"/>
      <c r="R48" s="690"/>
    </row>
    <row r="49" spans="1:32" s="426" customFormat="1" ht="23.1" customHeight="1">
      <c r="A49" s="423"/>
      <c r="B49" s="423"/>
      <c r="C49" s="423"/>
      <c r="D49" s="693" t="str">
        <f>신규_공종별내역서!A53</f>
        <v>풀박스</v>
      </c>
      <c r="E49" s="693" t="str">
        <f>신규_공종별내역서!B53</f>
        <v>100X100X50</v>
      </c>
      <c r="F49" s="689" t="str">
        <f>신규_공종별내역서!C53</f>
        <v>개</v>
      </c>
      <c r="G49" s="425"/>
      <c r="H49" s="425"/>
      <c r="I49" s="425"/>
      <c r="J49" s="425"/>
      <c r="K49" s="425"/>
      <c r="L49" s="425"/>
      <c r="M49" s="425"/>
      <c r="N49" s="425">
        <f t="shared" si="1"/>
        <v>0</v>
      </c>
      <c r="O49" s="425"/>
      <c r="P49" s="683">
        <f>G50-G49</f>
        <v>4</v>
      </c>
      <c r="Q49" s="683">
        <f>O50-O49</f>
        <v>48248</v>
      </c>
      <c r="R49" s="687" t="s">
        <v>690</v>
      </c>
      <c r="AF49" s="426">
        <v>23370780</v>
      </c>
    </row>
    <row r="50" spans="1:32" ht="23.1" customHeight="1">
      <c r="A50" s="412"/>
      <c r="B50" s="412"/>
      <c r="C50" s="412"/>
      <c r="D50" s="694"/>
      <c r="E50" s="694"/>
      <c r="F50" s="690"/>
      <c r="G50" s="416">
        <f>신규_공종별내역서!D53</f>
        <v>4</v>
      </c>
      <c r="H50" s="416">
        <f>신규_공종별내역서!E53</f>
        <v>2663</v>
      </c>
      <c r="I50" s="416">
        <f>신규_공종별내역서!F53</f>
        <v>10652</v>
      </c>
      <c r="J50" s="416">
        <f>신규_공종별내역서!G53</f>
        <v>9399</v>
      </c>
      <c r="K50" s="416">
        <f>신규_공종별내역서!H53</f>
        <v>37596</v>
      </c>
      <c r="L50" s="416">
        <f>신규_공종별내역서!I53</f>
        <v>0</v>
      </c>
      <c r="M50" s="416">
        <f>신규_공종별내역서!J53</f>
        <v>0</v>
      </c>
      <c r="N50" s="416">
        <f t="shared" si="1"/>
        <v>12062</v>
      </c>
      <c r="O50" s="416">
        <f>신규_공종별내역서!K53</f>
        <v>48248</v>
      </c>
      <c r="P50" s="684"/>
      <c r="Q50" s="684"/>
      <c r="R50" s="690"/>
      <c r="AF50" s="422">
        <f ca="1">TRUNC([2]!sumcol(0,#REF!))</f>
        <v>0</v>
      </c>
    </row>
    <row r="51" spans="1:32" s="426" customFormat="1" ht="23.1" customHeight="1">
      <c r="A51" s="423"/>
      <c r="B51" s="423"/>
      <c r="C51" s="423"/>
      <c r="D51" s="693" t="str">
        <f>신규_공종별내역서!A54</f>
        <v>난연 비닐 절연 접지용전선(F-GV)</v>
      </c>
      <c r="E51" s="693" t="str">
        <f>신규_공종별내역서!B54</f>
        <v>0.6/1kV  4㎟</v>
      </c>
      <c r="F51" s="689" t="str">
        <f>신규_공종별내역서!C54</f>
        <v>m</v>
      </c>
      <c r="G51" s="425"/>
      <c r="H51" s="425"/>
      <c r="I51" s="425"/>
      <c r="J51" s="425"/>
      <c r="K51" s="425"/>
      <c r="L51" s="425"/>
      <c r="M51" s="425"/>
      <c r="N51" s="425">
        <f t="shared" si="1"/>
        <v>0</v>
      </c>
      <c r="O51" s="425"/>
      <c r="P51" s="683">
        <f>G52-G51</f>
        <v>564.5</v>
      </c>
      <c r="Q51" s="683">
        <f>O52-O51</f>
        <v>1737531</v>
      </c>
      <c r="R51" s="689"/>
    </row>
    <row r="52" spans="1:32" ht="23.1" customHeight="1">
      <c r="A52" s="412"/>
      <c r="B52" s="412"/>
      <c r="C52" s="412"/>
      <c r="D52" s="694"/>
      <c r="E52" s="694"/>
      <c r="F52" s="690"/>
      <c r="G52" s="416">
        <f>신규_공종별내역서!D54</f>
        <v>564.5</v>
      </c>
      <c r="H52" s="416">
        <f>신규_공종별내역서!E54</f>
        <v>964</v>
      </c>
      <c r="I52" s="416">
        <f>신규_공종별내역서!F54</f>
        <v>544178</v>
      </c>
      <c r="J52" s="416">
        <f>신규_공종별내역서!G54</f>
        <v>2114</v>
      </c>
      <c r="K52" s="416">
        <f>신규_공종별내역서!H54</f>
        <v>1193353</v>
      </c>
      <c r="L52" s="416">
        <f>신규_공종별내역서!I54</f>
        <v>0</v>
      </c>
      <c r="M52" s="416">
        <f>신규_공종별내역서!J54</f>
        <v>0</v>
      </c>
      <c r="N52" s="416">
        <f t="shared" si="1"/>
        <v>3078</v>
      </c>
      <c r="O52" s="416">
        <f>신규_공종별내역서!K54</f>
        <v>1737531</v>
      </c>
      <c r="P52" s="684"/>
      <c r="Q52" s="684"/>
      <c r="R52" s="690"/>
    </row>
    <row r="53" spans="1:32" s="426" customFormat="1" ht="23.1" customHeight="1">
      <c r="A53" s="423"/>
      <c r="B53" s="423"/>
      <c r="C53" s="423"/>
      <c r="D53" s="693" t="str">
        <f>신규_공종별내역서!A55</f>
        <v>난연 비닐 절연 접지용전선(F-GV)</v>
      </c>
      <c r="E53" s="693" t="str">
        <f>신규_공종별내역서!B55</f>
        <v>0.6/1kV  6㎟</v>
      </c>
      <c r="F53" s="689" t="str">
        <f>신규_공종별내역서!C55</f>
        <v>m</v>
      </c>
      <c r="G53" s="425"/>
      <c r="H53" s="425"/>
      <c r="I53" s="425"/>
      <c r="J53" s="425"/>
      <c r="K53" s="425"/>
      <c r="L53" s="425"/>
      <c r="M53" s="425"/>
      <c r="N53" s="425">
        <f t="shared" si="1"/>
        <v>0</v>
      </c>
      <c r="O53" s="425"/>
      <c r="P53" s="683">
        <f>G54-G53</f>
        <v>654.5</v>
      </c>
      <c r="Q53" s="683">
        <f>O54-O53</f>
        <v>2080655</v>
      </c>
      <c r="R53" s="687" t="s">
        <v>691</v>
      </c>
      <c r="AF53" s="426">
        <v>23370780</v>
      </c>
    </row>
    <row r="54" spans="1:32" ht="23.1" customHeight="1">
      <c r="A54" s="412"/>
      <c r="B54" s="412"/>
      <c r="C54" s="412"/>
      <c r="D54" s="694"/>
      <c r="E54" s="694"/>
      <c r="F54" s="690"/>
      <c r="G54" s="416">
        <f>신규_공종별내역서!D55</f>
        <v>654.5</v>
      </c>
      <c r="H54" s="416">
        <f>신규_공종별내역서!E55</f>
        <v>849</v>
      </c>
      <c r="I54" s="416">
        <f>신규_공종별내역서!F55</f>
        <v>555670</v>
      </c>
      <c r="J54" s="416">
        <f>신규_공종별내역서!G55</f>
        <v>2330</v>
      </c>
      <c r="K54" s="416">
        <f>신규_공종별내역서!H55</f>
        <v>1524985</v>
      </c>
      <c r="L54" s="416">
        <f>신규_공종별내역서!I55</f>
        <v>0</v>
      </c>
      <c r="M54" s="416">
        <f>신규_공종별내역서!J55</f>
        <v>0</v>
      </c>
      <c r="N54" s="416">
        <f t="shared" si="1"/>
        <v>3179</v>
      </c>
      <c r="O54" s="416">
        <f>신규_공종별내역서!K55</f>
        <v>2080655</v>
      </c>
      <c r="P54" s="684"/>
      <c r="Q54" s="684"/>
      <c r="R54" s="690"/>
      <c r="AF54" s="422">
        <f ca="1">TRUNC([2]!sumcol(0,#REF!))</f>
        <v>0</v>
      </c>
    </row>
    <row r="55" spans="1:32" s="426" customFormat="1" ht="23.1" customHeight="1">
      <c r="A55" s="423"/>
      <c r="B55" s="423"/>
      <c r="C55" s="423"/>
      <c r="D55" s="693" t="str">
        <f>신규_공종별내역서!A56</f>
        <v>0.6/1kV 난연 전력 케이블(F-CV)</v>
      </c>
      <c r="E55" s="693" t="str">
        <f>신규_공종별내역서!B56</f>
        <v>2C 4㎟</v>
      </c>
      <c r="F55" s="689" t="str">
        <f>신규_공종별내역서!C56</f>
        <v>m</v>
      </c>
      <c r="G55" s="425"/>
      <c r="H55" s="425"/>
      <c r="I55" s="425"/>
      <c r="J55" s="425"/>
      <c r="K55" s="425"/>
      <c r="L55" s="425"/>
      <c r="M55" s="425"/>
      <c r="N55" s="425">
        <f t="shared" si="1"/>
        <v>0</v>
      </c>
      <c r="O55" s="425"/>
      <c r="P55" s="683">
        <f>G56-G55</f>
        <v>564.5</v>
      </c>
      <c r="Q55" s="683">
        <f>O56-O55</f>
        <v>3253213</v>
      </c>
      <c r="R55" s="687" t="s">
        <v>692</v>
      </c>
    </row>
    <row r="56" spans="1:32" ht="23.1" customHeight="1">
      <c r="A56" s="412"/>
      <c r="B56" s="412"/>
      <c r="C56" s="412"/>
      <c r="D56" s="694"/>
      <c r="E56" s="694"/>
      <c r="F56" s="690"/>
      <c r="G56" s="416">
        <f>신규_공종별내역서!D56</f>
        <v>564.5</v>
      </c>
      <c r="H56" s="416">
        <f>신규_공종별내역서!E56</f>
        <v>1677</v>
      </c>
      <c r="I56" s="416">
        <f>신규_공종별내역서!F56</f>
        <v>946666</v>
      </c>
      <c r="J56" s="416">
        <f>신규_공종별내역서!G56</f>
        <v>4086</v>
      </c>
      <c r="K56" s="416">
        <f>신규_공종별내역서!H56</f>
        <v>2306547</v>
      </c>
      <c r="L56" s="416">
        <f>신규_공종별내역서!I56</f>
        <v>0</v>
      </c>
      <c r="M56" s="416">
        <f>신규_공종별내역서!J56</f>
        <v>0</v>
      </c>
      <c r="N56" s="416">
        <f t="shared" si="1"/>
        <v>5763</v>
      </c>
      <c r="O56" s="416">
        <f>신규_공종별내역서!K56</f>
        <v>3253213</v>
      </c>
      <c r="P56" s="684"/>
      <c r="Q56" s="684"/>
      <c r="R56" s="690"/>
    </row>
    <row r="57" spans="1:32" s="426" customFormat="1" ht="23.1" customHeight="1">
      <c r="A57" s="423"/>
      <c r="B57" s="423"/>
      <c r="C57" s="423"/>
      <c r="D57" s="693" t="str">
        <f>신규_공종별내역서!A57</f>
        <v>0.6/1kV 난연 전력 케이블(F-CV)</v>
      </c>
      <c r="E57" s="693" t="str">
        <f>신규_공종별내역서!B57</f>
        <v>2C 6㎟</v>
      </c>
      <c r="F57" s="689" t="str">
        <f>신규_공종별내역서!C57</f>
        <v>m</v>
      </c>
      <c r="G57" s="425"/>
      <c r="H57" s="425"/>
      <c r="I57" s="425"/>
      <c r="J57" s="425"/>
      <c r="K57" s="425"/>
      <c r="L57" s="425"/>
      <c r="M57" s="425"/>
      <c r="N57" s="425">
        <f t="shared" si="1"/>
        <v>0</v>
      </c>
      <c r="O57" s="425"/>
      <c r="P57" s="683">
        <f>G58-G57</f>
        <v>960</v>
      </c>
      <c r="Q57" s="683">
        <f>O58-O57</f>
        <v>5721600</v>
      </c>
      <c r="R57" s="687" t="s">
        <v>693</v>
      </c>
      <c r="AF57" s="426">
        <v>23370780</v>
      </c>
    </row>
    <row r="58" spans="1:32" ht="23.1" customHeight="1">
      <c r="A58" s="412"/>
      <c r="B58" s="412"/>
      <c r="C58" s="412"/>
      <c r="D58" s="694"/>
      <c r="E58" s="694"/>
      <c r="F58" s="690"/>
      <c r="G58" s="416">
        <f>신규_공종별내역서!D57</f>
        <v>960</v>
      </c>
      <c r="H58" s="416">
        <f>신규_공종별내역서!E57</f>
        <v>2275</v>
      </c>
      <c r="I58" s="416">
        <f>신규_공종별내역서!F57</f>
        <v>2184000</v>
      </c>
      <c r="J58" s="416">
        <f>신규_공종별내역서!G57</f>
        <v>3685</v>
      </c>
      <c r="K58" s="416">
        <f>신규_공종별내역서!H57</f>
        <v>3537600</v>
      </c>
      <c r="L58" s="416">
        <f>신규_공종별내역서!I57</f>
        <v>0</v>
      </c>
      <c r="M58" s="416">
        <f>신규_공종별내역서!J57</f>
        <v>0</v>
      </c>
      <c r="N58" s="416">
        <f t="shared" si="1"/>
        <v>5960</v>
      </c>
      <c r="O58" s="416">
        <f>신규_공종별내역서!K57</f>
        <v>5721600</v>
      </c>
      <c r="P58" s="684"/>
      <c r="Q58" s="684"/>
      <c r="R58" s="690"/>
      <c r="AF58" s="422">
        <f ca="1">TRUNC([2]!sumcol(0,#REF!))</f>
        <v>0</v>
      </c>
    </row>
    <row r="59" spans="1:32" s="426" customFormat="1" ht="23.1" customHeight="1">
      <c r="A59" s="423"/>
      <c r="B59" s="423"/>
      <c r="C59" s="423"/>
      <c r="D59" s="693" t="str">
        <f>신규_공종별내역서!A58</f>
        <v>누전차단기</v>
      </c>
      <c r="E59" s="693" t="str">
        <f>신규_공종별내역서!B58</f>
        <v>ELB 2P 30AF</v>
      </c>
      <c r="F59" s="689" t="str">
        <f>신규_공종별내역서!C58</f>
        <v>개</v>
      </c>
      <c r="G59" s="425"/>
      <c r="H59" s="425"/>
      <c r="I59" s="425"/>
      <c r="J59" s="425"/>
      <c r="K59" s="425"/>
      <c r="L59" s="425"/>
      <c r="M59" s="425"/>
      <c r="N59" s="425">
        <f t="shared" si="1"/>
        <v>0</v>
      </c>
      <c r="O59" s="425"/>
      <c r="P59" s="683">
        <f>G60-G59</f>
        <v>16</v>
      </c>
      <c r="Q59" s="683">
        <f>O60-O59</f>
        <v>1152560</v>
      </c>
      <c r="R59" s="687" t="s">
        <v>694</v>
      </c>
    </row>
    <row r="60" spans="1:32" ht="23.1" customHeight="1">
      <c r="A60" s="412"/>
      <c r="B60" s="412"/>
      <c r="C60" s="412"/>
      <c r="D60" s="694"/>
      <c r="E60" s="694"/>
      <c r="F60" s="690"/>
      <c r="G60" s="416">
        <f>신규_공종별내역서!D58</f>
        <v>16</v>
      </c>
      <c r="H60" s="416">
        <f>신규_공종별내역서!E58</f>
        <v>40781</v>
      </c>
      <c r="I60" s="416">
        <f>신규_공종별내역서!F58</f>
        <v>652496</v>
      </c>
      <c r="J60" s="416">
        <f>신규_공종별내역서!G58</f>
        <v>31254</v>
      </c>
      <c r="K60" s="416">
        <f>신규_공종별내역서!H58</f>
        <v>500064</v>
      </c>
      <c r="L60" s="416">
        <f>신규_공종별내역서!I58</f>
        <v>0</v>
      </c>
      <c r="M60" s="416">
        <f>신규_공종별내역서!J58</f>
        <v>0</v>
      </c>
      <c r="N60" s="416">
        <f t="shared" si="1"/>
        <v>72035</v>
      </c>
      <c r="O60" s="416">
        <f>신규_공종별내역서!K58</f>
        <v>1152560</v>
      </c>
      <c r="P60" s="684"/>
      <c r="Q60" s="684"/>
      <c r="R60" s="690"/>
    </row>
    <row r="61" spans="1:32" s="426" customFormat="1" ht="23.1" customHeight="1">
      <c r="A61" s="423"/>
      <c r="B61" s="423"/>
      <c r="C61" s="423"/>
      <c r="D61" s="693" t="str">
        <f>신규_공종별내역서!A59</f>
        <v>경고테이프 포설</v>
      </c>
      <c r="E61" s="693" t="str">
        <f>신규_공종별내역서!B59</f>
        <v>저압용</v>
      </c>
      <c r="F61" s="689" t="str">
        <f>신규_공종별내역서!C59</f>
        <v>M</v>
      </c>
      <c r="G61" s="425"/>
      <c r="H61" s="425"/>
      <c r="I61" s="425"/>
      <c r="J61" s="425"/>
      <c r="K61" s="425"/>
      <c r="L61" s="425"/>
      <c r="M61" s="425"/>
      <c r="N61" s="425">
        <f t="shared" si="1"/>
        <v>0</v>
      </c>
      <c r="O61" s="425"/>
      <c r="P61" s="683">
        <f>G62-G61</f>
        <v>1116.5</v>
      </c>
      <c r="Q61" s="683">
        <f>O62-O61</f>
        <v>598444</v>
      </c>
      <c r="R61" s="687" t="s">
        <v>695</v>
      </c>
      <c r="AF61" s="426">
        <v>23370780</v>
      </c>
    </row>
    <row r="62" spans="1:32" ht="23.1" customHeight="1">
      <c r="A62" s="412"/>
      <c r="B62" s="412"/>
      <c r="C62" s="412"/>
      <c r="D62" s="694"/>
      <c r="E62" s="694"/>
      <c r="F62" s="690"/>
      <c r="G62" s="416">
        <f>신규_공종별내역서!D59</f>
        <v>1116.5</v>
      </c>
      <c r="H62" s="416">
        <f>신규_공종별내역서!E59</f>
        <v>270</v>
      </c>
      <c r="I62" s="416">
        <f>신규_공종별내역서!F59</f>
        <v>301455</v>
      </c>
      <c r="J62" s="416">
        <f>신규_공종별내역서!G59</f>
        <v>266</v>
      </c>
      <c r="K62" s="416">
        <f>신규_공종별내역서!H59</f>
        <v>296989</v>
      </c>
      <c r="L62" s="416">
        <f>신규_공종별내역서!I59</f>
        <v>0</v>
      </c>
      <c r="M62" s="416">
        <f>신규_공종별내역서!J59</f>
        <v>0</v>
      </c>
      <c r="N62" s="416">
        <f t="shared" si="1"/>
        <v>536</v>
      </c>
      <c r="O62" s="416">
        <f>신규_공종별내역서!K59</f>
        <v>598444</v>
      </c>
      <c r="P62" s="684"/>
      <c r="Q62" s="684"/>
      <c r="R62" s="690"/>
      <c r="AF62" s="422">
        <f ca="1">TRUNC([2]!sumcol(0,#REF!))</f>
        <v>0</v>
      </c>
    </row>
    <row r="63" spans="1:32" s="426" customFormat="1" ht="23.1" customHeight="1">
      <c r="A63" s="423"/>
      <c r="B63" s="423"/>
      <c r="C63" s="423"/>
      <c r="D63" s="693" t="str">
        <f>신규_공종별내역서!A60</f>
        <v>파상형 폴리에틸렌 전선관</v>
      </c>
      <c r="E63" s="693" t="str">
        <f>신규_공종별내역서!B60</f>
        <v>30mm</v>
      </c>
      <c r="F63" s="689" t="str">
        <f>신규_공종별내역서!C60</f>
        <v>M</v>
      </c>
      <c r="G63" s="425"/>
      <c r="H63" s="425"/>
      <c r="I63" s="425"/>
      <c r="J63" s="425"/>
      <c r="K63" s="425"/>
      <c r="L63" s="425"/>
      <c r="M63" s="425"/>
      <c r="N63" s="425">
        <f t="shared" si="1"/>
        <v>0</v>
      </c>
      <c r="O63" s="425"/>
      <c r="P63" s="683">
        <f>G64-G63</f>
        <v>858.5</v>
      </c>
      <c r="Q63" s="683">
        <f>O64-O63</f>
        <v>6028386</v>
      </c>
      <c r="R63" s="687" t="s">
        <v>696</v>
      </c>
    </row>
    <row r="64" spans="1:32" ht="23.1" customHeight="1">
      <c r="A64" s="412"/>
      <c r="B64" s="412"/>
      <c r="C64" s="412"/>
      <c r="D64" s="694"/>
      <c r="E64" s="694"/>
      <c r="F64" s="690"/>
      <c r="G64" s="416">
        <f>신규_공종별내역서!D60</f>
        <v>858.5</v>
      </c>
      <c r="H64" s="416">
        <f>신규_공종별내역서!E60</f>
        <v>487</v>
      </c>
      <c r="I64" s="416">
        <f>신규_공종별내역서!F60</f>
        <v>418089</v>
      </c>
      <c r="J64" s="416">
        <f>신규_공종별내역서!G60</f>
        <v>6535</v>
      </c>
      <c r="K64" s="416">
        <f>신규_공종별내역서!H60</f>
        <v>5610297</v>
      </c>
      <c r="L64" s="416">
        <f>신규_공종별내역서!I60</f>
        <v>0</v>
      </c>
      <c r="M64" s="416">
        <f>신규_공종별내역서!J60</f>
        <v>0</v>
      </c>
      <c r="N64" s="416">
        <f t="shared" si="1"/>
        <v>7022</v>
      </c>
      <c r="O64" s="416">
        <f>신규_공종별내역서!K60</f>
        <v>6028386</v>
      </c>
      <c r="P64" s="684"/>
      <c r="Q64" s="684"/>
      <c r="R64" s="690"/>
    </row>
    <row r="65" spans="1:32" s="426" customFormat="1" ht="23.1" customHeight="1">
      <c r="A65" s="423"/>
      <c r="B65" s="423"/>
      <c r="C65" s="423"/>
      <c r="D65" s="693" t="str">
        <f>신규_공종별내역서!A61</f>
        <v>합성수지 파형관(ELP)설치</v>
      </c>
      <c r="E65" s="693" t="str">
        <f>신규_공종별내역서!B61</f>
        <v>40mm</v>
      </c>
      <c r="F65" s="689" t="str">
        <f>신규_공종별내역서!C61</f>
        <v>M</v>
      </c>
      <c r="G65" s="425"/>
      <c r="H65" s="425"/>
      <c r="I65" s="425"/>
      <c r="J65" s="425"/>
      <c r="K65" s="425"/>
      <c r="L65" s="425"/>
      <c r="M65" s="425"/>
      <c r="N65" s="425">
        <f t="shared" si="1"/>
        <v>0</v>
      </c>
      <c r="O65" s="425"/>
      <c r="P65" s="683">
        <f>G66-G65</f>
        <v>306</v>
      </c>
      <c r="Q65" s="683">
        <f>O66-O65</f>
        <v>2642004</v>
      </c>
      <c r="R65" s="687" t="s">
        <v>697</v>
      </c>
      <c r="AF65" s="426">
        <v>23370780</v>
      </c>
    </row>
    <row r="66" spans="1:32" ht="23.1" customHeight="1">
      <c r="A66" s="412"/>
      <c r="B66" s="412"/>
      <c r="C66" s="412"/>
      <c r="D66" s="694"/>
      <c r="E66" s="694"/>
      <c r="F66" s="690"/>
      <c r="G66" s="416">
        <f>신규_공종별내역서!D61</f>
        <v>306</v>
      </c>
      <c r="H66" s="416">
        <f>신규_공종별내역서!E61</f>
        <v>638</v>
      </c>
      <c r="I66" s="416">
        <f>신규_공종별내역서!F61</f>
        <v>195228</v>
      </c>
      <c r="J66" s="416">
        <f>신규_공종별내역서!G61</f>
        <v>7996</v>
      </c>
      <c r="K66" s="416">
        <f>신규_공종별내역서!H61</f>
        <v>2446776</v>
      </c>
      <c r="L66" s="416">
        <f>신규_공종별내역서!I61</f>
        <v>0</v>
      </c>
      <c r="M66" s="416">
        <f>신규_공종별내역서!J61</f>
        <v>0</v>
      </c>
      <c r="N66" s="416">
        <f t="shared" si="1"/>
        <v>8634</v>
      </c>
      <c r="O66" s="416">
        <f>신규_공종별내역서!K61</f>
        <v>2642004</v>
      </c>
      <c r="P66" s="684"/>
      <c r="Q66" s="684"/>
      <c r="R66" s="690"/>
      <c r="AF66" s="422">
        <f ca="1">TRUNC([2]!sumcol(0,#REF!))</f>
        <v>0</v>
      </c>
    </row>
    <row r="67" spans="1:32" s="426" customFormat="1" ht="23.1" customHeight="1">
      <c r="A67" s="423"/>
      <c r="B67" s="423"/>
      <c r="C67" s="423"/>
      <c r="D67" s="693" t="str">
        <f>신규_공종별내역서!A62</f>
        <v>AL DUCT 신설</v>
      </c>
      <c r="E67" s="693" t="str">
        <f>신규_공종별내역서!B62</f>
        <v>W:50</v>
      </c>
      <c r="F67" s="689" t="str">
        <f>신규_공종별내역서!C62</f>
        <v>m</v>
      </c>
      <c r="G67" s="425"/>
      <c r="H67" s="425"/>
      <c r="I67" s="425"/>
      <c r="J67" s="425"/>
      <c r="K67" s="425"/>
      <c r="L67" s="425"/>
      <c r="M67" s="425"/>
      <c r="N67" s="425">
        <f t="shared" si="1"/>
        <v>0</v>
      </c>
      <c r="O67" s="425"/>
      <c r="P67" s="683">
        <f>G68-G67</f>
        <v>60</v>
      </c>
      <c r="Q67" s="683">
        <f>O68-O67</f>
        <v>2133360</v>
      </c>
      <c r="R67" s="687" t="s">
        <v>698</v>
      </c>
    </row>
    <row r="68" spans="1:32" ht="23.1" customHeight="1">
      <c r="A68" s="412"/>
      <c r="B68" s="412"/>
      <c r="C68" s="412"/>
      <c r="D68" s="694"/>
      <c r="E68" s="694"/>
      <c r="F68" s="690"/>
      <c r="G68" s="416">
        <f>신규_공종별내역서!D62</f>
        <v>60</v>
      </c>
      <c r="H68" s="416">
        <f>신규_공종별내역서!E62</f>
        <v>5007</v>
      </c>
      <c r="I68" s="416">
        <f>신규_공종별내역서!F62</f>
        <v>300420</v>
      </c>
      <c r="J68" s="416">
        <f>신규_공종별내역서!G62</f>
        <v>30549</v>
      </c>
      <c r="K68" s="416">
        <f>신규_공종별내역서!H62</f>
        <v>1832940</v>
      </c>
      <c r="L68" s="416">
        <f>신규_공종별내역서!I62</f>
        <v>0</v>
      </c>
      <c r="M68" s="416">
        <f>신규_공종별내역서!J62</f>
        <v>0</v>
      </c>
      <c r="N68" s="416">
        <f t="shared" si="1"/>
        <v>35556</v>
      </c>
      <c r="O68" s="416">
        <f>신규_공종별내역서!K62</f>
        <v>2133360</v>
      </c>
      <c r="P68" s="684"/>
      <c r="Q68" s="684"/>
      <c r="R68" s="690"/>
    </row>
    <row r="69" spans="1:32" s="426" customFormat="1" ht="23.1" customHeight="1">
      <c r="A69" s="423"/>
      <c r="B69" s="423"/>
      <c r="C69" s="423"/>
      <c r="D69" s="693" t="str">
        <f>신규_공종별내역서!A63</f>
        <v>옥외 조명기구(라인조명)</v>
      </c>
      <c r="E69" s="693" t="str">
        <f>신규_공종별내역서!B63</f>
        <v>LED 18W</v>
      </c>
      <c r="F69" s="689" t="str">
        <f>신규_공종별내역서!C63</f>
        <v>개</v>
      </c>
      <c r="G69" s="425"/>
      <c r="H69" s="425"/>
      <c r="I69" s="425"/>
      <c r="J69" s="425"/>
      <c r="K69" s="425"/>
      <c r="L69" s="425"/>
      <c r="M69" s="425"/>
      <c r="N69" s="425">
        <f t="shared" si="1"/>
        <v>0</v>
      </c>
      <c r="O69" s="425"/>
      <c r="P69" s="683">
        <f>G70-G69</f>
        <v>60</v>
      </c>
      <c r="Q69" s="683">
        <f>O70-O69</f>
        <v>2004060</v>
      </c>
      <c r="R69" s="687" t="s">
        <v>699</v>
      </c>
    </row>
    <row r="70" spans="1:32" ht="23.1" customHeight="1">
      <c r="A70" s="412"/>
      <c r="B70" s="412"/>
      <c r="C70" s="412"/>
      <c r="D70" s="694"/>
      <c r="E70" s="694"/>
      <c r="F70" s="690"/>
      <c r="G70" s="416">
        <f>신규_공종별내역서!D63</f>
        <v>60</v>
      </c>
      <c r="H70" s="416">
        <f>신규_공종별내역서!E63</f>
        <v>972</v>
      </c>
      <c r="I70" s="416">
        <f>신규_공종별내역서!F63</f>
        <v>58320</v>
      </c>
      <c r="J70" s="416">
        <f>신규_공종별내역서!G63</f>
        <v>32429</v>
      </c>
      <c r="K70" s="416">
        <f>신규_공종별내역서!H63</f>
        <v>1945740</v>
      </c>
      <c r="L70" s="416">
        <f>신규_공종별내역서!I63</f>
        <v>0</v>
      </c>
      <c r="M70" s="416">
        <f>신규_공종별내역서!J63</f>
        <v>0</v>
      </c>
      <c r="N70" s="416">
        <f t="shared" si="1"/>
        <v>33401</v>
      </c>
      <c r="O70" s="416">
        <f>신규_공종별내역서!K63</f>
        <v>2004060</v>
      </c>
      <c r="P70" s="684"/>
      <c r="Q70" s="684"/>
      <c r="R70" s="690"/>
    </row>
    <row r="71" spans="1:32" s="426" customFormat="1" ht="23.1" customHeight="1">
      <c r="A71" s="423"/>
      <c r="B71" s="423"/>
      <c r="C71" s="423"/>
      <c r="D71" s="693" t="str">
        <f>신규_공종별내역서!A64</f>
        <v>옥외 조명기구(투광등)</v>
      </c>
      <c r="E71" s="693" t="str">
        <f>신규_공종별내역서!B64</f>
        <v>LED 54W</v>
      </c>
      <c r="F71" s="689" t="str">
        <f>신규_공종별내역서!C64</f>
        <v>개</v>
      </c>
      <c r="G71" s="425"/>
      <c r="H71" s="425"/>
      <c r="I71" s="425"/>
      <c r="J71" s="425"/>
      <c r="K71" s="425"/>
      <c r="L71" s="425"/>
      <c r="M71" s="425"/>
      <c r="N71" s="425">
        <f t="shared" si="1"/>
        <v>0</v>
      </c>
      <c r="O71" s="425"/>
      <c r="P71" s="683">
        <f>G72-G71</f>
        <v>36</v>
      </c>
      <c r="Q71" s="683">
        <f>O72-O71</f>
        <v>1812420</v>
      </c>
      <c r="R71" s="687" t="s">
        <v>700</v>
      </c>
      <c r="AF71" s="426">
        <v>23370780</v>
      </c>
    </row>
    <row r="72" spans="1:32" ht="23.1" customHeight="1">
      <c r="A72" s="412"/>
      <c r="B72" s="412"/>
      <c r="C72" s="412"/>
      <c r="D72" s="694"/>
      <c r="E72" s="694"/>
      <c r="F72" s="690"/>
      <c r="G72" s="416">
        <f>신규_공종별내역서!D64</f>
        <v>36</v>
      </c>
      <c r="H72" s="416">
        <f>신규_공종별내역서!E64</f>
        <v>1466</v>
      </c>
      <c r="I72" s="416">
        <f>신규_공종별내역서!F64</f>
        <v>52776</v>
      </c>
      <c r="J72" s="416">
        <f>신규_공종별내역서!G64</f>
        <v>48879</v>
      </c>
      <c r="K72" s="416">
        <f>신규_공종별내역서!H64</f>
        <v>1759644</v>
      </c>
      <c r="L72" s="416">
        <f>신규_공종별내역서!I64</f>
        <v>0</v>
      </c>
      <c r="M72" s="416">
        <f>신규_공종별내역서!J64</f>
        <v>0</v>
      </c>
      <c r="N72" s="416">
        <f t="shared" si="1"/>
        <v>50345</v>
      </c>
      <c r="O72" s="416">
        <f>신규_공종별내역서!K64</f>
        <v>1812420</v>
      </c>
      <c r="P72" s="684"/>
      <c r="Q72" s="684"/>
      <c r="R72" s="690"/>
      <c r="AF72" s="422">
        <f ca="1">TRUNC([2]!sumcol(0,AF1:AF44))</f>
        <v>1</v>
      </c>
    </row>
    <row r="73" spans="1:32" s="426" customFormat="1" ht="23.1" customHeight="1">
      <c r="A73" s="423"/>
      <c r="B73" s="423"/>
      <c r="C73" s="423"/>
      <c r="D73" s="693" t="str">
        <f>신규_공종별내역서!A65</f>
        <v>투광등 기초 기성품설치</v>
      </c>
      <c r="E73" s="693" t="str">
        <f>신규_공종별내역서!B65</f>
        <v/>
      </c>
      <c r="F73" s="689" t="str">
        <f>신규_공종별내역서!C65</f>
        <v>개소</v>
      </c>
      <c r="G73" s="425"/>
      <c r="H73" s="425"/>
      <c r="I73" s="425"/>
      <c r="J73" s="425"/>
      <c r="K73" s="425"/>
      <c r="L73" s="425"/>
      <c r="M73" s="425"/>
      <c r="N73" s="425">
        <f t="shared" si="1"/>
        <v>0</v>
      </c>
      <c r="O73" s="425"/>
      <c r="P73" s="683">
        <f>G74-G73</f>
        <v>36</v>
      </c>
      <c r="Q73" s="683">
        <f>O74-O73</f>
        <v>4169844</v>
      </c>
      <c r="R73" s="687" t="s">
        <v>701</v>
      </c>
      <c r="AF73" s="426">
        <v>23370780</v>
      </c>
    </row>
    <row r="74" spans="1:32" ht="23.1" customHeight="1">
      <c r="A74" s="412"/>
      <c r="B74" s="412"/>
      <c r="C74" s="412"/>
      <c r="D74" s="694"/>
      <c r="E74" s="694"/>
      <c r="F74" s="690"/>
      <c r="G74" s="416">
        <f>신규_공종별내역서!D65</f>
        <v>36</v>
      </c>
      <c r="H74" s="416">
        <f>신규_공종별내역서!E65</f>
        <v>48217</v>
      </c>
      <c r="I74" s="416">
        <f>신규_공종별내역서!F65</f>
        <v>1735812</v>
      </c>
      <c r="J74" s="416">
        <f>신규_공종별내역서!G65</f>
        <v>63909</v>
      </c>
      <c r="K74" s="416">
        <f>신규_공종별내역서!H65</f>
        <v>2300724</v>
      </c>
      <c r="L74" s="416">
        <f>신규_공종별내역서!I65</f>
        <v>3703</v>
      </c>
      <c r="M74" s="416">
        <f>신규_공종별내역서!J65</f>
        <v>133308</v>
      </c>
      <c r="N74" s="416">
        <f t="shared" si="1"/>
        <v>112126</v>
      </c>
      <c r="O74" s="416">
        <f>신규_공종별내역서!K65</f>
        <v>4169844</v>
      </c>
      <c r="P74" s="684"/>
      <c r="Q74" s="684"/>
      <c r="R74" s="690"/>
      <c r="AF74" s="422">
        <f ca="1">TRUNC([2]!sumcol(0,#REF!))</f>
        <v>0</v>
      </c>
    </row>
    <row r="75" spans="1:32" s="426" customFormat="1" ht="23.1" customHeight="1">
      <c r="A75" s="423"/>
      <c r="B75" s="423"/>
      <c r="C75" s="423"/>
      <c r="D75" s="693" t="str">
        <f>신규_공종별내역서!A66</f>
        <v>SMPS함-1 신설</v>
      </c>
      <c r="E75" s="693" t="str">
        <f>신규_공종별내역서!B66</f>
        <v>옥외 자립형</v>
      </c>
      <c r="F75" s="689" t="str">
        <f>신규_공종별내역서!C66</f>
        <v>면</v>
      </c>
      <c r="G75" s="425"/>
      <c r="H75" s="425"/>
      <c r="I75" s="425"/>
      <c r="J75" s="425"/>
      <c r="K75" s="425"/>
      <c r="L75" s="425"/>
      <c r="M75" s="425"/>
      <c r="N75" s="425">
        <f t="shared" ref="N75:N100" si="4">H75+J75</f>
        <v>0</v>
      </c>
      <c r="O75" s="425"/>
      <c r="P75" s="683">
        <f>G76-G75</f>
        <v>1</v>
      </c>
      <c r="Q75" s="683">
        <f>O76-O75</f>
        <v>1750411</v>
      </c>
      <c r="R75" s="687" t="s">
        <v>702</v>
      </c>
    </row>
    <row r="76" spans="1:32" ht="23.1" customHeight="1">
      <c r="A76" s="412"/>
      <c r="B76" s="412"/>
      <c r="C76" s="412"/>
      <c r="D76" s="694"/>
      <c r="E76" s="694"/>
      <c r="F76" s="690"/>
      <c r="G76" s="416">
        <f>신규_공종별내역서!D66</f>
        <v>1</v>
      </c>
      <c r="H76" s="416">
        <f>신규_공종별내역서!E66</f>
        <v>1380760</v>
      </c>
      <c r="I76" s="416">
        <f>신규_공종별내역서!F66</f>
        <v>1380760</v>
      </c>
      <c r="J76" s="416">
        <f>신규_공종별내역서!G66</f>
        <v>369651</v>
      </c>
      <c r="K76" s="416">
        <f>신규_공종별내역서!H66</f>
        <v>369651</v>
      </c>
      <c r="L76" s="416">
        <f>신규_공종별내역서!I66</f>
        <v>0</v>
      </c>
      <c r="M76" s="416">
        <f>신규_공종별내역서!J66</f>
        <v>0</v>
      </c>
      <c r="N76" s="416">
        <f t="shared" si="4"/>
        <v>1750411</v>
      </c>
      <c r="O76" s="416">
        <f>신규_공종별내역서!K66</f>
        <v>1750411</v>
      </c>
      <c r="P76" s="684"/>
      <c r="Q76" s="684"/>
      <c r="R76" s="690"/>
    </row>
    <row r="77" spans="1:32" s="426" customFormat="1" ht="23.1" customHeight="1">
      <c r="A77" s="423"/>
      <c r="B77" s="423"/>
      <c r="C77" s="423"/>
      <c r="D77" s="693" t="str">
        <f>신규_공종별내역서!A67</f>
        <v>SMPS함-2 신설</v>
      </c>
      <c r="E77" s="693" t="str">
        <f>신규_공종별내역서!B67</f>
        <v>옥외 자립형</v>
      </c>
      <c r="F77" s="689" t="str">
        <f>신규_공종별내역서!C67</f>
        <v>면</v>
      </c>
      <c r="G77" s="425"/>
      <c r="H77" s="425"/>
      <c r="I77" s="425"/>
      <c r="J77" s="425"/>
      <c r="K77" s="425"/>
      <c r="L77" s="425"/>
      <c r="M77" s="425"/>
      <c r="N77" s="425">
        <f t="shared" si="4"/>
        <v>0</v>
      </c>
      <c r="O77" s="425"/>
      <c r="P77" s="683">
        <f>G78-G77</f>
        <v>1</v>
      </c>
      <c r="Q77" s="683">
        <f>O78-O77</f>
        <v>1774678</v>
      </c>
      <c r="R77" s="687" t="s">
        <v>703</v>
      </c>
    </row>
    <row r="78" spans="1:32" ht="23.1" customHeight="1">
      <c r="A78" s="412"/>
      <c r="B78" s="412"/>
      <c r="C78" s="412"/>
      <c r="D78" s="694"/>
      <c r="E78" s="694"/>
      <c r="F78" s="690"/>
      <c r="G78" s="416">
        <f>신규_공종별내역서!D67</f>
        <v>1</v>
      </c>
      <c r="H78" s="416">
        <f>신규_공종별내역서!E67</f>
        <v>1355677</v>
      </c>
      <c r="I78" s="416">
        <f>신규_공종별내역서!F67</f>
        <v>1355677</v>
      </c>
      <c r="J78" s="416">
        <f>신규_공종별내역서!G67</f>
        <v>419001</v>
      </c>
      <c r="K78" s="416">
        <f>신규_공종별내역서!H67</f>
        <v>419001</v>
      </c>
      <c r="L78" s="416">
        <f>신규_공종별내역서!I67</f>
        <v>0</v>
      </c>
      <c r="M78" s="416">
        <f>신규_공종별내역서!J67</f>
        <v>0</v>
      </c>
      <c r="N78" s="416">
        <f t="shared" si="4"/>
        <v>1774678</v>
      </c>
      <c r="O78" s="416">
        <f>신규_공종별내역서!K67</f>
        <v>1774678</v>
      </c>
      <c r="P78" s="684"/>
      <c r="Q78" s="684"/>
      <c r="R78" s="690"/>
    </row>
    <row r="79" spans="1:32" s="426" customFormat="1" ht="23.1" customHeight="1">
      <c r="A79" s="423"/>
      <c r="B79" s="423"/>
      <c r="C79" s="423"/>
      <c r="D79" s="693" t="str">
        <f>신규_공종별내역서!A68</f>
        <v>자립형 함체 기초</v>
      </c>
      <c r="E79" s="693" t="str">
        <f>신규_공종별내역서!B68</f>
        <v>1,000x1,000x500</v>
      </c>
      <c r="F79" s="689" t="str">
        <f>신규_공종별내역서!C68</f>
        <v>식</v>
      </c>
      <c r="G79" s="425"/>
      <c r="H79" s="425"/>
      <c r="I79" s="425"/>
      <c r="J79" s="425"/>
      <c r="K79" s="425"/>
      <c r="L79" s="425"/>
      <c r="M79" s="425"/>
      <c r="N79" s="425">
        <f t="shared" si="4"/>
        <v>0</v>
      </c>
      <c r="O79" s="425"/>
      <c r="P79" s="683">
        <f>G80-G79</f>
        <v>1</v>
      </c>
      <c r="Q79" s="683">
        <f>O80-O79</f>
        <v>179108</v>
      </c>
      <c r="R79" s="687" t="s">
        <v>704</v>
      </c>
      <c r="AF79" s="426">
        <v>23370780</v>
      </c>
    </row>
    <row r="80" spans="1:32" ht="23.1" customHeight="1">
      <c r="A80" s="412"/>
      <c r="B80" s="412"/>
      <c r="C80" s="412"/>
      <c r="D80" s="694"/>
      <c r="E80" s="694"/>
      <c r="F80" s="690"/>
      <c r="G80" s="416">
        <f>신규_공종별내역서!D68</f>
        <v>1</v>
      </c>
      <c r="H80" s="416">
        <f>신규_공종별내역서!E68</f>
        <v>72386</v>
      </c>
      <c r="I80" s="416">
        <f>신규_공종별내역서!F68</f>
        <v>72386</v>
      </c>
      <c r="J80" s="416">
        <f>신규_공종별내역서!G68</f>
        <v>105831</v>
      </c>
      <c r="K80" s="416">
        <f>신규_공종별내역서!H68</f>
        <v>105831</v>
      </c>
      <c r="L80" s="416">
        <f>신규_공종별내역서!I68</f>
        <v>891</v>
      </c>
      <c r="M80" s="416">
        <f>신규_공종별내역서!J68</f>
        <v>891</v>
      </c>
      <c r="N80" s="416">
        <f t="shared" si="4"/>
        <v>178217</v>
      </c>
      <c r="O80" s="416">
        <f>신규_공종별내역서!K68</f>
        <v>179108</v>
      </c>
      <c r="P80" s="684"/>
      <c r="Q80" s="684"/>
      <c r="R80" s="690"/>
      <c r="AF80" s="422">
        <f ca="1">TRUNC([2]!sumcol(0,#REF!))</f>
        <v>0</v>
      </c>
    </row>
    <row r="81" spans="1:32" s="426" customFormat="1" ht="23.1" customHeight="1">
      <c r="A81" s="423"/>
      <c r="B81" s="423"/>
      <c r="C81" s="423"/>
      <c r="D81" s="693" t="str">
        <f>신규_공종별내역서!A69</f>
        <v>SMPS함 기초</v>
      </c>
      <c r="E81" s="693" t="str">
        <f>신규_공종별내역서!B69</f>
        <v>SMPS함 기초</v>
      </c>
      <c r="F81" s="689" t="str">
        <f>신규_공종별내역서!C69</f>
        <v>식</v>
      </c>
      <c r="G81" s="425"/>
      <c r="H81" s="425"/>
      <c r="I81" s="425"/>
      <c r="J81" s="425"/>
      <c r="K81" s="425"/>
      <c r="L81" s="425"/>
      <c r="M81" s="425"/>
      <c r="N81" s="425">
        <f t="shared" si="4"/>
        <v>0</v>
      </c>
      <c r="O81" s="425"/>
      <c r="P81" s="683">
        <f>G82-G81</f>
        <v>2</v>
      </c>
      <c r="Q81" s="683">
        <f>O82-O81</f>
        <v>358216</v>
      </c>
      <c r="R81" s="687" t="s">
        <v>705</v>
      </c>
    </row>
    <row r="82" spans="1:32" ht="23.1" customHeight="1">
      <c r="A82" s="412"/>
      <c r="B82" s="412"/>
      <c r="C82" s="412"/>
      <c r="D82" s="694"/>
      <c r="E82" s="694"/>
      <c r="F82" s="690"/>
      <c r="G82" s="416">
        <f>신규_공종별내역서!D69</f>
        <v>2</v>
      </c>
      <c r="H82" s="416">
        <f>신규_공종별내역서!E69</f>
        <v>72386</v>
      </c>
      <c r="I82" s="416">
        <f>신규_공종별내역서!F69</f>
        <v>144772</v>
      </c>
      <c r="J82" s="416">
        <f>신규_공종별내역서!G69</f>
        <v>105831</v>
      </c>
      <c r="K82" s="416">
        <f>신규_공종별내역서!H69</f>
        <v>211662</v>
      </c>
      <c r="L82" s="416">
        <f>신규_공종별내역서!I69</f>
        <v>891</v>
      </c>
      <c r="M82" s="416">
        <f>신규_공종별내역서!J69</f>
        <v>1782</v>
      </c>
      <c r="N82" s="416">
        <f t="shared" si="4"/>
        <v>178217</v>
      </c>
      <c r="O82" s="416">
        <f>신규_공종별내역서!K69</f>
        <v>358216</v>
      </c>
      <c r="P82" s="684"/>
      <c r="Q82" s="684"/>
      <c r="R82" s="690"/>
    </row>
    <row r="83" spans="1:32" s="426" customFormat="1" ht="23.1" customHeight="1">
      <c r="A83" s="423"/>
      <c r="B83" s="423"/>
      <c r="C83" s="423"/>
      <c r="D83" s="693" t="str">
        <f>신규_공종별내역서!A70</f>
        <v>가로등 기초 기성품설치</v>
      </c>
      <c r="E83" s="693" t="str">
        <f>신규_공종별내역서!B70</f>
        <v/>
      </c>
      <c r="F83" s="689" t="str">
        <f>신규_공종별내역서!C70</f>
        <v>개소</v>
      </c>
      <c r="G83" s="425"/>
      <c r="H83" s="425"/>
      <c r="I83" s="425"/>
      <c r="J83" s="425"/>
      <c r="K83" s="425"/>
      <c r="L83" s="425"/>
      <c r="M83" s="425"/>
      <c r="N83" s="425">
        <f t="shared" si="4"/>
        <v>0</v>
      </c>
      <c r="O83" s="425"/>
      <c r="P83" s="683">
        <f>G84-G83</f>
        <v>15</v>
      </c>
      <c r="Q83" s="683">
        <f>O84-O83</f>
        <v>2165100</v>
      </c>
      <c r="R83" s="687" t="s">
        <v>706</v>
      </c>
    </row>
    <row r="84" spans="1:32" ht="23.1" customHeight="1">
      <c r="A84" s="412"/>
      <c r="B84" s="412"/>
      <c r="C84" s="412"/>
      <c r="D84" s="694"/>
      <c r="E84" s="694"/>
      <c r="F84" s="690"/>
      <c r="G84" s="416">
        <f>신규_공종별내역서!D70</f>
        <v>15</v>
      </c>
      <c r="H84" s="416">
        <f>신규_공종별내역서!E70</f>
        <v>76728</v>
      </c>
      <c r="I84" s="416">
        <f>신규_공종별내역서!F70</f>
        <v>1150920</v>
      </c>
      <c r="J84" s="416">
        <f>신규_공종별내역서!G70</f>
        <v>63909</v>
      </c>
      <c r="K84" s="416">
        <f>신규_공종별내역서!H70</f>
        <v>958635</v>
      </c>
      <c r="L84" s="416">
        <f>신규_공종별내역서!I70</f>
        <v>3703</v>
      </c>
      <c r="M84" s="416">
        <f>신규_공종별내역서!J70</f>
        <v>55545</v>
      </c>
      <c r="N84" s="416">
        <f t="shared" si="4"/>
        <v>140637</v>
      </c>
      <c r="O84" s="416">
        <f>신규_공종별내역서!K70</f>
        <v>2165100</v>
      </c>
      <c r="P84" s="684"/>
      <c r="Q84" s="684"/>
      <c r="R84" s="690"/>
    </row>
    <row r="85" spans="1:32" s="426" customFormat="1" ht="23.1" customHeight="1">
      <c r="A85" s="423"/>
      <c r="B85" s="423"/>
      <c r="C85" s="423"/>
      <c r="D85" s="693" t="str">
        <f>신규_공종별내역서!A71</f>
        <v>보안등기구</v>
      </c>
      <c r="E85" s="693" t="str">
        <f>신규_공종별내역서!B71</f>
        <v>LED  보안등기구 50W</v>
      </c>
      <c r="F85" s="689" t="str">
        <f>신규_공종별내역서!C71</f>
        <v>등</v>
      </c>
      <c r="G85" s="425"/>
      <c r="H85" s="425"/>
      <c r="I85" s="425"/>
      <c r="J85" s="425"/>
      <c r="K85" s="425"/>
      <c r="L85" s="425"/>
      <c r="M85" s="425"/>
      <c r="N85" s="425">
        <f t="shared" si="4"/>
        <v>0</v>
      </c>
      <c r="O85" s="425"/>
      <c r="P85" s="683">
        <f>G86-G85</f>
        <v>15</v>
      </c>
      <c r="Q85" s="683">
        <f>O86-O85</f>
        <v>664410</v>
      </c>
      <c r="R85" s="687" t="s">
        <v>707</v>
      </c>
      <c r="AF85" s="426">
        <v>23370780</v>
      </c>
    </row>
    <row r="86" spans="1:32" ht="23.1" customHeight="1">
      <c r="A86" s="412"/>
      <c r="B86" s="412"/>
      <c r="C86" s="412"/>
      <c r="D86" s="694"/>
      <c r="E86" s="694"/>
      <c r="F86" s="690"/>
      <c r="G86" s="416">
        <f>신규_공종별내역서!D71</f>
        <v>15</v>
      </c>
      <c r="H86" s="416">
        <f>신규_공종별내역서!E71</f>
        <v>1290</v>
      </c>
      <c r="I86" s="416">
        <f>신규_공종별내역서!F71</f>
        <v>19350</v>
      </c>
      <c r="J86" s="416">
        <f>신규_공종별내역서!G71</f>
        <v>43004</v>
      </c>
      <c r="K86" s="416">
        <f>신규_공종별내역서!H71</f>
        <v>645060</v>
      </c>
      <c r="L86" s="416">
        <f>신규_공종별내역서!I71</f>
        <v>0</v>
      </c>
      <c r="M86" s="416">
        <f>신규_공종별내역서!J71</f>
        <v>0</v>
      </c>
      <c r="N86" s="416">
        <f t="shared" si="4"/>
        <v>44294</v>
      </c>
      <c r="O86" s="416">
        <f>신규_공종별내역서!K71</f>
        <v>664410</v>
      </c>
      <c r="P86" s="684"/>
      <c r="Q86" s="684"/>
      <c r="R86" s="690"/>
      <c r="AF86" s="422">
        <f ca="1">TRUNC([2]!sumcol(0,#REF!))</f>
        <v>0</v>
      </c>
    </row>
    <row r="87" spans="1:32" s="426" customFormat="1" ht="23.1" customHeight="1">
      <c r="A87" s="423"/>
      <c r="B87" s="423"/>
      <c r="C87" s="423"/>
      <c r="D87" s="693" t="str">
        <f>신규_공종별내역서!A72</f>
        <v>POLE LIGHT 기계설치(등기구설치 제외)</v>
      </c>
      <c r="E87" s="693" t="str">
        <f>신규_공종별내역서!B72</f>
        <v>5m~7m</v>
      </c>
      <c r="F87" s="689" t="str">
        <f>신규_공종별내역서!C72</f>
        <v>본</v>
      </c>
      <c r="G87" s="425"/>
      <c r="H87" s="425"/>
      <c r="I87" s="425"/>
      <c r="J87" s="425"/>
      <c r="K87" s="425"/>
      <c r="L87" s="425"/>
      <c r="M87" s="425"/>
      <c r="N87" s="425">
        <f t="shared" si="4"/>
        <v>0</v>
      </c>
      <c r="O87" s="425"/>
      <c r="P87" s="683">
        <f>G88-G87</f>
        <v>15</v>
      </c>
      <c r="Q87" s="683">
        <f>O88-O87</f>
        <v>1610985</v>
      </c>
      <c r="R87" s="687" t="s">
        <v>708</v>
      </c>
    </row>
    <row r="88" spans="1:32" ht="23.1" customHeight="1">
      <c r="A88" s="412"/>
      <c r="B88" s="412"/>
      <c r="C88" s="412"/>
      <c r="D88" s="694"/>
      <c r="E88" s="694"/>
      <c r="F88" s="690"/>
      <c r="G88" s="416">
        <f>신규_공종별내역서!D72</f>
        <v>15</v>
      </c>
      <c r="H88" s="416">
        <f>신규_공종별내역서!E72</f>
        <v>5913</v>
      </c>
      <c r="I88" s="416">
        <f>신규_공종별내역서!F72</f>
        <v>88695</v>
      </c>
      <c r="J88" s="416">
        <f>신규_공종별내역서!G72</f>
        <v>96750</v>
      </c>
      <c r="K88" s="416">
        <f>신규_공종별내역서!H72</f>
        <v>1451250</v>
      </c>
      <c r="L88" s="416">
        <f>신규_공종별내역서!I72</f>
        <v>4736</v>
      </c>
      <c r="M88" s="416">
        <f>신규_공종별내역서!J72</f>
        <v>71040</v>
      </c>
      <c r="N88" s="416">
        <f t="shared" si="4"/>
        <v>102663</v>
      </c>
      <c r="O88" s="416">
        <f>신규_공종별내역서!K72</f>
        <v>1610985</v>
      </c>
      <c r="P88" s="684"/>
      <c r="Q88" s="684"/>
      <c r="R88" s="690"/>
    </row>
    <row r="89" spans="1:32" s="426" customFormat="1" ht="23.1" customHeight="1">
      <c r="A89" s="423"/>
      <c r="B89" s="423"/>
      <c r="C89" s="423"/>
      <c r="D89" s="693" t="str">
        <f>신규_공종별내역서!A73</f>
        <v>볼라드등 설치</v>
      </c>
      <c r="E89" s="693" t="str">
        <f>신규_공종별내역서!B73</f>
        <v>볼라드등 설치</v>
      </c>
      <c r="F89" s="689" t="str">
        <f>신규_공종별내역서!C73</f>
        <v>EA</v>
      </c>
      <c r="G89" s="425"/>
      <c r="H89" s="425"/>
      <c r="I89" s="425"/>
      <c r="J89" s="425"/>
      <c r="K89" s="425"/>
      <c r="L89" s="425"/>
      <c r="M89" s="425"/>
      <c r="N89" s="425">
        <f t="shared" si="4"/>
        <v>0</v>
      </c>
      <c r="O89" s="425"/>
      <c r="P89" s="683">
        <f>G90-G89</f>
        <v>27</v>
      </c>
      <c r="Q89" s="683">
        <f>O90-O89</f>
        <v>2899773</v>
      </c>
      <c r="R89" s="687" t="s">
        <v>709</v>
      </c>
    </row>
    <row r="90" spans="1:32" ht="23.1" customHeight="1">
      <c r="A90" s="412"/>
      <c r="B90" s="412"/>
      <c r="C90" s="412"/>
      <c r="D90" s="694"/>
      <c r="E90" s="694"/>
      <c r="F90" s="690"/>
      <c r="G90" s="416">
        <f>신규_공종별내역서!D73</f>
        <v>27</v>
      </c>
      <c r="H90" s="416">
        <f>신규_공종별내역서!E73</f>
        <v>5913</v>
      </c>
      <c r="I90" s="416">
        <f>신규_공종별내역서!F73</f>
        <v>159651</v>
      </c>
      <c r="J90" s="416">
        <f>신규_공종별내역서!G73</f>
        <v>96750</v>
      </c>
      <c r="K90" s="416">
        <f>신규_공종별내역서!H73</f>
        <v>2612250</v>
      </c>
      <c r="L90" s="416">
        <f>신규_공종별내역서!I73</f>
        <v>4736</v>
      </c>
      <c r="M90" s="416">
        <f>신규_공종별내역서!J73</f>
        <v>127872</v>
      </c>
      <c r="N90" s="416">
        <f t="shared" si="4"/>
        <v>102663</v>
      </c>
      <c r="O90" s="416">
        <f>신규_공종별내역서!K73</f>
        <v>2899773</v>
      </c>
      <c r="P90" s="684"/>
      <c r="Q90" s="684"/>
      <c r="R90" s="690"/>
    </row>
    <row r="91" spans="1:32" s="426" customFormat="1" ht="23.1" customHeight="1">
      <c r="A91" s="423"/>
      <c r="B91" s="423"/>
      <c r="C91" s="423"/>
      <c r="D91" s="693" t="str">
        <f>신규_공종별내역서!A74</f>
        <v>지중등 설치</v>
      </c>
      <c r="E91" s="693" t="str">
        <f>신규_공종별내역서!B74</f>
        <v>지중등 설치</v>
      </c>
      <c r="F91" s="689" t="str">
        <f>신규_공종별내역서!C74</f>
        <v>EA</v>
      </c>
      <c r="G91" s="425"/>
      <c r="H91" s="425"/>
      <c r="I91" s="425"/>
      <c r="J91" s="425"/>
      <c r="K91" s="425"/>
      <c r="L91" s="425"/>
      <c r="M91" s="425"/>
      <c r="N91" s="425">
        <f t="shared" si="4"/>
        <v>0</v>
      </c>
      <c r="O91" s="425"/>
      <c r="P91" s="683">
        <f>G92-G91</f>
        <v>62</v>
      </c>
      <c r="Q91" s="683">
        <f>O92-O91</f>
        <v>3631650</v>
      </c>
      <c r="R91" s="687" t="s">
        <v>710</v>
      </c>
      <c r="AF91" s="426">
        <v>23370780</v>
      </c>
    </row>
    <row r="92" spans="1:32" ht="23.1" customHeight="1">
      <c r="A92" s="412"/>
      <c r="B92" s="412"/>
      <c r="C92" s="412"/>
      <c r="D92" s="694"/>
      <c r="E92" s="694"/>
      <c r="F92" s="690"/>
      <c r="G92" s="416">
        <f>신규_공종별내역서!D74</f>
        <v>62</v>
      </c>
      <c r="H92" s="416">
        <f>신규_공종별내역서!E74</f>
        <v>1706</v>
      </c>
      <c r="I92" s="416">
        <f>신규_공종별내역서!F74</f>
        <v>105772</v>
      </c>
      <c r="J92" s="416">
        <f>신규_공종별내역서!G74</f>
        <v>56869</v>
      </c>
      <c r="K92" s="416">
        <f>신규_공종별내역서!H74</f>
        <v>3525878</v>
      </c>
      <c r="L92" s="416">
        <f>신규_공종별내역서!I74</f>
        <v>0</v>
      </c>
      <c r="M92" s="416">
        <f>신규_공종별내역서!J74</f>
        <v>0</v>
      </c>
      <c r="N92" s="416">
        <f t="shared" si="4"/>
        <v>58575</v>
      </c>
      <c r="O92" s="416">
        <f>신규_공종별내역서!K74</f>
        <v>3631650</v>
      </c>
      <c r="P92" s="684"/>
      <c r="Q92" s="684"/>
      <c r="R92" s="690"/>
      <c r="AF92" s="422">
        <f ca="1">TRUNC([2]!sumcol(0,#REF!))</f>
        <v>0</v>
      </c>
    </row>
    <row r="93" spans="1:32" s="426" customFormat="1" ht="23.1" customHeight="1">
      <c r="A93" s="423"/>
      <c r="B93" s="423"/>
      <c r="C93" s="423"/>
      <c r="D93" s="693" t="str">
        <f>신규_공종별내역서!A75</f>
        <v>볼라드등 기초 설치</v>
      </c>
      <c r="E93" s="693" t="str">
        <f>신규_공종별내역서!B75</f>
        <v>볼라드등 기초</v>
      </c>
      <c r="F93" s="689" t="str">
        <f>신규_공종별내역서!C75</f>
        <v>개소</v>
      </c>
      <c r="G93" s="425"/>
      <c r="H93" s="425"/>
      <c r="I93" s="425"/>
      <c r="J93" s="425"/>
      <c r="K93" s="425"/>
      <c r="L93" s="425"/>
      <c r="M93" s="425"/>
      <c r="N93" s="425">
        <f t="shared" si="4"/>
        <v>0</v>
      </c>
      <c r="O93" s="425"/>
      <c r="P93" s="683">
        <f>G94-G93</f>
        <v>27</v>
      </c>
      <c r="Q93" s="683">
        <f>O94-O93</f>
        <v>3127383</v>
      </c>
      <c r="R93" s="687" t="s">
        <v>711</v>
      </c>
    </row>
    <row r="94" spans="1:32" ht="23.1" customHeight="1">
      <c r="A94" s="412"/>
      <c r="B94" s="412"/>
      <c r="C94" s="412"/>
      <c r="D94" s="694"/>
      <c r="E94" s="694"/>
      <c r="F94" s="690"/>
      <c r="G94" s="416">
        <f>신규_공종별내역서!D75</f>
        <v>27</v>
      </c>
      <c r="H94" s="416">
        <f>신규_공종별내역서!E75</f>
        <v>48217</v>
      </c>
      <c r="I94" s="416">
        <f>신규_공종별내역서!F75</f>
        <v>1301859</v>
      </c>
      <c r="J94" s="416">
        <f>신규_공종별내역서!G75</f>
        <v>63909</v>
      </c>
      <c r="K94" s="416">
        <f>신규_공종별내역서!H75</f>
        <v>1725543</v>
      </c>
      <c r="L94" s="416">
        <f>신규_공종별내역서!I75</f>
        <v>3703</v>
      </c>
      <c r="M94" s="416">
        <f>신규_공종별내역서!J75</f>
        <v>99981</v>
      </c>
      <c r="N94" s="416">
        <f t="shared" si="4"/>
        <v>112126</v>
      </c>
      <c r="O94" s="416">
        <f>신규_공종별내역서!K75</f>
        <v>3127383</v>
      </c>
      <c r="P94" s="684"/>
      <c r="Q94" s="684"/>
      <c r="R94" s="690"/>
    </row>
    <row r="95" spans="1:32" s="426" customFormat="1" ht="23.1" customHeight="1">
      <c r="A95" s="423"/>
      <c r="B95" s="423"/>
      <c r="C95" s="423"/>
      <c r="D95" s="693" t="str">
        <f>신규_공종별내역서!A76</f>
        <v>접지봉</v>
      </c>
      <c r="E95" s="693" t="str">
        <f>신규_공종별내역서!B76</f>
        <v>18Φ*2400 mm</v>
      </c>
      <c r="F95" s="689" t="str">
        <f>신규_공종별내역서!C76</f>
        <v>개</v>
      </c>
      <c r="G95" s="425"/>
      <c r="H95" s="425"/>
      <c r="I95" s="425"/>
      <c r="J95" s="425"/>
      <c r="K95" s="425"/>
      <c r="L95" s="425"/>
      <c r="M95" s="425"/>
      <c r="N95" s="425">
        <f t="shared" si="4"/>
        <v>0</v>
      </c>
      <c r="O95" s="425"/>
      <c r="P95" s="683">
        <f>G96-G95</f>
        <v>15</v>
      </c>
      <c r="Q95" s="683">
        <f>O96-O95</f>
        <v>790395</v>
      </c>
      <c r="R95" s="687" t="s">
        <v>712</v>
      </c>
    </row>
    <row r="96" spans="1:32" ht="23.1" customHeight="1">
      <c r="A96" s="412"/>
      <c r="B96" s="412"/>
      <c r="C96" s="412"/>
      <c r="D96" s="694"/>
      <c r="E96" s="694"/>
      <c r="F96" s="690"/>
      <c r="G96" s="416">
        <f>신규_공종별내역서!D76</f>
        <v>15</v>
      </c>
      <c r="H96" s="416">
        <f>신규_공종별내역서!E76</f>
        <v>15718</v>
      </c>
      <c r="I96" s="416">
        <f>신규_공종별내역서!F76</f>
        <v>235770</v>
      </c>
      <c r="J96" s="416">
        <f>신규_공종별내역서!G76</f>
        <v>36975</v>
      </c>
      <c r="K96" s="416">
        <f>신규_공종별내역서!H76</f>
        <v>554625</v>
      </c>
      <c r="L96" s="416">
        <f>신규_공종별내역서!I76</f>
        <v>0</v>
      </c>
      <c r="M96" s="416">
        <f>신규_공종별내역서!J76</f>
        <v>0</v>
      </c>
      <c r="N96" s="416">
        <f t="shared" si="4"/>
        <v>52693</v>
      </c>
      <c r="O96" s="416">
        <f>신규_공종별내역서!K76</f>
        <v>790395</v>
      </c>
      <c r="P96" s="684"/>
      <c r="Q96" s="684"/>
      <c r="R96" s="690"/>
    </row>
    <row r="97" spans="1:32" s="426" customFormat="1" ht="23.1" customHeight="1">
      <c r="A97" s="423"/>
      <c r="B97" s="423"/>
      <c r="C97" s="423"/>
      <c r="D97" s="693" t="str">
        <f>신규_공종별내역서!A77</f>
        <v>터파기(기계 9:1)</v>
      </c>
      <c r="E97" s="693" t="str">
        <f>신규_공종별내역서!B77</f>
        <v>보통토사. 백호 90%+인력 10%</v>
      </c>
      <c r="F97" s="689" t="str">
        <f>신규_공종별내역서!C77</f>
        <v>㎥</v>
      </c>
      <c r="G97" s="425"/>
      <c r="H97" s="425"/>
      <c r="I97" s="425"/>
      <c r="J97" s="425"/>
      <c r="K97" s="425"/>
      <c r="L97" s="425"/>
      <c r="M97" s="425"/>
      <c r="N97" s="425">
        <f t="shared" si="4"/>
        <v>0</v>
      </c>
      <c r="O97" s="425"/>
      <c r="P97" s="683">
        <f>G98-G97</f>
        <v>404.55</v>
      </c>
      <c r="Q97" s="683">
        <f>O98-O97</f>
        <v>3355336</v>
      </c>
      <c r="R97" s="687" t="s">
        <v>713</v>
      </c>
      <c r="AF97" s="426">
        <v>23370780</v>
      </c>
    </row>
    <row r="98" spans="1:32" ht="23.1" customHeight="1">
      <c r="A98" s="412"/>
      <c r="B98" s="412"/>
      <c r="C98" s="412"/>
      <c r="D98" s="694"/>
      <c r="E98" s="694"/>
      <c r="F98" s="690"/>
      <c r="G98" s="416">
        <f>신규_공종별내역서!D77</f>
        <v>404.55</v>
      </c>
      <c r="H98" s="416">
        <f>신규_공종별내역서!E77</f>
        <v>600</v>
      </c>
      <c r="I98" s="416">
        <f>신규_공종별내역서!F77</f>
        <v>242730</v>
      </c>
      <c r="J98" s="416">
        <f>신규_공종별내역서!G77</f>
        <v>6909</v>
      </c>
      <c r="K98" s="416">
        <f>신규_공종별내역서!H77</f>
        <v>2795035</v>
      </c>
      <c r="L98" s="416">
        <f>신규_공종별내역서!I77</f>
        <v>785</v>
      </c>
      <c r="M98" s="416">
        <f>신규_공종별내역서!J77</f>
        <v>317571</v>
      </c>
      <c r="N98" s="416">
        <f t="shared" si="4"/>
        <v>7509</v>
      </c>
      <c r="O98" s="416">
        <f>신규_공종별내역서!K77</f>
        <v>3355336</v>
      </c>
      <c r="P98" s="684"/>
      <c r="Q98" s="684"/>
      <c r="R98" s="690"/>
      <c r="AF98" s="422">
        <f ca="1">TRUNC([2]!sumcol(0,#REF!))</f>
        <v>0</v>
      </c>
    </row>
    <row r="99" spans="1:32" s="426" customFormat="1" ht="23.1" customHeight="1">
      <c r="A99" s="423"/>
      <c r="B99" s="423"/>
      <c r="C99" s="423"/>
      <c r="D99" s="693" t="str">
        <f>신규_공종별내역서!A78</f>
        <v>되메우고 다지기(백호+래머)</v>
      </c>
      <c r="E99" s="693" t="str">
        <f>신규_공종별내역서!B78</f>
        <v>토사, T=15cm</v>
      </c>
      <c r="F99" s="689" t="str">
        <f>신규_공종별내역서!C78</f>
        <v>M3</v>
      </c>
      <c r="G99" s="425"/>
      <c r="H99" s="425"/>
      <c r="I99" s="425"/>
      <c r="J99" s="425"/>
      <c r="K99" s="425"/>
      <c r="L99" s="425"/>
      <c r="M99" s="425"/>
      <c r="N99" s="425">
        <f t="shared" si="4"/>
        <v>0</v>
      </c>
      <c r="O99" s="425"/>
      <c r="P99" s="683">
        <f>G100-G99</f>
        <v>404.55</v>
      </c>
      <c r="Q99" s="683">
        <f>O100-O99</f>
        <v>3054351</v>
      </c>
      <c r="R99" s="687" t="s">
        <v>714</v>
      </c>
    </row>
    <row r="100" spans="1:32" ht="23.1" customHeight="1">
      <c r="A100" s="412"/>
      <c r="B100" s="412"/>
      <c r="C100" s="412"/>
      <c r="D100" s="694"/>
      <c r="E100" s="694"/>
      <c r="F100" s="690"/>
      <c r="G100" s="416">
        <f>신규_공종별내역서!D78</f>
        <v>404.55</v>
      </c>
      <c r="H100" s="416">
        <f>신규_공종별내역서!E78</f>
        <v>6606</v>
      </c>
      <c r="I100" s="416">
        <f>신규_공종별내역서!F78</f>
        <v>2672457</v>
      </c>
      <c r="J100" s="416">
        <f>신규_공종별내역서!G78</f>
        <v>525</v>
      </c>
      <c r="K100" s="416">
        <f>신규_공종별내역서!H78</f>
        <v>212388</v>
      </c>
      <c r="L100" s="416">
        <f>신규_공종별내역서!I78</f>
        <v>419</v>
      </c>
      <c r="M100" s="416">
        <f>신규_공종별내역서!J78</f>
        <v>169506</v>
      </c>
      <c r="N100" s="416">
        <f t="shared" si="4"/>
        <v>7131</v>
      </c>
      <c r="O100" s="416">
        <f>신규_공종별내역서!K78</f>
        <v>3054351</v>
      </c>
      <c r="P100" s="684"/>
      <c r="Q100" s="684"/>
      <c r="R100" s="690"/>
    </row>
    <row r="101" spans="1:32" s="426" customFormat="1" ht="23.1" customHeight="1">
      <c r="D101" s="429"/>
      <c r="E101" s="429"/>
      <c r="F101" s="429"/>
      <c r="G101" s="425"/>
      <c r="H101" s="425"/>
      <c r="I101" s="425"/>
      <c r="J101" s="425"/>
      <c r="K101" s="425"/>
      <c r="L101" s="425"/>
      <c r="M101" s="425"/>
      <c r="N101" s="425"/>
      <c r="O101" s="425"/>
      <c r="P101" s="425"/>
      <c r="Q101" s="425"/>
      <c r="R101" s="429"/>
    </row>
    <row r="102" spans="1:32" ht="23.1" customHeight="1">
      <c r="D102" s="428"/>
      <c r="E102" s="428"/>
      <c r="F102" s="428"/>
      <c r="G102" s="416"/>
      <c r="H102" s="416"/>
      <c r="I102" s="416"/>
      <c r="J102" s="416"/>
      <c r="K102" s="416"/>
      <c r="L102" s="416"/>
      <c r="M102" s="416"/>
      <c r="N102" s="416"/>
      <c r="O102" s="416"/>
      <c r="P102" s="416"/>
      <c r="Q102" s="416"/>
      <c r="R102" s="428"/>
    </row>
    <row r="103" spans="1:32" s="426" customFormat="1" ht="23.1" hidden="1" customHeight="1">
      <c r="D103" s="429"/>
      <c r="E103" s="429"/>
      <c r="F103" s="429"/>
      <c r="G103" s="425"/>
      <c r="H103" s="425"/>
      <c r="I103" s="425"/>
      <c r="J103" s="425"/>
      <c r="K103" s="425"/>
      <c r="L103" s="425"/>
      <c r="M103" s="425"/>
      <c r="N103" s="425"/>
      <c r="O103" s="425"/>
      <c r="P103" s="425"/>
      <c r="Q103" s="425"/>
      <c r="R103" s="429"/>
      <c r="AF103" s="426">
        <v>23370780</v>
      </c>
    </row>
    <row r="104" spans="1:32" ht="23.1" hidden="1" customHeight="1">
      <c r="D104" s="428"/>
      <c r="E104" s="428"/>
      <c r="F104" s="428"/>
      <c r="G104" s="416"/>
      <c r="H104" s="416"/>
      <c r="I104" s="416"/>
      <c r="J104" s="416"/>
      <c r="K104" s="416"/>
      <c r="L104" s="416"/>
      <c r="M104" s="416"/>
      <c r="N104" s="416"/>
      <c r="O104" s="416"/>
      <c r="P104" s="416"/>
      <c r="Q104" s="416"/>
      <c r="R104" s="428"/>
      <c r="AF104" s="422">
        <f ca="1">TRUNC([2]!sumcol(0,#REF!))</f>
        <v>0</v>
      </c>
    </row>
    <row r="105" spans="1:32" s="426" customFormat="1" ht="23.1" hidden="1" customHeight="1">
      <c r="D105" s="429"/>
      <c r="E105" s="429"/>
      <c r="F105" s="429"/>
      <c r="G105" s="425"/>
      <c r="H105" s="425"/>
      <c r="I105" s="425"/>
      <c r="J105" s="425"/>
      <c r="K105" s="425"/>
      <c r="L105" s="425"/>
      <c r="M105" s="425"/>
      <c r="N105" s="425"/>
      <c r="O105" s="425"/>
      <c r="P105" s="425"/>
      <c r="Q105" s="425"/>
      <c r="R105" s="429"/>
    </row>
    <row r="106" spans="1:32" ht="23.1" hidden="1" customHeight="1">
      <c r="D106" s="428"/>
      <c r="E106" s="428"/>
      <c r="F106" s="428"/>
      <c r="G106" s="416"/>
      <c r="H106" s="416"/>
      <c r="I106" s="416"/>
      <c r="J106" s="416"/>
      <c r="K106" s="416"/>
      <c r="L106" s="416"/>
      <c r="M106" s="416"/>
      <c r="N106" s="416"/>
      <c r="O106" s="416"/>
      <c r="P106" s="416"/>
      <c r="Q106" s="416"/>
      <c r="R106" s="428"/>
    </row>
    <row r="107" spans="1:32" s="426" customFormat="1" ht="23.1" hidden="1" customHeight="1">
      <c r="D107" s="429"/>
      <c r="E107" s="429"/>
      <c r="F107" s="429"/>
      <c r="G107" s="425"/>
      <c r="H107" s="425"/>
      <c r="I107" s="425"/>
      <c r="J107" s="425"/>
      <c r="K107" s="425"/>
      <c r="L107" s="425"/>
      <c r="M107" s="425"/>
      <c r="N107" s="425"/>
      <c r="O107" s="425"/>
      <c r="P107" s="425"/>
      <c r="Q107" s="425"/>
      <c r="R107" s="429"/>
    </row>
    <row r="108" spans="1:32" ht="23.1" hidden="1" customHeight="1">
      <c r="D108" s="428"/>
      <c r="E108" s="428"/>
      <c r="F108" s="428"/>
      <c r="G108" s="416"/>
      <c r="H108" s="416"/>
      <c r="I108" s="416"/>
      <c r="J108" s="416"/>
      <c r="K108" s="416"/>
      <c r="L108" s="416"/>
      <c r="M108" s="416"/>
      <c r="N108" s="416"/>
      <c r="O108" s="416"/>
      <c r="P108" s="416"/>
      <c r="Q108" s="416"/>
      <c r="R108" s="428"/>
    </row>
    <row r="109" spans="1:32" s="426" customFormat="1" ht="23.1" customHeight="1">
      <c r="D109" s="429"/>
      <c r="E109" s="429"/>
      <c r="F109" s="429"/>
      <c r="G109" s="425"/>
      <c r="H109" s="425"/>
      <c r="I109" s="425"/>
      <c r="J109" s="425"/>
      <c r="K109" s="425"/>
      <c r="L109" s="425"/>
      <c r="M109" s="425"/>
      <c r="N109" s="425"/>
      <c r="O109" s="425"/>
      <c r="P109" s="425"/>
      <c r="Q109" s="425"/>
      <c r="R109" s="429"/>
      <c r="AF109" s="426">
        <v>23370780</v>
      </c>
    </row>
    <row r="110" spans="1:32" ht="23.1" customHeight="1">
      <c r="D110" s="428"/>
      <c r="E110" s="428"/>
      <c r="F110" s="428"/>
      <c r="G110" s="416"/>
      <c r="H110" s="416"/>
      <c r="I110" s="416"/>
      <c r="J110" s="416"/>
      <c r="K110" s="416"/>
      <c r="L110" s="416"/>
      <c r="M110" s="416"/>
      <c r="N110" s="416"/>
      <c r="O110" s="416"/>
      <c r="P110" s="416"/>
      <c r="Q110" s="416"/>
      <c r="R110" s="428"/>
      <c r="AF110" s="422">
        <f ca="1">TRUNC([2]!sumcol(0,AF4:AF48))</f>
        <v>0</v>
      </c>
    </row>
    <row r="111" spans="1:32" s="426" customFormat="1" ht="23.1" customHeight="1">
      <c r="D111" s="429"/>
      <c r="E111" s="429"/>
      <c r="F111" s="429"/>
      <c r="G111" s="425"/>
      <c r="H111" s="425"/>
      <c r="I111" s="425"/>
      <c r="J111" s="425"/>
      <c r="K111" s="425"/>
      <c r="L111" s="425"/>
      <c r="M111" s="425"/>
      <c r="N111" s="425"/>
      <c r="O111" s="425"/>
      <c r="P111" s="425"/>
      <c r="Q111" s="425"/>
      <c r="R111" s="429"/>
    </row>
    <row r="112" spans="1:32" ht="23.1" customHeight="1">
      <c r="D112" s="428"/>
      <c r="E112" s="428"/>
      <c r="F112" s="428"/>
      <c r="G112" s="416"/>
      <c r="H112" s="416"/>
      <c r="I112" s="416"/>
      <c r="J112" s="416"/>
      <c r="K112" s="416"/>
      <c r="L112" s="416"/>
      <c r="M112" s="416"/>
      <c r="N112" s="416"/>
      <c r="O112" s="416"/>
      <c r="P112" s="416"/>
      <c r="Q112" s="416"/>
      <c r="R112" s="428"/>
    </row>
    <row r="113" spans="1:32" s="426" customFormat="1" ht="23.1" customHeight="1">
      <c r="A113" s="423"/>
      <c r="B113" s="423" t="s">
        <v>715</v>
      </c>
      <c r="C113" s="423"/>
      <c r="D113" s="429" t="s">
        <v>216</v>
      </c>
      <c r="E113" s="429"/>
      <c r="F113" s="429"/>
      <c r="G113" s="425"/>
      <c r="H113" s="425"/>
      <c r="I113" s="430">
        <f>I5+I7+I9+I11+I13+I15+I17+I19+I21+I23+I25+I27+I29+I31+I33+I35+I37+I39+I41+I43+I45+I47+I49+I51+I53+I55+I57+I59+I61+I63+I65+I67+I69+I71+I73+I75+I77+I79+I81+I83+I85+I87+I89+I91+I93+I95+I97+I99+I101+I103+I105+I107+I109+I111</f>
        <v>13168183</v>
      </c>
      <c r="J113" s="430"/>
      <c r="K113" s="430">
        <f>K5+K7+K9+K11+K13+K15+K17+K19+K21+K23+K25+K27+K29+K31+K33+K35+K37+K39+K41+K43+K45+K47+K49+K51+K53+K55+K57+K59+K61+K63+K65+K67+K69+K71+K73+K75+K77+K79+K81+K83+K85+K87+K89+K91+K93+K95+K97+K99+K101+K103+K105+K107+K109+K111</f>
        <v>23888985</v>
      </c>
      <c r="L113" s="430"/>
      <c r="M113" s="430">
        <f>M5+M7+M9+M11+M13+M15+M17+M19+M21+M23+M25+M27+M29+M31+M33+M35+M37+M39+M41+M43+M45+M47+M49+M51+M53+M55+M57+M59+M61+M63+M65+M67+M69+M71+M73+M75+M77+M79+M81+M83+M85+M87+M89+M91+M93+M95+M97+M99+M101+M103+M105+M107+M109+M111</f>
        <v>1270808</v>
      </c>
      <c r="N113" s="430"/>
      <c r="O113" s="430">
        <f>O5+O7+O9+O11+O13+O15+O17+O19+O21+O23+O25+O27+O29+O31+O33+O35+O37+O39+O41+O43+O45+O47+O49+O51+O53+O55+O57+O59+O61+O63+O65+O67+O69+O71+O73+O75+O77+O79+O81+O83+O85+O87+O89+O91+O93+O95+O97+O99+O101+O103+O105+O107+O109+O111</f>
        <v>38327976</v>
      </c>
      <c r="P113" s="683"/>
      <c r="Q113" s="683">
        <f>O114-O113</f>
        <v>20416145</v>
      </c>
      <c r="R113" s="429"/>
    </row>
    <row r="114" spans="1:32" ht="23.1" customHeight="1">
      <c r="A114" s="412"/>
      <c r="B114" s="412" t="s">
        <v>715</v>
      </c>
      <c r="C114" s="412"/>
      <c r="D114" s="428" t="s">
        <v>216</v>
      </c>
      <c r="E114" s="428"/>
      <c r="F114" s="428"/>
      <c r="G114" s="416"/>
      <c r="H114" s="416"/>
      <c r="I114" s="431">
        <f>I6+I8+I10+I12+I14+I16+I18+I20+I22+I24+I26+I28+I30+I32+I34+I36+I38+I40+I42+I44+I46+I48+I50+I52+I54+I56+I58+I60+I62+I64+I66+I68+I70+I72+I74+I76+I78+I80+I82+I84+I86+I88+I90+I92+I94+I96+I98+I100+I102+I104+I106+I108+I110+I112</f>
        <v>16886561</v>
      </c>
      <c r="J114" s="431"/>
      <c r="K114" s="431">
        <f>K6+K8+K10+K12+K14+K16+K18+K20+K22+K24+K26+K28+K30+K32+K34+K36+K38+K40+K42+K44+K46+K48+K50+K52+K54+K56+K58+K60+K62+K64+K66+K68+K70+K72+K74+K76+K78+K80+K82+K84+K86+K88+K90+K92+K94+K96+K98+K100+K102+K104+K106+K108+K110+K112</f>
        <v>40880064</v>
      </c>
      <c r="L114" s="431"/>
      <c r="M114" s="431">
        <f>M6+M8+M10+M12+M14+M16+M18+M20+M22+M24+M26+M28+M30+M32+M34+M36+M38+M40+M42+M44+M46+M48+M50+M52+M54+M56+M58+M60+M62+M64+M66+M68+M70+M72+M74+M76+M78+M80+M82+M84+M86+M88+M90+M92+M94+M96+M98+M100+M102+M104+M106+M108+M110+M112</f>
        <v>977496</v>
      </c>
      <c r="N114" s="431"/>
      <c r="O114" s="431">
        <f>O6+O8+O10+O12+O14+O16+O18+O20+O22+O24+O26+O28+O30+O32+O34+O36+O38+O40+O42+O44+O46+O48+O50+O52+O54+O56+O58+O60+O62+O64+O66+O68+O70+O72+O74+O76+O78+O80+O82+O84+O86+O88+O90+O92+O94+O96+O98+O100+O102+O104+O106+O108+O110+O112</f>
        <v>58744121</v>
      </c>
      <c r="P114" s="684"/>
      <c r="Q114" s="684"/>
      <c r="R114" s="428"/>
    </row>
    <row r="115" spans="1:32" ht="23.1" customHeight="1">
      <c r="A115" s="412"/>
      <c r="B115" s="412" t="s">
        <v>208</v>
      </c>
      <c r="C115" s="412"/>
      <c r="D115" s="417" t="s">
        <v>716</v>
      </c>
      <c r="E115" s="418"/>
      <c r="F115" s="418"/>
      <c r="G115" s="418"/>
      <c r="H115" s="418"/>
      <c r="I115" s="418"/>
      <c r="J115" s="418"/>
      <c r="K115" s="418"/>
      <c r="L115" s="418"/>
      <c r="M115" s="418"/>
      <c r="N115" s="418"/>
      <c r="O115" s="418"/>
      <c r="P115" s="418"/>
      <c r="Q115" s="418"/>
      <c r="R115" s="432"/>
    </row>
    <row r="116" spans="1:32" s="426" customFormat="1" ht="23.1" customHeight="1">
      <c r="A116" s="423" t="s">
        <v>717</v>
      </c>
      <c r="B116" s="423" t="s">
        <v>718</v>
      </c>
      <c r="C116" s="423" t="s">
        <v>717</v>
      </c>
      <c r="D116" s="685" t="s">
        <v>590</v>
      </c>
      <c r="E116" s="685" t="s">
        <v>719</v>
      </c>
      <c r="F116" s="687" t="s">
        <v>592</v>
      </c>
      <c r="G116" s="433">
        <v>15</v>
      </c>
      <c r="H116" s="433">
        <v>1249</v>
      </c>
      <c r="I116" s="433">
        <v>18735</v>
      </c>
      <c r="J116" s="433">
        <v>22924</v>
      </c>
      <c r="K116" s="433">
        <v>343860</v>
      </c>
      <c r="L116" s="433">
        <v>0</v>
      </c>
      <c r="M116" s="433">
        <v>0</v>
      </c>
      <c r="N116" s="425">
        <f>H116+J116</f>
        <v>24173</v>
      </c>
      <c r="O116" s="433">
        <f>I116+K116+M116</f>
        <v>362595</v>
      </c>
      <c r="P116" s="683">
        <f>G117-G116</f>
        <v>-15</v>
      </c>
      <c r="Q116" s="683">
        <f>O117-O116</f>
        <v>-362595</v>
      </c>
      <c r="R116" s="689" t="s">
        <v>720</v>
      </c>
      <c r="AC116" s="426">
        <v>18735</v>
      </c>
      <c r="AD116" s="426">
        <v>18735</v>
      </c>
      <c r="AF116" s="426">
        <v>343875</v>
      </c>
    </row>
    <row r="117" spans="1:32" ht="23.1" customHeight="1">
      <c r="A117" s="412"/>
      <c r="B117" s="412"/>
      <c r="C117" s="412"/>
      <c r="D117" s="686"/>
      <c r="E117" s="686"/>
      <c r="F117" s="688"/>
      <c r="G117" s="434"/>
      <c r="H117" s="434"/>
      <c r="I117" s="434"/>
      <c r="J117" s="434"/>
      <c r="K117" s="434"/>
      <c r="L117" s="434"/>
      <c r="M117" s="434"/>
      <c r="N117" s="434">
        <f t="shared" ref="N117:N180" si="5">H117+J117</f>
        <v>0</v>
      </c>
      <c r="O117" s="434"/>
      <c r="P117" s="684"/>
      <c r="Q117" s="684"/>
      <c r="R117" s="690"/>
    </row>
    <row r="118" spans="1:32" s="426" customFormat="1" ht="23.1" customHeight="1">
      <c r="A118" s="423" t="s">
        <v>721</v>
      </c>
      <c r="B118" s="423" t="s">
        <v>718</v>
      </c>
      <c r="C118" s="423" t="s">
        <v>721</v>
      </c>
      <c r="D118" s="685" t="s">
        <v>596</v>
      </c>
      <c r="E118" s="685" t="s">
        <v>722</v>
      </c>
      <c r="F118" s="687" t="s">
        <v>592</v>
      </c>
      <c r="G118" s="433">
        <v>52</v>
      </c>
      <c r="H118" s="433">
        <v>392</v>
      </c>
      <c r="I118" s="433">
        <v>20384</v>
      </c>
      <c r="J118" s="433">
        <v>3857</v>
      </c>
      <c r="K118" s="433">
        <v>200564</v>
      </c>
      <c r="L118" s="433">
        <v>0</v>
      </c>
      <c r="M118" s="433">
        <v>0</v>
      </c>
      <c r="N118" s="433">
        <f t="shared" si="5"/>
        <v>4249</v>
      </c>
      <c r="O118" s="433">
        <f>I118+K118+M118</f>
        <v>220948</v>
      </c>
      <c r="P118" s="683">
        <f>G119-G118</f>
        <v>-52</v>
      </c>
      <c r="Q118" s="683">
        <f>O119-O118</f>
        <v>-220948</v>
      </c>
      <c r="R118" s="689" t="s">
        <v>723</v>
      </c>
      <c r="AC118" s="426">
        <v>20436</v>
      </c>
      <c r="AD118" s="426">
        <v>20436</v>
      </c>
      <c r="AF118" s="426">
        <v>200564</v>
      </c>
    </row>
    <row r="119" spans="1:32" ht="23.1" customHeight="1">
      <c r="A119" s="412"/>
      <c r="B119" s="412"/>
      <c r="C119" s="412"/>
      <c r="D119" s="686"/>
      <c r="E119" s="686"/>
      <c r="F119" s="688"/>
      <c r="G119" s="434"/>
      <c r="H119" s="434"/>
      <c r="I119" s="434"/>
      <c r="J119" s="434"/>
      <c r="K119" s="434"/>
      <c r="L119" s="434"/>
      <c r="M119" s="434"/>
      <c r="N119" s="434">
        <f t="shared" si="5"/>
        <v>0</v>
      </c>
      <c r="O119" s="434"/>
      <c r="P119" s="684"/>
      <c r="Q119" s="684"/>
      <c r="R119" s="690"/>
    </row>
    <row r="120" spans="1:32" s="426" customFormat="1" ht="23.1" customHeight="1">
      <c r="A120" s="423" t="s">
        <v>724</v>
      </c>
      <c r="B120" s="423" t="s">
        <v>718</v>
      </c>
      <c r="C120" s="423" t="s">
        <v>724</v>
      </c>
      <c r="D120" s="685" t="s">
        <v>596</v>
      </c>
      <c r="E120" s="685" t="s">
        <v>725</v>
      </c>
      <c r="F120" s="687" t="s">
        <v>592</v>
      </c>
      <c r="G120" s="433">
        <v>125</v>
      </c>
      <c r="H120" s="433">
        <v>2616</v>
      </c>
      <c r="I120" s="433">
        <v>327000</v>
      </c>
      <c r="J120" s="433">
        <v>11690</v>
      </c>
      <c r="K120" s="433">
        <v>1461250</v>
      </c>
      <c r="L120" s="433">
        <v>0</v>
      </c>
      <c r="M120" s="433">
        <v>0</v>
      </c>
      <c r="N120" s="433">
        <f t="shared" si="5"/>
        <v>14306</v>
      </c>
      <c r="O120" s="433">
        <f>I120+K120+M120</f>
        <v>1788250</v>
      </c>
      <c r="P120" s="683">
        <f>G121-G120</f>
        <v>-125</v>
      </c>
      <c r="Q120" s="683">
        <f>O121-O120</f>
        <v>-1788250</v>
      </c>
      <c r="R120" s="689" t="s">
        <v>726</v>
      </c>
      <c r="AC120" s="426">
        <v>327000</v>
      </c>
      <c r="AD120" s="426">
        <v>327000</v>
      </c>
      <c r="AF120" s="426">
        <v>1461250</v>
      </c>
    </row>
    <row r="121" spans="1:32" ht="23.1" customHeight="1">
      <c r="A121" s="412"/>
      <c r="B121" s="412"/>
      <c r="C121" s="412"/>
      <c r="D121" s="686"/>
      <c r="E121" s="686"/>
      <c r="F121" s="688"/>
      <c r="G121" s="434"/>
      <c r="H121" s="434"/>
      <c r="I121" s="434"/>
      <c r="J121" s="434"/>
      <c r="K121" s="434"/>
      <c r="L121" s="434"/>
      <c r="M121" s="434"/>
      <c r="N121" s="434">
        <f t="shared" si="5"/>
        <v>0</v>
      </c>
      <c r="O121" s="434"/>
      <c r="P121" s="684"/>
      <c r="Q121" s="684"/>
      <c r="R121" s="690"/>
    </row>
    <row r="122" spans="1:32" s="426" customFormat="1" ht="23.1" customHeight="1">
      <c r="A122" s="423" t="s">
        <v>727</v>
      </c>
      <c r="B122" s="423" t="s">
        <v>718</v>
      </c>
      <c r="C122" s="423" t="s">
        <v>727</v>
      </c>
      <c r="D122" s="685" t="s">
        <v>609</v>
      </c>
      <c r="E122" s="685" t="s">
        <v>728</v>
      </c>
      <c r="F122" s="687" t="s">
        <v>611</v>
      </c>
      <c r="G122" s="433">
        <v>4</v>
      </c>
      <c r="H122" s="433">
        <v>10411</v>
      </c>
      <c r="I122" s="433">
        <v>41644</v>
      </c>
      <c r="J122" s="433">
        <v>49113</v>
      </c>
      <c r="K122" s="433">
        <v>196452</v>
      </c>
      <c r="L122" s="433">
        <v>0</v>
      </c>
      <c r="M122" s="433">
        <v>0</v>
      </c>
      <c r="N122" s="433">
        <f t="shared" si="5"/>
        <v>59524</v>
      </c>
      <c r="O122" s="433">
        <f>I122+K122+M122</f>
        <v>238096</v>
      </c>
      <c r="P122" s="683">
        <f>G123-G122</f>
        <v>-4</v>
      </c>
      <c r="Q122" s="683">
        <f>O123-O122</f>
        <v>-238096</v>
      </c>
      <c r="R122" s="689" t="s">
        <v>729</v>
      </c>
      <c r="AF122" s="426">
        <v>196456</v>
      </c>
    </row>
    <row r="123" spans="1:32" ht="23.1" customHeight="1">
      <c r="A123" s="412"/>
      <c r="B123" s="412"/>
      <c r="C123" s="412"/>
      <c r="D123" s="686"/>
      <c r="E123" s="686"/>
      <c r="F123" s="688"/>
      <c r="G123" s="434"/>
      <c r="H123" s="434"/>
      <c r="I123" s="434"/>
      <c r="J123" s="434"/>
      <c r="K123" s="434"/>
      <c r="L123" s="434"/>
      <c r="M123" s="434"/>
      <c r="N123" s="434">
        <f t="shared" si="5"/>
        <v>0</v>
      </c>
      <c r="O123" s="434"/>
      <c r="P123" s="684"/>
      <c r="Q123" s="684"/>
      <c r="R123" s="690"/>
    </row>
    <row r="124" spans="1:32" s="426" customFormat="1" ht="23.1" customHeight="1">
      <c r="A124" s="423" t="s">
        <v>730</v>
      </c>
      <c r="B124" s="423" t="s">
        <v>718</v>
      </c>
      <c r="C124" s="423" t="s">
        <v>730</v>
      </c>
      <c r="D124" s="685" t="s">
        <v>609</v>
      </c>
      <c r="E124" s="685" t="s">
        <v>731</v>
      </c>
      <c r="F124" s="687" t="s">
        <v>611</v>
      </c>
      <c r="G124" s="433">
        <v>1</v>
      </c>
      <c r="H124" s="433">
        <v>28371</v>
      </c>
      <c r="I124" s="433">
        <v>28371</v>
      </c>
      <c r="J124" s="433">
        <v>63888</v>
      </c>
      <c r="K124" s="433">
        <v>63888</v>
      </c>
      <c r="L124" s="433">
        <v>0</v>
      </c>
      <c r="M124" s="433">
        <v>0</v>
      </c>
      <c r="N124" s="433">
        <f t="shared" si="5"/>
        <v>92259</v>
      </c>
      <c r="O124" s="433">
        <f>I124+K124+M124</f>
        <v>92259</v>
      </c>
      <c r="P124" s="683">
        <f>G125-G124</f>
        <v>-1</v>
      </c>
      <c r="Q124" s="683">
        <f>O125-O124</f>
        <v>-92259</v>
      </c>
      <c r="R124" s="689" t="s">
        <v>732</v>
      </c>
      <c r="AF124" s="426">
        <v>63888</v>
      </c>
    </row>
    <row r="125" spans="1:32" ht="23.1" customHeight="1">
      <c r="A125" s="412"/>
      <c r="B125" s="412"/>
      <c r="C125" s="412"/>
      <c r="D125" s="686"/>
      <c r="E125" s="686"/>
      <c r="F125" s="688"/>
      <c r="G125" s="434"/>
      <c r="H125" s="434"/>
      <c r="I125" s="434"/>
      <c r="J125" s="434"/>
      <c r="K125" s="434"/>
      <c r="L125" s="434"/>
      <c r="M125" s="434"/>
      <c r="N125" s="434">
        <f t="shared" si="5"/>
        <v>0</v>
      </c>
      <c r="O125" s="434"/>
      <c r="P125" s="684"/>
      <c r="Q125" s="684"/>
      <c r="R125" s="690"/>
    </row>
    <row r="126" spans="1:32" s="426" customFormat="1" ht="23.1" customHeight="1">
      <c r="A126" s="423" t="s">
        <v>733</v>
      </c>
      <c r="B126" s="423" t="s">
        <v>718</v>
      </c>
      <c r="C126" s="423" t="s">
        <v>733</v>
      </c>
      <c r="D126" s="685" t="s">
        <v>615</v>
      </c>
      <c r="E126" s="685" t="s">
        <v>734</v>
      </c>
      <c r="F126" s="687" t="s">
        <v>617</v>
      </c>
      <c r="G126" s="433">
        <v>2</v>
      </c>
      <c r="H126" s="433">
        <v>808</v>
      </c>
      <c r="I126" s="433">
        <v>1616</v>
      </c>
      <c r="J126" s="433">
        <v>0</v>
      </c>
      <c r="K126" s="433">
        <v>0</v>
      </c>
      <c r="L126" s="433">
        <v>0</v>
      </c>
      <c r="M126" s="433">
        <v>0</v>
      </c>
      <c r="N126" s="433">
        <f t="shared" si="5"/>
        <v>808</v>
      </c>
      <c r="O126" s="433">
        <f>I126+K126+M126</f>
        <v>1616</v>
      </c>
      <c r="P126" s="683">
        <f>G127-G126</f>
        <v>-2</v>
      </c>
      <c r="Q126" s="683">
        <f>O127-O126</f>
        <v>-1616</v>
      </c>
      <c r="R126" s="689" t="s">
        <v>735</v>
      </c>
    </row>
    <row r="127" spans="1:32" ht="23.1" customHeight="1">
      <c r="A127" s="412"/>
      <c r="B127" s="412"/>
      <c r="C127" s="412"/>
      <c r="D127" s="686"/>
      <c r="E127" s="686"/>
      <c r="F127" s="688"/>
      <c r="G127" s="434"/>
      <c r="H127" s="434"/>
      <c r="I127" s="434"/>
      <c r="J127" s="434"/>
      <c r="K127" s="434"/>
      <c r="L127" s="434"/>
      <c r="M127" s="434"/>
      <c r="N127" s="434">
        <f t="shared" si="5"/>
        <v>0</v>
      </c>
      <c r="O127" s="434"/>
      <c r="P127" s="684"/>
      <c r="Q127" s="684"/>
      <c r="R127" s="690"/>
    </row>
    <row r="128" spans="1:32" s="426" customFormat="1" ht="23.1" customHeight="1">
      <c r="A128" s="423" t="s">
        <v>736</v>
      </c>
      <c r="B128" s="423" t="s">
        <v>718</v>
      </c>
      <c r="C128" s="423" t="s">
        <v>736</v>
      </c>
      <c r="D128" s="685" t="s">
        <v>621</v>
      </c>
      <c r="E128" s="685" t="s">
        <v>737</v>
      </c>
      <c r="F128" s="687" t="s">
        <v>617</v>
      </c>
      <c r="G128" s="433">
        <v>2</v>
      </c>
      <c r="H128" s="433">
        <v>3450</v>
      </c>
      <c r="I128" s="433">
        <v>6900</v>
      </c>
      <c r="J128" s="433">
        <v>50434</v>
      </c>
      <c r="K128" s="433">
        <v>100868</v>
      </c>
      <c r="L128" s="433">
        <v>0</v>
      </c>
      <c r="M128" s="433">
        <v>0</v>
      </c>
      <c r="N128" s="433">
        <f t="shared" si="5"/>
        <v>53884</v>
      </c>
      <c r="O128" s="433">
        <f>I128+K128+M128</f>
        <v>107768</v>
      </c>
      <c r="P128" s="683">
        <f>G129-G128</f>
        <v>-2</v>
      </c>
      <c r="Q128" s="683">
        <f>O129-O128</f>
        <v>-107768</v>
      </c>
      <c r="R128" s="689" t="s">
        <v>738</v>
      </c>
      <c r="AF128" s="426">
        <v>100870</v>
      </c>
    </row>
    <row r="129" spans="1:32" ht="23.1" customHeight="1">
      <c r="A129" s="412"/>
      <c r="B129" s="412"/>
      <c r="C129" s="412"/>
      <c r="D129" s="686"/>
      <c r="E129" s="686"/>
      <c r="F129" s="688"/>
      <c r="G129" s="434"/>
      <c r="H129" s="434"/>
      <c r="I129" s="434"/>
      <c r="J129" s="434"/>
      <c r="K129" s="434"/>
      <c r="L129" s="434"/>
      <c r="M129" s="434"/>
      <c r="N129" s="434">
        <f t="shared" si="5"/>
        <v>0</v>
      </c>
      <c r="O129" s="434"/>
      <c r="P129" s="684"/>
      <c r="Q129" s="684"/>
      <c r="R129" s="690"/>
    </row>
    <row r="130" spans="1:32" s="426" customFormat="1" ht="23.1" customHeight="1">
      <c r="A130" s="423" t="s">
        <v>739</v>
      </c>
      <c r="B130" s="423" t="s">
        <v>718</v>
      </c>
      <c r="C130" s="423" t="s">
        <v>739</v>
      </c>
      <c r="D130" s="685" t="s">
        <v>631</v>
      </c>
      <c r="E130" s="685" t="s">
        <v>740</v>
      </c>
      <c r="F130" s="687" t="s">
        <v>592</v>
      </c>
      <c r="G130" s="433">
        <v>514</v>
      </c>
      <c r="H130" s="433">
        <v>25140</v>
      </c>
      <c r="I130" s="433">
        <v>12921960</v>
      </c>
      <c r="J130" s="433">
        <v>5848</v>
      </c>
      <c r="K130" s="433">
        <v>3005872</v>
      </c>
      <c r="L130" s="433">
        <v>0</v>
      </c>
      <c r="M130" s="433">
        <v>0</v>
      </c>
      <c r="N130" s="433">
        <f t="shared" si="5"/>
        <v>30988</v>
      </c>
      <c r="O130" s="433">
        <f>I130+K130+M130</f>
        <v>15927832</v>
      </c>
      <c r="P130" s="683">
        <f>G131-G130</f>
        <v>-514</v>
      </c>
      <c r="Q130" s="683">
        <f>O131-O130</f>
        <v>-15927832</v>
      </c>
      <c r="R130" s="689" t="s">
        <v>741</v>
      </c>
      <c r="AD130" s="426">
        <v>12921960</v>
      </c>
      <c r="AF130" s="426">
        <v>3006386</v>
      </c>
    </row>
    <row r="131" spans="1:32" ht="23.1" customHeight="1">
      <c r="A131" s="412"/>
      <c r="B131" s="412"/>
      <c r="C131" s="412"/>
      <c r="D131" s="686"/>
      <c r="E131" s="686"/>
      <c r="F131" s="688"/>
      <c r="G131" s="434"/>
      <c r="H131" s="434"/>
      <c r="I131" s="434"/>
      <c r="J131" s="434"/>
      <c r="K131" s="434"/>
      <c r="L131" s="434"/>
      <c r="M131" s="434"/>
      <c r="N131" s="434">
        <f t="shared" si="5"/>
        <v>0</v>
      </c>
      <c r="O131" s="434"/>
      <c r="P131" s="684"/>
      <c r="Q131" s="684"/>
      <c r="R131" s="690"/>
    </row>
    <row r="132" spans="1:32" s="426" customFormat="1" ht="23.1" customHeight="1">
      <c r="A132" s="423" t="s">
        <v>742</v>
      </c>
      <c r="B132" s="423" t="s">
        <v>718</v>
      </c>
      <c r="C132" s="423" t="s">
        <v>742</v>
      </c>
      <c r="D132" s="685" t="s">
        <v>631</v>
      </c>
      <c r="E132" s="685" t="s">
        <v>743</v>
      </c>
      <c r="F132" s="687" t="s">
        <v>592</v>
      </c>
      <c r="G132" s="433">
        <v>71</v>
      </c>
      <c r="H132" s="433">
        <v>3508</v>
      </c>
      <c r="I132" s="433">
        <v>249068</v>
      </c>
      <c r="J132" s="433">
        <v>4467</v>
      </c>
      <c r="K132" s="433">
        <v>317157</v>
      </c>
      <c r="L132" s="433">
        <v>0</v>
      </c>
      <c r="M132" s="433">
        <v>0</v>
      </c>
      <c r="N132" s="433">
        <f t="shared" si="5"/>
        <v>7975</v>
      </c>
      <c r="O132" s="433">
        <f>I132+K132+M132</f>
        <v>566225</v>
      </c>
      <c r="P132" s="683">
        <f>G133-G132</f>
        <v>-71</v>
      </c>
      <c r="Q132" s="683">
        <f>O133-O132</f>
        <v>-566225</v>
      </c>
      <c r="R132" s="689" t="s">
        <v>744</v>
      </c>
      <c r="AD132" s="426">
        <v>249068</v>
      </c>
      <c r="AF132" s="426">
        <v>317228</v>
      </c>
    </row>
    <row r="133" spans="1:32" ht="23.1" customHeight="1">
      <c r="A133" s="412"/>
      <c r="B133" s="412"/>
      <c r="C133" s="412"/>
      <c r="D133" s="686"/>
      <c r="E133" s="686"/>
      <c r="F133" s="688"/>
      <c r="G133" s="434"/>
      <c r="H133" s="434"/>
      <c r="I133" s="434"/>
      <c r="J133" s="434"/>
      <c r="K133" s="434"/>
      <c r="L133" s="434"/>
      <c r="M133" s="434"/>
      <c r="N133" s="434">
        <f t="shared" si="5"/>
        <v>0</v>
      </c>
      <c r="O133" s="434"/>
      <c r="P133" s="684"/>
      <c r="Q133" s="684"/>
      <c r="R133" s="690"/>
    </row>
    <row r="134" spans="1:32" s="426" customFormat="1" ht="23.1" customHeight="1">
      <c r="A134" s="423" t="s">
        <v>745</v>
      </c>
      <c r="B134" s="423" t="s">
        <v>718</v>
      </c>
      <c r="C134" s="423" t="s">
        <v>745</v>
      </c>
      <c r="D134" s="685" t="s">
        <v>746</v>
      </c>
      <c r="E134" s="685" t="s">
        <v>747</v>
      </c>
      <c r="F134" s="687" t="s">
        <v>617</v>
      </c>
      <c r="G134" s="433">
        <v>8</v>
      </c>
      <c r="H134" s="433">
        <v>4945</v>
      </c>
      <c r="I134" s="433">
        <v>39560</v>
      </c>
      <c r="J134" s="433">
        <v>55574</v>
      </c>
      <c r="K134" s="433">
        <v>444592</v>
      </c>
      <c r="L134" s="433">
        <v>0</v>
      </c>
      <c r="M134" s="433">
        <v>0</v>
      </c>
      <c r="N134" s="433">
        <f t="shared" si="5"/>
        <v>60519</v>
      </c>
      <c r="O134" s="433">
        <f>I134+K134+M134</f>
        <v>484152</v>
      </c>
      <c r="P134" s="683">
        <f>G135-G134</f>
        <v>-8</v>
      </c>
      <c r="Q134" s="683">
        <f>O135-O134</f>
        <v>-484152</v>
      </c>
      <c r="R134" s="689" t="s">
        <v>748</v>
      </c>
      <c r="AF134" s="426">
        <v>444600</v>
      </c>
    </row>
    <row r="135" spans="1:32" ht="23.1" customHeight="1">
      <c r="A135" s="412"/>
      <c r="B135" s="412"/>
      <c r="C135" s="412"/>
      <c r="D135" s="686"/>
      <c r="E135" s="686"/>
      <c r="F135" s="688"/>
      <c r="G135" s="434"/>
      <c r="H135" s="434"/>
      <c r="I135" s="434"/>
      <c r="J135" s="434"/>
      <c r="K135" s="434"/>
      <c r="L135" s="434"/>
      <c r="M135" s="434"/>
      <c r="N135" s="434">
        <f t="shared" si="5"/>
        <v>0</v>
      </c>
      <c r="O135" s="434"/>
      <c r="P135" s="684"/>
      <c r="Q135" s="684"/>
      <c r="R135" s="690"/>
    </row>
    <row r="136" spans="1:32" s="426" customFormat="1" ht="23.1" customHeight="1">
      <c r="A136" s="423" t="s">
        <v>651</v>
      </c>
      <c r="B136" s="423" t="s">
        <v>718</v>
      </c>
      <c r="C136" s="423" t="s">
        <v>651</v>
      </c>
      <c r="D136" s="685" t="s">
        <v>652</v>
      </c>
      <c r="E136" s="685" t="s">
        <v>653</v>
      </c>
      <c r="F136" s="687" t="s">
        <v>592</v>
      </c>
      <c r="G136" s="433">
        <v>175</v>
      </c>
      <c r="H136" s="433">
        <v>243</v>
      </c>
      <c r="I136" s="433">
        <v>42525</v>
      </c>
      <c r="J136" s="433">
        <v>251</v>
      </c>
      <c r="K136" s="433">
        <v>43925</v>
      </c>
      <c r="L136" s="433">
        <v>0</v>
      </c>
      <c r="M136" s="433">
        <v>0</v>
      </c>
      <c r="N136" s="433">
        <f t="shared" si="5"/>
        <v>494</v>
      </c>
      <c r="O136" s="433">
        <f>I136+K136+M136</f>
        <v>86450</v>
      </c>
      <c r="P136" s="683">
        <f>G137-G136</f>
        <v>-175</v>
      </c>
      <c r="Q136" s="683">
        <f>O137-O136</f>
        <v>-86450</v>
      </c>
      <c r="R136" s="689" t="s">
        <v>654</v>
      </c>
      <c r="AF136" s="426">
        <v>43925</v>
      </c>
    </row>
    <row r="137" spans="1:32" ht="23.1" customHeight="1">
      <c r="A137" s="412"/>
      <c r="B137" s="412"/>
      <c r="C137" s="412"/>
      <c r="D137" s="686"/>
      <c r="E137" s="686"/>
      <c r="F137" s="688"/>
      <c r="G137" s="434"/>
      <c r="H137" s="434"/>
      <c r="I137" s="434"/>
      <c r="J137" s="434"/>
      <c r="K137" s="434"/>
      <c r="L137" s="434"/>
      <c r="M137" s="434"/>
      <c r="N137" s="434">
        <f t="shared" si="5"/>
        <v>0</v>
      </c>
      <c r="O137" s="434"/>
      <c r="P137" s="684"/>
      <c r="Q137" s="684"/>
      <c r="R137" s="690"/>
    </row>
    <row r="138" spans="1:32" s="426" customFormat="1" ht="23.1" customHeight="1">
      <c r="A138" s="423" t="s">
        <v>749</v>
      </c>
      <c r="B138" s="423" t="s">
        <v>718</v>
      </c>
      <c r="C138" s="423" t="s">
        <v>749</v>
      </c>
      <c r="D138" s="685" t="s">
        <v>750</v>
      </c>
      <c r="E138" s="685" t="s">
        <v>751</v>
      </c>
      <c r="F138" s="687" t="s">
        <v>659</v>
      </c>
      <c r="G138" s="433">
        <v>2</v>
      </c>
      <c r="H138" s="433">
        <v>592735</v>
      </c>
      <c r="I138" s="433">
        <v>1185470</v>
      </c>
      <c r="J138" s="433">
        <v>445385</v>
      </c>
      <c r="K138" s="433">
        <v>890770</v>
      </c>
      <c r="L138" s="433">
        <v>45539</v>
      </c>
      <c r="M138" s="433">
        <v>91078</v>
      </c>
      <c r="N138" s="433">
        <f t="shared" si="5"/>
        <v>1038120</v>
      </c>
      <c r="O138" s="433">
        <f>I138+K138+M138</f>
        <v>2167318</v>
      </c>
      <c r="P138" s="683">
        <f>G139-G138</f>
        <v>-2</v>
      </c>
      <c r="Q138" s="683">
        <f>O139-O138</f>
        <v>-2167318</v>
      </c>
      <c r="R138" s="689" t="s">
        <v>752</v>
      </c>
      <c r="AF138" s="426">
        <v>890770</v>
      </c>
    </row>
    <row r="139" spans="1:32" ht="23.1" customHeight="1">
      <c r="A139" s="412"/>
      <c r="B139" s="412"/>
      <c r="C139" s="412"/>
      <c r="D139" s="686"/>
      <c r="E139" s="686"/>
      <c r="F139" s="688"/>
      <c r="G139" s="434"/>
      <c r="H139" s="434"/>
      <c r="I139" s="434"/>
      <c r="J139" s="434"/>
      <c r="K139" s="434"/>
      <c r="L139" s="434"/>
      <c r="M139" s="434"/>
      <c r="N139" s="434">
        <f t="shared" si="5"/>
        <v>0</v>
      </c>
      <c r="O139" s="434"/>
      <c r="P139" s="684"/>
      <c r="Q139" s="684"/>
      <c r="R139" s="690"/>
    </row>
    <row r="140" spans="1:32" s="426" customFormat="1" ht="23.1" customHeight="1">
      <c r="A140" s="423" t="s">
        <v>670</v>
      </c>
      <c r="B140" s="423" t="s">
        <v>718</v>
      </c>
      <c r="C140" s="423" t="s">
        <v>670</v>
      </c>
      <c r="D140" s="685" t="s">
        <v>671</v>
      </c>
      <c r="E140" s="685" t="s">
        <v>672</v>
      </c>
      <c r="F140" s="687" t="s">
        <v>673</v>
      </c>
      <c r="G140" s="433">
        <v>126</v>
      </c>
      <c r="H140" s="433">
        <v>333</v>
      </c>
      <c r="I140" s="433">
        <v>41958</v>
      </c>
      <c r="J140" s="433">
        <v>804</v>
      </c>
      <c r="K140" s="433">
        <v>101304</v>
      </c>
      <c r="L140" s="433">
        <v>418</v>
      </c>
      <c r="M140" s="433">
        <v>52668</v>
      </c>
      <c r="N140" s="433">
        <f t="shared" si="5"/>
        <v>1137</v>
      </c>
      <c r="O140" s="433">
        <f>I140+K140+M140</f>
        <v>195930</v>
      </c>
      <c r="P140" s="683">
        <f>G141-G140</f>
        <v>-126</v>
      </c>
      <c r="Q140" s="683">
        <f>O141-O140</f>
        <v>-195930</v>
      </c>
      <c r="R140" s="689" t="s">
        <v>670</v>
      </c>
    </row>
    <row r="141" spans="1:32" ht="23.1" customHeight="1">
      <c r="A141" s="412"/>
      <c r="B141" s="412"/>
      <c r="C141" s="412"/>
      <c r="D141" s="686"/>
      <c r="E141" s="686"/>
      <c r="F141" s="688"/>
      <c r="G141" s="434"/>
      <c r="H141" s="434"/>
      <c r="I141" s="434"/>
      <c r="J141" s="434"/>
      <c r="K141" s="434"/>
      <c r="L141" s="434"/>
      <c r="M141" s="434"/>
      <c r="N141" s="434">
        <f t="shared" si="5"/>
        <v>0</v>
      </c>
      <c r="O141" s="434"/>
      <c r="P141" s="684"/>
      <c r="Q141" s="684"/>
      <c r="R141" s="690"/>
    </row>
    <row r="142" spans="1:32" s="426" customFormat="1" ht="23.1" customHeight="1">
      <c r="A142" s="423" t="s">
        <v>674</v>
      </c>
      <c r="B142" s="423" t="s">
        <v>718</v>
      </c>
      <c r="C142" s="423" t="s">
        <v>674</v>
      </c>
      <c r="D142" s="685" t="s">
        <v>675</v>
      </c>
      <c r="E142" s="685" t="s">
        <v>672</v>
      </c>
      <c r="F142" s="687" t="s">
        <v>673</v>
      </c>
      <c r="G142" s="433">
        <v>126</v>
      </c>
      <c r="H142" s="433">
        <v>333</v>
      </c>
      <c r="I142" s="433">
        <v>41958</v>
      </c>
      <c r="J142" s="433">
        <v>804</v>
      </c>
      <c r="K142" s="433">
        <v>101304</v>
      </c>
      <c r="L142" s="433">
        <v>418</v>
      </c>
      <c r="M142" s="433">
        <v>52668</v>
      </c>
      <c r="N142" s="433">
        <f t="shared" si="5"/>
        <v>1137</v>
      </c>
      <c r="O142" s="433">
        <f>I142+K142+M142</f>
        <v>195930</v>
      </c>
      <c r="P142" s="683">
        <f>G143-G142</f>
        <v>-126</v>
      </c>
      <c r="Q142" s="683">
        <f>O143-O142</f>
        <v>-195930</v>
      </c>
      <c r="R142" s="689" t="s">
        <v>674</v>
      </c>
    </row>
    <row r="143" spans="1:32" ht="23.1" customHeight="1">
      <c r="A143" s="412"/>
      <c r="B143" s="412"/>
      <c r="C143" s="412"/>
      <c r="D143" s="686"/>
      <c r="E143" s="686"/>
      <c r="F143" s="688"/>
      <c r="G143" s="434"/>
      <c r="H143" s="434"/>
      <c r="I143" s="434"/>
      <c r="J143" s="434"/>
      <c r="K143" s="434"/>
      <c r="L143" s="434"/>
      <c r="M143" s="434"/>
      <c r="N143" s="434">
        <f t="shared" si="5"/>
        <v>0</v>
      </c>
      <c r="O143" s="434"/>
      <c r="P143" s="684"/>
      <c r="Q143" s="684"/>
      <c r="R143" s="690"/>
    </row>
    <row r="144" spans="1:32" s="426" customFormat="1" ht="23.1" customHeight="1">
      <c r="A144" s="423"/>
      <c r="B144" s="423"/>
      <c r="C144" s="423"/>
      <c r="D144" s="691" t="str">
        <f>신규_공종별내역서!A5</f>
        <v>전주입상관 설치</v>
      </c>
      <c r="E144" s="691" t="str">
        <f>신규_공종별내역서!B5</f>
        <v>HI 104C</v>
      </c>
      <c r="F144" s="689" t="str">
        <f>신규_공종별내역서!C5</f>
        <v>M</v>
      </c>
      <c r="G144" s="433"/>
      <c r="H144" s="433"/>
      <c r="I144" s="433"/>
      <c r="J144" s="433"/>
      <c r="K144" s="433"/>
      <c r="L144" s="433"/>
      <c r="M144" s="433"/>
      <c r="N144" s="433">
        <f t="shared" si="5"/>
        <v>0</v>
      </c>
      <c r="O144" s="433"/>
      <c r="P144" s="683">
        <f>G145-G144</f>
        <v>10</v>
      </c>
      <c r="Q144" s="683">
        <f>O145-O144</f>
        <v>1376310</v>
      </c>
      <c r="R144" s="687" t="str">
        <f>신규_공종별내역서!L5</f>
        <v>신규호표 1</v>
      </c>
      <c r="AF144" s="426">
        <v>7069812</v>
      </c>
    </row>
    <row r="145" spans="1:32" ht="23.1" customHeight="1">
      <c r="A145" s="412"/>
      <c r="B145" s="412"/>
      <c r="C145" s="412"/>
      <c r="D145" s="692"/>
      <c r="E145" s="692"/>
      <c r="F145" s="690"/>
      <c r="G145" s="434">
        <f>신규_공종별내역서!D5</f>
        <v>10</v>
      </c>
      <c r="H145" s="434">
        <f>신규_공종별내역서!E5</f>
        <v>7912</v>
      </c>
      <c r="I145" s="434">
        <f>신규_공종별내역서!F5</f>
        <v>79120</v>
      </c>
      <c r="J145" s="434">
        <f>신규_공종별내역서!G5</f>
        <v>129719</v>
      </c>
      <c r="K145" s="434">
        <f>신규_공종별내역서!H5</f>
        <v>1297190</v>
      </c>
      <c r="L145" s="434">
        <f>신규_공종별내역서!I5</f>
        <v>0</v>
      </c>
      <c r="M145" s="434">
        <f>신규_공종별내역서!J5</f>
        <v>0</v>
      </c>
      <c r="N145" s="434">
        <f t="shared" si="5"/>
        <v>137631</v>
      </c>
      <c r="O145" s="434">
        <f>신규_공종별내역서!K5</f>
        <v>1376310</v>
      </c>
      <c r="P145" s="684"/>
      <c r="Q145" s="684"/>
      <c r="R145" s="688"/>
      <c r="AF145" s="422">
        <f ca="1">TRUNC([2]!sumcol(0,AF95:AF123))</f>
        <v>0</v>
      </c>
    </row>
    <row r="146" spans="1:32" s="426" customFormat="1" ht="23.1" customHeight="1">
      <c r="A146" s="423"/>
      <c r="B146" s="423"/>
      <c r="C146" s="423"/>
      <c r="D146" s="691" t="str">
        <f>신규_공종별내역서!A6</f>
        <v>ST 케이블 트레이-STRAIGHT</v>
      </c>
      <c r="E146" s="691" t="str">
        <f>신규_공종별내역서!B6</f>
        <v>W400x100Hx2.3t</v>
      </c>
      <c r="F146" s="689" t="str">
        <f>신규_공종별내역서!C6</f>
        <v>m</v>
      </c>
      <c r="G146" s="433"/>
      <c r="H146" s="433"/>
      <c r="I146" s="433"/>
      <c r="J146" s="433"/>
      <c r="K146" s="433"/>
      <c r="L146" s="433"/>
      <c r="M146" s="433"/>
      <c r="N146" s="433">
        <f t="shared" si="5"/>
        <v>0</v>
      </c>
      <c r="O146" s="433"/>
      <c r="P146" s="683">
        <f>G147-G146</f>
        <v>1</v>
      </c>
      <c r="Q146" s="683">
        <f>O147-O146</f>
        <v>91699</v>
      </c>
      <c r="R146" s="687" t="str">
        <f>신규_공종별내역서!L6</f>
        <v>신규호표 2</v>
      </c>
    </row>
    <row r="147" spans="1:32" ht="23.1" customHeight="1">
      <c r="A147" s="412"/>
      <c r="B147" s="412"/>
      <c r="C147" s="412"/>
      <c r="D147" s="692"/>
      <c r="E147" s="692"/>
      <c r="F147" s="690"/>
      <c r="G147" s="434">
        <f>신규_공종별내역서!D6</f>
        <v>1</v>
      </c>
      <c r="H147" s="434">
        <f>신규_공종별내역서!E6</f>
        <v>35300</v>
      </c>
      <c r="I147" s="434">
        <f>신규_공종별내역서!F6</f>
        <v>35300</v>
      </c>
      <c r="J147" s="434">
        <f>신규_공종별내역서!G6</f>
        <v>56399</v>
      </c>
      <c r="K147" s="434">
        <f>신규_공종별내역서!H6</f>
        <v>56399</v>
      </c>
      <c r="L147" s="434">
        <f>신규_공종별내역서!I6</f>
        <v>0</v>
      </c>
      <c r="M147" s="434">
        <f>신규_공종별내역서!J6</f>
        <v>0</v>
      </c>
      <c r="N147" s="434">
        <f t="shared" si="5"/>
        <v>91699</v>
      </c>
      <c r="O147" s="434">
        <f>신규_공종별내역서!K6</f>
        <v>91699</v>
      </c>
      <c r="P147" s="684"/>
      <c r="Q147" s="684"/>
      <c r="R147" s="688"/>
    </row>
    <row r="148" spans="1:32" s="426" customFormat="1" ht="23.1" customHeight="1">
      <c r="A148" s="423"/>
      <c r="B148" s="423"/>
      <c r="C148" s="423"/>
      <c r="D148" s="691" t="str">
        <f>신규_공종별내역서!A7</f>
        <v>난연 비닐 절연 접지용전선(F-GV)</v>
      </c>
      <c r="E148" s="691" t="str">
        <f>신규_공종별내역서!B7</f>
        <v>0.6/1kV  4㎟</v>
      </c>
      <c r="F148" s="689" t="str">
        <f>신규_공종별내역서!C7</f>
        <v>m</v>
      </c>
      <c r="G148" s="433"/>
      <c r="H148" s="433"/>
      <c r="I148" s="433"/>
      <c r="J148" s="433"/>
      <c r="K148" s="433"/>
      <c r="L148" s="433"/>
      <c r="M148" s="433"/>
      <c r="N148" s="433">
        <f t="shared" si="5"/>
        <v>0</v>
      </c>
      <c r="O148" s="433"/>
      <c r="P148" s="683">
        <f>G149-G148</f>
        <v>72</v>
      </c>
      <c r="Q148" s="683">
        <f>O149-O148</f>
        <v>221616</v>
      </c>
      <c r="R148" s="687" t="str">
        <f>신규_공종별내역서!L7</f>
        <v>신규호표 3</v>
      </c>
    </row>
    <row r="149" spans="1:32" ht="23.1" customHeight="1">
      <c r="A149" s="412"/>
      <c r="B149" s="412"/>
      <c r="C149" s="412"/>
      <c r="D149" s="692"/>
      <c r="E149" s="692"/>
      <c r="F149" s="690"/>
      <c r="G149" s="434">
        <f>신규_공종별내역서!D7</f>
        <v>72</v>
      </c>
      <c r="H149" s="434">
        <f>신규_공종별내역서!E7</f>
        <v>964</v>
      </c>
      <c r="I149" s="434">
        <f>신규_공종별내역서!F7</f>
        <v>69408</v>
      </c>
      <c r="J149" s="434">
        <f>신규_공종별내역서!G7</f>
        <v>2114</v>
      </c>
      <c r="K149" s="434">
        <f>신규_공종별내역서!H7</f>
        <v>152208</v>
      </c>
      <c r="L149" s="434">
        <f>신규_공종별내역서!I7</f>
        <v>0</v>
      </c>
      <c r="M149" s="434">
        <f>신규_공종별내역서!J7</f>
        <v>0</v>
      </c>
      <c r="N149" s="434">
        <f t="shared" si="5"/>
        <v>3078</v>
      </c>
      <c r="O149" s="434">
        <f>신규_공종별내역서!K7</f>
        <v>221616</v>
      </c>
      <c r="P149" s="684"/>
      <c r="Q149" s="684"/>
      <c r="R149" s="688"/>
    </row>
    <row r="150" spans="1:32" s="426" customFormat="1" ht="23.1" customHeight="1">
      <c r="A150" s="423"/>
      <c r="B150" s="423"/>
      <c r="C150" s="423"/>
      <c r="D150" s="691" t="str">
        <f>신규_공종별내역서!A8</f>
        <v>난연 비닐 절연 접지용전선(F-GV)</v>
      </c>
      <c r="E150" s="691" t="str">
        <f>신규_공종별내역서!B8</f>
        <v>0.6/1kV  6㎟</v>
      </c>
      <c r="F150" s="689" t="str">
        <f>신규_공종별내역서!C8</f>
        <v>m</v>
      </c>
      <c r="G150" s="433"/>
      <c r="H150" s="433"/>
      <c r="I150" s="433"/>
      <c r="J150" s="433"/>
      <c r="K150" s="433"/>
      <c r="L150" s="433"/>
      <c r="M150" s="433"/>
      <c r="N150" s="433">
        <f t="shared" si="5"/>
        <v>0</v>
      </c>
      <c r="O150" s="433"/>
      <c r="P150" s="683">
        <f>G151-G150</f>
        <v>47</v>
      </c>
      <c r="Q150" s="683">
        <f>O151-O150</f>
        <v>149413</v>
      </c>
      <c r="R150" s="687" t="str">
        <f>신규_공종별내역서!L8</f>
        <v>신규호표 4</v>
      </c>
    </row>
    <row r="151" spans="1:32" ht="23.1" customHeight="1">
      <c r="A151" s="412"/>
      <c r="B151" s="412"/>
      <c r="C151" s="412"/>
      <c r="D151" s="692"/>
      <c r="E151" s="692"/>
      <c r="F151" s="690"/>
      <c r="G151" s="434">
        <f>신규_공종별내역서!D8</f>
        <v>47</v>
      </c>
      <c r="H151" s="434">
        <f>신규_공종별내역서!E8</f>
        <v>849</v>
      </c>
      <c r="I151" s="434">
        <f>신규_공종별내역서!F8</f>
        <v>39903</v>
      </c>
      <c r="J151" s="434">
        <f>신규_공종별내역서!G8</f>
        <v>2330</v>
      </c>
      <c r="K151" s="434">
        <f>신규_공종별내역서!H8</f>
        <v>109510</v>
      </c>
      <c r="L151" s="434">
        <f>신규_공종별내역서!I8</f>
        <v>0</v>
      </c>
      <c r="M151" s="434">
        <f>신규_공종별내역서!J8</f>
        <v>0</v>
      </c>
      <c r="N151" s="434">
        <f t="shared" si="5"/>
        <v>3179</v>
      </c>
      <c r="O151" s="434">
        <f>신규_공종별내역서!K8</f>
        <v>149413</v>
      </c>
      <c r="P151" s="684"/>
      <c r="Q151" s="684"/>
      <c r="R151" s="688"/>
    </row>
    <row r="152" spans="1:32" s="426" customFormat="1" ht="23.1" customHeight="1">
      <c r="A152" s="423"/>
      <c r="B152" s="423"/>
      <c r="C152" s="423"/>
      <c r="D152" s="691" t="str">
        <f>신규_공종별내역서!A9</f>
        <v>난연 비닐 절연 접지용전선(F-GV)</v>
      </c>
      <c r="E152" s="691" t="str">
        <f>신규_공종별내역서!B9</f>
        <v>0.6/1kV  16㎟</v>
      </c>
      <c r="F152" s="689" t="str">
        <f>신규_공종별내역서!C9</f>
        <v>m</v>
      </c>
      <c r="G152" s="433"/>
      <c r="H152" s="433"/>
      <c r="I152" s="433"/>
      <c r="J152" s="433"/>
      <c r="K152" s="433"/>
      <c r="L152" s="433"/>
      <c r="M152" s="433"/>
      <c r="N152" s="433">
        <f t="shared" si="5"/>
        <v>0</v>
      </c>
      <c r="O152" s="433"/>
      <c r="P152" s="683">
        <f>G153-G152</f>
        <v>165</v>
      </c>
      <c r="Q152" s="683">
        <f>O153-O152</f>
        <v>730950</v>
      </c>
      <c r="R152" s="687" t="str">
        <f>신규_공종별내역서!L9</f>
        <v>신규호표 5</v>
      </c>
    </row>
    <row r="153" spans="1:32" ht="23.1" customHeight="1">
      <c r="A153" s="412"/>
      <c r="B153" s="412"/>
      <c r="C153" s="412"/>
      <c r="D153" s="692"/>
      <c r="E153" s="692"/>
      <c r="F153" s="690"/>
      <c r="G153" s="434">
        <f>신규_공종별내역서!D9</f>
        <v>165</v>
      </c>
      <c r="H153" s="434">
        <f>신규_공종별내역서!E9</f>
        <v>1963</v>
      </c>
      <c r="I153" s="434">
        <f>신규_공종별내역서!F9</f>
        <v>323895</v>
      </c>
      <c r="J153" s="434">
        <f>신규_공종별내역서!G9</f>
        <v>2467</v>
      </c>
      <c r="K153" s="434">
        <f>신규_공종별내역서!H9</f>
        <v>407055</v>
      </c>
      <c r="L153" s="434">
        <f>신규_공종별내역서!I9</f>
        <v>0</v>
      </c>
      <c r="M153" s="434">
        <f>신규_공종별내역서!J9</f>
        <v>0</v>
      </c>
      <c r="N153" s="434">
        <f t="shared" si="5"/>
        <v>4430</v>
      </c>
      <c r="O153" s="434">
        <f>신규_공종별내역서!K9</f>
        <v>730950</v>
      </c>
      <c r="P153" s="684"/>
      <c r="Q153" s="684"/>
      <c r="R153" s="688"/>
    </row>
    <row r="154" spans="1:32" s="426" customFormat="1" ht="23.1" customHeight="1">
      <c r="A154" s="423"/>
      <c r="B154" s="423"/>
      <c r="C154" s="423"/>
      <c r="D154" s="691" t="str">
        <f>신규_공종별내역서!A9</f>
        <v>난연 비닐 절연 접지용전선(F-GV)</v>
      </c>
      <c r="E154" s="691" t="str">
        <f>신규_공종별내역서!B9</f>
        <v>0.6/1kV  16㎟</v>
      </c>
      <c r="F154" s="689" t="str">
        <f>신규_공종별내역서!C9</f>
        <v>m</v>
      </c>
      <c r="G154" s="433"/>
      <c r="H154" s="433"/>
      <c r="I154" s="433"/>
      <c r="J154" s="433"/>
      <c r="K154" s="433"/>
      <c r="L154" s="433"/>
      <c r="M154" s="433"/>
      <c r="N154" s="433">
        <f t="shared" si="5"/>
        <v>0</v>
      </c>
      <c r="O154" s="433"/>
      <c r="P154" s="683">
        <f>G155-G154</f>
        <v>165</v>
      </c>
      <c r="Q154" s="683">
        <f>O155-O154</f>
        <v>730950</v>
      </c>
      <c r="R154" s="687" t="str">
        <f>신규_공종별내역서!L9</f>
        <v>신규호표 5</v>
      </c>
    </row>
    <row r="155" spans="1:32" ht="23.1" customHeight="1">
      <c r="A155" s="412"/>
      <c r="B155" s="412"/>
      <c r="C155" s="412"/>
      <c r="D155" s="692"/>
      <c r="E155" s="692"/>
      <c r="F155" s="690"/>
      <c r="G155" s="434">
        <f>신규_공종별내역서!D9</f>
        <v>165</v>
      </c>
      <c r="H155" s="434">
        <f>신규_공종별내역서!E9</f>
        <v>1963</v>
      </c>
      <c r="I155" s="434">
        <f>신규_공종별내역서!F9</f>
        <v>323895</v>
      </c>
      <c r="J155" s="434">
        <f>신규_공종별내역서!G9</f>
        <v>2467</v>
      </c>
      <c r="K155" s="434">
        <f>신규_공종별내역서!H9</f>
        <v>407055</v>
      </c>
      <c r="L155" s="434">
        <f>신규_공종별내역서!I9</f>
        <v>0</v>
      </c>
      <c r="M155" s="434">
        <f>신규_공종별내역서!J9</f>
        <v>0</v>
      </c>
      <c r="N155" s="434">
        <f t="shared" si="5"/>
        <v>4430</v>
      </c>
      <c r="O155" s="434">
        <f>신규_공종별내역서!K9</f>
        <v>730950</v>
      </c>
      <c r="P155" s="684"/>
      <c r="Q155" s="684"/>
      <c r="R155" s="688"/>
    </row>
    <row r="156" spans="1:32" s="426" customFormat="1" ht="23.1" customHeight="1">
      <c r="A156" s="423"/>
      <c r="B156" s="423"/>
      <c r="C156" s="423"/>
      <c r="D156" s="691" t="str">
        <f>신규_공종별내역서!A10</f>
        <v>난연 비닐 절연 접지용전선(F-GV)</v>
      </c>
      <c r="E156" s="691" t="str">
        <f>신규_공종별내역서!B10</f>
        <v>0.6/1kV  25㎟</v>
      </c>
      <c r="F156" s="689" t="str">
        <f>신규_공종별내역서!C10</f>
        <v>m</v>
      </c>
      <c r="G156" s="433"/>
      <c r="H156" s="433"/>
      <c r="I156" s="433"/>
      <c r="J156" s="433"/>
      <c r="K156" s="433"/>
      <c r="L156" s="433"/>
      <c r="M156" s="433"/>
      <c r="N156" s="433">
        <f t="shared" si="5"/>
        <v>0</v>
      </c>
      <c r="O156" s="433"/>
      <c r="P156" s="683">
        <f>G157-G156</f>
        <v>228</v>
      </c>
      <c r="Q156" s="683">
        <f>O157-O156</f>
        <v>1435488</v>
      </c>
      <c r="R156" s="687" t="str">
        <f>신규_공종별내역서!L10</f>
        <v>신규호표 6</v>
      </c>
    </row>
    <row r="157" spans="1:32" ht="23.1" customHeight="1">
      <c r="A157" s="412"/>
      <c r="B157" s="412"/>
      <c r="C157" s="412"/>
      <c r="D157" s="692"/>
      <c r="E157" s="692"/>
      <c r="F157" s="690"/>
      <c r="G157" s="434">
        <f>신규_공종별내역서!D10</f>
        <v>228</v>
      </c>
      <c r="H157" s="434">
        <f>신규_공종별내역서!E10</f>
        <v>3829</v>
      </c>
      <c r="I157" s="434">
        <f>신규_공종별내역서!F10</f>
        <v>873012</v>
      </c>
      <c r="J157" s="434">
        <f>신규_공종별내역서!G10</f>
        <v>2467</v>
      </c>
      <c r="K157" s="434">
        <f>신규_공종별내역서!H10</f>
        <v>562476</v>
      </c>
      <c r="L157" s="434">
        <f>신규_공종별내역서!I10</f>
        <v>0</v>
      </c>
      <c r="M157" s="434">
        <f>신규_공종별내역서!J10</f>
        <v>0</v>
      </c>
      <c r="N157" s="434">
        <f t="shared" si="5"/>
        <v>6296</v>
      </c>
      <c r="O157" s="434">
        <f>신규_공종별내역서!K10</f>
        <v>1435488</v>
      </c>
      <c r="P157" s="684"/>
      <c r="Q157" s="684"/>
      <c r="R157" s="688"/>
    </row>
    <row r="158" spans="1:32" s="426" customFormat="1" ht="23.1" customHeight="1">
      <c r="A158" s="423"/>
      <c r="B158" s="423"/>
      <c r="C158" s="423"/>
      <c r="D158" s="691" t="str">
        <f>신규_공종별내역서!A11</f>
        <v>난연 비닐 절연 접지용전선(F-GV)</v>
      </c>
      <c r="E158" s="691" t="str">
        <f>신규_공종별내역서!B11</f>
        <v>0.6/1kV  185㎟</v>
      </c>
      <c r="F158" s="689" t="str">
        <f>신규_공종별내역서!C11</f>
        <v>m</v>
      </c>
      <c r="G158" s="433"/>
      <c r="H158" s="433"/>
      <c r="I158" s="433"/>
      <c r="J158" s="433"/>
      <c r="K158" s="433"/>
      <c r="L158" s="433"/>
      <c r="M158" s="433"/>
      <c r="N158" s="433">
        <f t="shared" si="5"/>
        <v>0</v>
      </c>
      <c r="O158" s="433"/>
      <c r="P158" s="683">
        <f>G159-G158</f>
        <v>19.5</v>
      </c>
      <c r="Q158" s="683">
        <f>O159-O158</f>
        <v>601711</v>
      </c>
      <c r="R158" s="687" t="str">
        <f>신규_공종별내역서!L11</f>
        <v>신규호표 7</v>
      </c>
    </row>
    <row r="159" spans="1:32" ht="23.1" customHeight="1">
      <c r="A159" s="412"/>
      <c r="B159" s="412"/>
      <c r="C159" s="412"/>
      <c r="D159" s="692"/>
      <c r="E159" s="692"/>
      <c r="F159" s="690"/>
      <c r="G159" s="434">
        <f>신규_공종별내역서!D11</f>
        <v>19.5</v>
      </c>
      <c r="H159" s="434">
        <f>신규_공종별내역서!E11</f>
        <v>25923</v>
      </c>
      <c r="I159" s="434">
        <f>신규_공종별내역서!F11</f>
        <v>505498</v>
      </c>
      <c r="J159" s="434">
        <f>신규_공종별내역서!G11</f>
        <v>4934</v>
      </c>
      <c r="K159" s="434">
        <f>신규_공종별내역서!H11</f>
        <v>96213</v>
      </c>
      <c r="L159" s="434">
        <f>신규_공종별내역서!I11</f>
        <v>0</v>
      </c>
      <c r="M159" s="434">
        <f>신규_공종별내역서!J11</f>
        <v>0</v>
      </c>
      <c r="N159" s="434">
        <f t="shared" si="5"/>
        <v>30857</v>
      </c>
      <c r="O159" s="434">
        <f>신규_공종별내역서!K11</f>
        <v>601711</v>
      </c>
      <c r="P159" s="684"/>
      <c r="Q159" s="684"/>
      <c r="R159" s="688"/>
    </row>
    <row r="160" spans="1:32" s="426" customFormat="1" ht="23.1" customHeight="1">
      <c r="A160" s="423"/>
      <c r="B160" s="423"/>
      <c r="C160" s="423"/>
      <c r="D160" s="691" t="str">
        <f>신규_공종별내역서!A12</f>
        <v>0.6/1kV 난연 전력 케이블(F-CV)-4열동시</v>
      </c>
      <c r="E160" s="691" t="str">
        <f>신규_공종별내역서!B12</f>
        <v>1C 50㎟</v>
      </c>
      <c r="F160" s="689" t="str">
        <f>신규_공종별내역서!C12</f>
        <v>m</v>
      </c>
      <c r="G160" s="433"/>
      <c r="H160" s="433"/>
      <c r="I160" s="433"/>
      <c r="J160" s="433"/>
      <c r="K160" s="433"/>
      <c r="L160" s="433"/>
      <c r="M160" s="433"/>
      <c r="N160" s="433">
        <f t="shared" si="5"/>
        <v>0</v>
      </c>
      <c r="O160" s="433"/>
      <c r="P160" s="683">
        <f>G161-G160</f>
        <v>912</v>
      </c>
      <c r="Q160" s="683">
        <f>O161-O160</f>
        <v>9128208</v>
      </c>
      <c r="R160" s="687" t="str">
        <f>신규_공종별내역서!L12</f>
        <v>신규호표 8</v>
      </c>
    </row>
    <row r="161" spans="1:32" ht="23.1" customHeight="1">
      <c r="A161" s="412"/>
      <c r="B161" s="412"/>
      <c r="C161" s="412"/>
      <c r="D161" s="692"/>
      <c r="E161" s="692"/>
      <c r="F161" s="690"/>
      <c r="G161" s="434">
        <f>신규_공종별내역서!D12</f>
        <v>912</v>
      </c>
      <c r="H161" s="434">
        <f>신규_공종별내역서!E12</f>
        <v>7564</v>
      </c>
      <c r="I161" s="434">
        <f>신규_공종별내역서!F12</f>
        <v>6898368</v>
      </c>
      <c r="J161" s="434">
        <f>신규_공종별내역서!G12</f>
        <v>2445</v>
      </c>
      <c r="K161" s="434">
        <f>신규_공종별내역서!H12</f>
        <v>2229840</v>
      </c>
      <c r="L161" s="434">
        <f>신규_공종별내역서!I12</f>
        <v>0</v>
      </c>
      <c r="M161" s="434">
        <f>신규_공종별내역서!J12</f>
        <v>0</v>
      </c>
      <c r="N161" s="434">
        <f t="shared" si="5"/>
        <v>10009</v>
      </c>
      <c r="O161" s="434">
        <f>신규_공종별내역서!K12</f>
        <v>9128208</v>
      </c>
      <c r="P161" s="684"/>
      <c r="Q161" s="684"/>
      <c r="R161" s="688"/>
    </row>
    <row r="162" spans="1:32" s="426" customFormat="1" ht="23.1" customHeight="1">
      <c r="A162" s="423"/>
      <c r="B162" s="423"/>
      <c r="C162" s="423"/>
      <c r="D162" s="691" t="str">
        <f>신규_공종별내역서!A13</f>
        <v>0.6/1kV 난연 전력 케이블(F-CV)-4열동시</v>
      </c>
      <c r="E162" s="691" t="str">
        <f>신규_공종별내역서!B13</f>
        <v>1C 185㎟</v>
      </c>
      <c r="F162" s="689" t="str">
        <f>신규_공종별내역서!C13</f>
        <v>m</v>
      </c>
      <c r="G162" s="433"/>
      <c r="H162" s="433"/>
      <c r="I162" s="433"/>
      <c r="J162" s="433"/>
      <c r="K162" s="433"/>
      <c r="L162" s="433"/>
      <c r="M162" s="433"/>
      <c r="N162" s="433">
        <f t="shared" si="5"/>
        <v>0</v>
      </c>
      <c r="O162" s="433"/>
      <c r="P162" s="683">
        <f>G163-G162</f>
        <v>212</v>
      </c>
      <c r="Q162" s="683">
        <f>O163-O162</f>
        <v>7074016</v>
      </c>
      <c r="R162" s="687" t="str">
        <f>신규_공종별내역서!L13</f>
        <v>신규호표 9</v>
      </c>
    </row>
    <row r="163" spans="1:32" ht="23.1" customHeight="1">
      <c r="A163" s="412"/>
      <c r="B163" s="412"/>
      <c r="C163" s="412"/>
      <c r="D163" s="692"/>
      <c r="E163" s="692"/>
      <c r="F163" s="690"/>
      <c r="G163" s="434">
        <f>신규_공종별내역서!D13</f>
        <v>212</v>
      </c>
      <c r="H163" s="434">
        <f>신규_공종별내역서!E13</f>
        <v>28240</v>
      </c>
      <c r="I163" s="434">
        <f>신규_공종별내역서!F13</f>
        <v>5986880</v>
      </c>
      <c r="J163" s="434">
        <f>신규_공종별내역서!G13</f>
        <v>5128</v>
      </c>
      <c r="K163" s="434">
        <f>신규_공종별내역서!H13</f>
        <v>1087136</v>
      </c>
      <c r="L163" s="434">
        <f>신규_공종별내역서!I13</f>
        <v>0</v>
      </c>
      <c r="M163" s="434">
        <f>신규_공종별내역서!J13</f>
        <v>0</v>
      </c>
      <c r="N163" s="434">
        <f t="shared" si="5"/>
        <v>33368</v>
      </c>
      <c r="O163" s="434">
        <f>신규_공종별내역서!K13</f>
        <v>7074016</v>
      </c>
      <c r="P163" s="684"/>
      <c r="Q163" s="684"/>
      <c r="R163" s="688"/>
    </row>
    <row r="164" spans="1:32" s="426" customFormat="1" ht="23.1" customHeight="1">
      <c r="A164" s="423"/>
      <c r="B164" s="423"/>
      <c r="C164" s="423"/>
      <c r="D164" s="691" t="str">
        <f>신규_공종별내역서!A14</f>
        <v>0.6/1kV 난연 전력 케이블(F-CV)</v>
      </c>
      <c r="E164" s="691" t="str">
        <f>신규_공종별내역서!B14</f>
        <v>2C 4㎟</v>
      </c>
      <c r="F164" s="689" t="str">
        <f>신규_공종별내역서!C14</f>
        <v>m</v>
      </c>
      <c r="G164" s="433"/>
      <c r="H164" s="433"/>
      <c r="I164" s="433"/>
      <c r="J164" s="433"/>
      <c r="K164" s="433"/>
      <c r="L164" s="433"/>
      <c r="M164" s="433"/>
      <c r="N164" s="433">
        <f t="shared" si="5"/>
        <v>0</v>
      </c>
      <c r="O164" s="433"/>
      <c r="P164" s="683">
        <f>G165-G164</f>
        <v>72</v>
      </c>
      <c r="Q164" s="683">
        <f>O165-O164</f>
        <v>414936</v>
      </c>
      <c r="R164" s="687" t="str">
        <f>신규_공종별내역서!L14</f>
        <v>신규호표 10</v>
      </c>
      <c r="AF164" s="426">
        <v>7069812</v>
      </c>
    </row>
    <row r="165" spans="1:32" ht="23.1" customHeight="1">
      <c r="A165" s="412"/>
      <c r="B165" s="412"/>
      <c r="C165" s="412"/>
      <c r="D165" s="692"/>
      <c r="E165" s="692"/>
      <c r="F165" s="690"/>
      <c r="G165" s="434">
        <f>신규_공종별내역서!D14</f>
        <v>72</v>
      </c>
      <c r="H165" s="434">
        <f>신규_공종별내역서!E14</f>
        <v>1677</v>
      </c>
      <c r="I165" s="434">
        <f>신규_공종별내역서!F14</f>
        <v>120744</v>
      </c>
      <c r="J165" s="434">
        <f>신규_공종별내역서!G14</f>
        <v>4086</v>
      </c>
      <c r="K165" s="434">
        <f>신규_공종별내역서!H14</f>
        <v>294192</v>
      </c>
      <c r="L165" s="434">
        <f>신규_공종별내역서!I14</f>
        <v>0</v>
      </c>
      <c r="M165" s="434">
        <f>신규_공종별내역서!J14</f>
        <v>0</v>
      </c>
      <c r="N165" s="434">
        <f t="shared" si="5"/>
        <v>5763</v>
      </c>
      <c r="O165" s="434">
        <f>신규_공종별내역서!K14</f>
        <v>414936</v>
      </c>
      <c r="P165" s="684"/>
      <c r="Q165" s="684"/>
      <c r="R165" s="688"/>
      <c r="AF165" s="422">
        <f ca="1">TRUNC([2]!sumcol(0,AF115:AF143))</f>
        <v>0</v>
      </c>
    </row>
    <row r="166" spans="1:32" s="426" customFormat="1" ht="23.1" customHeight="1">
      <c r="A166" s="423"/>
      <c r="B166" s="423"/>
      <c r="C166" s="423"/>
      <c r="D166" s="691" t="str">
        <f>신규_공종별내역서!A15</f>
        <v>0.6/1kV 난연 전력 케이블(F-CV)</v>
      </c>
      <c r="E166" s="691" t="str">
        <f>신규_공종별내역서!B15</f>
        <v>4C 6㎟</v>
      </c>
      <c r="F166" s="689" t="str">
        <f>신규_공종별내역서!C15</f>
        <v>m</v>
      </c>
      <c r="G166" s="433"/>
      <c r="H166" s="433"/>
      <c r="I166" s="433"/>
      <c r="J166" s="433"/>
      <c r="K166" s="433"/>
      <c r="L166" s="433"/>
      <c r="M166" s="433"/>
      <c r="N166" s="433">
        <f t="shared" si="5"/>
        <v>0</v>
      </c>
      <c r="O166" s="433"/>
      <c r="P166" s="683">
        <f>G167-G166</f>
        <v>47</v>
      </c>
      <c r="Q166" s="683">
        <f>O167-O166</f>
        <v>624348</v>
      </c>
      <c r="R166" s="687" t="str">
        <f>신규_공종별내역서!L15</f>
        <v>신규호표 11</v>
      </c>
    </row>
    <row r="167" spans="1:32" ht="23.1" customHeight="1">
      <c r="A167" s="412"/>
      <c r="B167" s="412"/>
      <c r="C167" s="412"/>
      <c r="D167" s="692"/>
      <c r="E167" s="692"/>
      <c r="F167" s="690"/>
      <c r="G167" s="434">
        <f>신규_공종별내역서!D15</f>
        <v>47</v>
      </c>
      <c r="H167" s="434">
        <f>신규_공종별내역서!E15</f>
        <v>4046</v>
      </c>
      <c r="I167" s="434">
        <f>신규_공종별내역서!F15</f>
        <v>190162</v>
      </c>
      <c r="J167" s="434">
        <f>신규_공종별내역서!G15</f>
        <v>9238</v>
      </c>
      <c r="K167" s="434">
        <f>신규_공종별내역서!H15</f>
        <v>434186</v>
      </c>
      <c r="L167" s="434">
        <f>신규_공종별내역서!I15</f>
        <v>0</v>
      </c>
      <c r="M167" s="434">
        <f>신규_공종별내역서!J15</f>
        <v>0</v>
      </c>
      <c r="N167" s="434">
        <f t="shared" si="5"/>
        <v>13284</v>
      </c>
      <c r="O167" s="434">
        <f>신규_공종별내역서!K15</f>
        <v>624348</v>
      </c>
      <c r="P167" s="684"/>
      <c r="Q167" s="684"/>
      <c r="R167" s="688"/>
    </row>
    <row r="168" spans="1:32" s="426" customFormat="1" ht="23.1" customHeight="1">
      <c r="A168" s="423"/>
      <c r="B168" s="423"/>
      <c r="C168" s="423"/>
      <c r="D168" s="691" t="str">
        <f>신규_공종별내역서!A16</f>
        <v>0.6/1kV 난연 전력 케이블(F-CV)</v>
      </c>
      <c r="E168" s="691" t="str">
        <f>신규_공종별내역서!B16</f>
        <v>4C 16㎟</v>
      </c>
      <c r="F168" s="689" t="str">
        <f>신규_공종별내역서!C16</f>
        <v>m</v>
      </c>
      <c r="G168" s="433"/>
      <c r="H168" s="433"/>
      <c r="I168" s="433"/>
      <c r="J168" s="433"/>
      <c r="K168" s="433"/>
      <c r="L168" s="433"/>
      <c r="M168" s="433"/>
      <c r="N168" s="433">
        <f t="shared" si="5"/>
        <v>0</v>
      </c>
      <c r="O168" s="433"/>
      <c r="P168" s="683">
        <f>G169-G168</f>
        <v>165</v>
      </c>
      <c r="Q168" s="683">
        <f>O169-O168</f>
        <v>4332240</v>
      </c>
      <c r="R168" s="687" t="str">
        <f>신규_공종별내역서!L16</f>
        <v>신규호표 12</v>
      </c>
    </row>
    <row r="169" spans="1:32" ht="23.1" customHeight="1">
      <c r="A169" s="412"/>
      <c r="B169" s="412"/>
      <c r="C169" s="412"/>
      <c r="D169" s="692"/>
      <c r="E169" s="692"/>
      <c r="F169" s="690"/>
      <c r="G169" s="434">
        <f>신규_공종별내역서!D16</f>
        <v>165</v>
      </c>
      <c r="H169" s="434">
        <f>신규_공종별내역서!E16</f>
        <v>10984</v>
      </c>
      <c r="I169" s="434">
        <f>신규_공종별내역서!F16</f>
        <v>1812360</v>
      </c>
      <c r="J169" s="434">
        <f>신규_공종별내역서!G16</f>
        <v>15272</v>
      </c>
      <c r="K169" s="434">
        <f>신규_공종별내역서!H16</f>
        <v>2519880</v>
      </c>
      <c r="L169" s="434">
        <f>신규_공종별내역서!I16</f>
        <v>0</v>
      </c>
      <c r="M169" s="434">
        <f>신규_공종별내역서!J16</f>
        <v>0</v>
      </c>
      <c r="N169" s="434">
        <f t="shared" si="5"/>
        <v>26256</v>
      </c>
      <c r="O169" s="434">
        <f>신규_공종별내역서!K16</f>
        <v>4332240</v>
      </c>
      <c r="P169" s="684"/>
      <c r="Q169" s="684"/>
      <c r="R169" s="688"/>
    </row>
    <row r="170" spans="1:32" s="426" customFormat="1" ht="23.1" customHeight="1">
      <c r="A170" s="423"/>
      <c r="B170" s="423"/>
      <c r="C170" s="423"/>
      <c r="D170" s="691" t="str">
        <f>신규_공종별내역서!A17</f>
        <v>경고테이프 포설</v>
      </c>
      <c r="E170" s="691" t="str">
        <f>신규_공종별내역서!B17</f>
        <v>저압용</v>
      </c>
      <c r="F170" s="689" t="str">
        <f>신규_공종별내역서!C17</f>
        <v>M</v>
      </c>
      <c r="G170" s="433"/>
      <c r="H170" s="433"/>
      <c r="I170" s="433"/>
      <c r="J170" s="433"/>
      <c r="K170" s="433"/>
      <c r="L170" s="433"/>
      <c r="M170" s="433"/>
      <c r="N170" s="433">
        <f t="shared" si="5"/>
        <v>0</v>
      </c>
      <c r="O170" s="433"/>
      <c r="P170" s="683">
        <f>G171-G170</f>
        <v>252.5</v>
      </c>
      <c r="Q170" s="683">
        <f>O171-O170</f>
        <v>135340</v>
      </c>
      <c r="R170" s="687" t="str">
        <f>신규_공종별내역서!L17</f>
        <v>신규호표 13</v>
      </c>
    </row>
    <row r="171" spans="1:32" ht="23.1" customHeight="1">
      <c r="A171" s="412"/>
      <c r="B171" s="412"/>
      <c r="C171" s="412"/>
      <c r="D171" s="692"/>
      <c r="E171" s="692"/>
      <c r="F171" s="690"/>
      <c r="G171" s="434">
        <f>신규_공종별내역서!D17</f>
        <v>252.5</v>
      </c>
      <c r="H171" s="434">
        <f>신규_공종별내역서!E17</f>
        <v>270</v>
      </c>
      <c r="I171" s="434">
        <f>신규_공종별내역서!F17</f>
        <v>68175</v>
      </c>
      <c r="J171" s="434">
        <f>신규_공종별내역서!G17</f>
        <v>266</v>
      </c>
      <c r="K171" s="434">
        <f>신규_공종별내역서!H17</f>
        <v>67165</v>
      </c>
      <c r="L171" s="434">
        <f>신규_공종별내역서!I17</f>
        <v>0</v>
      </c>
      <c r="M171" s="434">
        <f>신규_공종별내역서!J17</f>
        <v>0</v>
      </c>
      <c r="N171" s="434">
        <f t="shared" si="5"/>
        <v>536</v>
      </c>
      <c r="O171" s="434">
        <f>신규_공종별내역서!K17</f>
        <v>135340</v>
      </c>
      <c r="P171" s="684"/>
      <c r="Q171" s="684"/>
      <c r="R171" s="688"/>
    </row>
    <row r="172" spans="1:32" s="426" customFormat="1" ht="23.1" customHeight="1">
      <c r="A172" s="423"/>
      <c r="B172" s="423"/>
      <c r="C172" s="423"/>
      <c r="D172" s="691" t="str">
        <f>신규_공종별내역서!A18</f>
        <v>러그단자</v>
      </c>
      <c r="E172" s="691" t="str">
        <f>신규_공종별내역서!B18</f>
        <v>동관단자 1H 16㎟</v>
      </c>
      <c r="F172" s="689" t="str">
        <f>신규_공종별내역서!C18</f>
        <v>개</v>
      </c>
      <c r="G172" s="433"/>
      <c r="H172" s="433"/>
      <c r="I172" s="433"/>
      <c r="J172" s="433"/>
      <c r="K172" s="433"/>
      <c r="L172" s="433"/>
      <c r="M172" s="433"/>
      <c r="N172" s="433">
        <f t="shared" si="5"/>
        <v>0</v>
      </c>
      <c r="O172" s="433"/>
      <c r="P172" s="683">
        <f>G173-G172</f>
        <v>20</v>
      </c>
      <c r="Q172" s="683">
        <f>O173-O172</f>
        <v>430220</v>
      </c>
      <c r="R172" s="687" t="str">
        <f>신규_공종별내역서!L18</f>
        <v>신규호표 14</v>
      </c>
    </row>
    <row r="173" spans="1:32" ht="23.1" customHeight="1">
      <c r="A173" s="412"/>
      <c r="B173" s="412"/>
      <c r="C173" s="412"/>
      <c r="D173" s="692"/>
      <c r="E173" s="692"/>
      <c r="F173" s="690"/>
      <c r="G173" s="434">
        <f>신규_공종별내역서!D18</f>
        <v>20</v>
      </c>
      <c r="H173" s="434">
        <f>신규_공종별내역서!E18</f>
        <v>824</v>
      </c>
      <c r="I173" s="434">
        <f>신규_공종별내역서!F18</f>
        <v>16480</v>
      </c>
      <c r="J173" s="434">
        <f>신규_공종별내역서!G18</f>
        <v>20687</v>
      </c>
      <c r="K173" s="434">
        <f>신규_공종별내역서!H18</f>
        <v>413740</v>
      </c>
      <c r="L173" s="434">
        <f>신규_공종별내역서!I18</f>
        <v>0</v>
      </c>
      <c r="M173" s="434">
        <f>신규_공종별내역서!J18</f>
        <v>0</v>
      </c>
      <c r="N173" s="434">
        <f t="shared" si="5"/>
        <v>21511</v>
      </c>
      <c r="O173" s="434">
        <f>신규_공종별내역서!K18</f>
        <v>430220</v>
      </c>
      <c r="P173" s="684"/>
      <c r="Q173" s="684"/>
      <c r="R173" s="688"/>
    </row>
    <row r="174" spans="1:32" s="426" customFormat="1" ht="23.1" customHeight="1">
      <c r="A174" s="423"/>
      <c r="B174" s="423"/>
      <c r="C174" s="423"/>
      <c r="D174" s="691" t="str">
        <f>신규_공종별내역서!A19</f>
        <v>러그단자</v>
      </c>
      <c r="E174" s="691" t="str">
        <f>신규_공종별내역서!B19</f>
        <v>동관단자 1H 25㎟</v>
      </c>
      <c r="F174" s="689" t="str">
        <f>신규_공종별내역서!C19</f>
        <v>개</v>
      </c>
      <c r="G174" s="433"/>
      <c r="H174" s="433"/>
      <c r="I174" s="433"/>
      <c r="J174" s="433"/>
      <c r="K174" s="433"/>
      <c r="L174" s="433"/>
      <c r="M174" s="433"/>
      <c r="N174" s="433">
        <f t="shared" si="5"/>
        <v>0</v>
      </c>
      <c r="O174" s="433"/>
      <c r="P174" s="683">
        <f>G175-G174</f>
        <v>6</v>
      </c>
      <c r="Q174" s="683">
        <f>O175-O174</f>
        <v>96498</v>
      </c>
      <c r="R174" s="687" t="str">
        <f>신규_공종별내역서!L19</f>
        <v>신규호표 15</v>
      </c>
    </row>
    <row r="175" spans="1:32" ht="23.1" customHeight="1">
      <c r="A175" s="412"/>
      <c r="B175" s="412"/>
      <c r="C175" s="412"/>
      <c r="D175" s="692"/>
      <c r="E175" s="692"/>
      <c r="F175" s="690"/>
      <c r="G175" s="434">
        <f>신규_공종별내역서!D19</f>
        <v>6</v>
      </c>
      <c r="H175" s="434">
        <f>신규_공종별내역서!E19</f>
        <v>760</v>
      </c>
      <c r="I175" s="434">
        <f>신규_공종별내역서!F19</f>
        <v>4560</v>
      </c>
      <c r="J175" s="434">
        <f>신규_공종별내역서!G19</f>
        <v>15323</v>
      </c>
      <c r="K175" s="434">
        <f>신규_공종별내역서!H19</f>
        <v>91938</v>
      </c>
      <c r="L175" s="434">
        <f>신규_공종별내역서!I19</f>
        <v>0</v>
      </c>
      <c r="M175" s="434">
        <f>신규_공종별내역서!J19</f>
        <v>0</v>
      </c>
      <c r="N175" s="434">
        <f t="shared" si="5"/>
        <v>16083</v>
      </c>
      <c r="O175" s="434">
        <f>신규_공종별내역서!K19</f>
        <v>96498</v>
      </c>
      <c r="P175" s="684"/>
      <c r="Q175" s="684"/>
      <c r="R175" s="688"/>
    </row>
    <row r="176" spans="1:32" s="426" customFormat="1" ht="23.1" customHeight="1">
      <c r="A176" s="423"/>
      <c r="B176" s="423"/>
      <c r="C176" s="423"/>
      <c r="D176" s="691" t="str">
        <f>신규_공종별내역서!A20</f>
        <v>러그단자</v>
      </c>
      <c r="E176" s="691" t="str">
        <f>신규_공종별내역서!B20</f>
        <v>동관단자 1H 50㎟</v>
      </c>
      <c r="F176" s="689" t="str">
        <f>신규_공종별내역서!C20</f>
        <v>개</v>
      </c>
      <c r="G176" s="433"/>
      <c r="H176" s="433"/>
      <c r="I176" s="433"/>
      <c r="J176" s="433"/>
      <c r="K176" s="433"/>
      <c r="L176" s="433"/>
      <c r="M176" s="433"/>
      <c r="N176" s="433">
        <f t="shared" si="5"/>
        <v>0</v>
      </c>
      <c r="O176" s="433"/>
      <c r="P176" s="683">
        <f>G177-G176</f>
        <v>24</v>
      </c>
      <c r="Q176" s="683">
        <f>O177-O176</f>
        <v>772248</v>
      </c>
      <c r="R176" s="687" t="str">
        <f>신규_공종별내역서!L20</f>
        <v>신규호표 16</v>
      </c>
    </row>
    <row r="177" spans="1:18" ht="23.1" customHeight="1">
      <c r="A177" s="412"/>
      <c r="B177" s="412"/>
      <c r="C177" s="412"/>
      <c r="D177" s="692"/>
      <c r="E177" s="692"/>
      <c r="F177" s="690"/>
      <c r="G177" s="434">
        <f>신규_공종별내역서!D20</f>
        <v>24</v>
      </c>
      <c r="H177" s="434">
        <f>신규_공종별내역서!E20</f>
        <v>1530</v>
      </c>
      <c r="I177" s="434">
        <f>신규_공종별내역서!F20</f>
        <v>36720</v>
      </c>
      <c r="J177" s="434">
        <f>신규_공종별내역서!G20</f>
        <v>30647</v>
      </c>
      <c r="K177" s="434">
        <f>신규_공종별내역서!H20</f>
        <v>735528</v>
      </c>
      <c r="L177" s="434">
        <f>신규_공종별내역서!I20</f>
        <v>0</v>
      </c>
      <c r="M177" s="434">
        <f>신규_공종별내역서!J20</f>
        <v>0</v>
      </c>
      <c r="N177" s="434">
        <f t="shared" si="5"/>
        <v>32177</v>
      </c>
      <c r="O177" s="434">
        <f>신규_공종별내역서!K20</f>
        <v>772248</v>
      </c>
      <c r="P177" s="684"/>
      <c r="Q177" s="684"/>
      <c r="R177" s="688"/>
    </row>
    <row r="178" spans="1:18" s="426" customFormat="1" ht="23.1" customHeight="1">
      <c r="A178" s="423"/>
      <c r="B178" s="423"/>
      <c r="C178" s="423"/>
      <c r="D178" s="691" t="str">
        <f>신규_공종별내역서!A21</f>
        <v>러그단자</v>
      </c>
      <c r="E178" s="691" t="str">
        <f>신규_공종별내역서!B21</f>
        <v>동관단자 2H 185㎟</v>
      </c>
      <c r="F178" s="689" t="str">
        <f>신규_공종별내역서!C21</f>
        <v>개</v>
      </c>
      <c r="G178" s="433"/>
      <c r="H178" s="433"/>
      <c r="I178" s="433"/>
      <c r="J178" s="433"/>
      <c r="K178" s="433"/>
      <c r="L178" s="433"/>
      <c r="M178" s="433"/>
      <c r="N178" s="433">
        <f t="shared" si="5"/>
        <v>0</v>
      </c>
      <c r="O178" s="433"/>
      <c r="P178" s="683">
        <f>G179-G178</f>
        <v>27</v>
      </c>
      <c r="Q178" s="683">
        <f>O179-O178</f>
        <v>1584198</v>
      </c>
      <c r="R178" s="687" t="str">
        <f>신규_공종별내역서!L21</f>
        <v>신규호표 17</v>
      </c>
    </row>
    <row r="179" spans="1:18" ht="23.1" customHeight="1">
      <c r="A179" s="412"/>
      <c r="B179" s="412"/>
      <c r="C179" s="412"/>
      <c r="D179" s="692"/>
      <c r="E179" s="692"/>
      <c r="F179" s="690"/>
      <c r="G179" s="434">
        <f>신규_공종별내역서!D21</f>
        <v>27</v>
      </c>
      <c r="H179" s="434">
        <f>신규_공종별내역서!E21</f>
        <v>6574</v>
      </c>
      <c r="I179" s="434">
        <f>신규_공종별내역서!F21</f>
        <v>177498</v>
      </c>
      <c r="J179" s="434">
        <f>신규_공종별내역서!G21</f>
        <v>52100</v>
      </c>
      <c r="K179" s="434">
        <f>신규_공종별내역서!H21</f>
        <v>1406700</v>
      </c>
      <c r="L179" s="434">
        <f>신규_공종별내역서!I21</f>
        <v>0</v>
      </c>
      <c r="M179" s="434">
        <f>신규_공종별내역서!J21</f>
        <v>0</v>
      </c>
      <c r="N179" s="434">
        <f t="shared" si="5"/>
        <v>58674</v>
      </c>
      <c r="O179" s="434">
        <f>신규_공종별내역서!K21</f>
        <v>1584198</v>
      </c>
      <c r="P179" s="684"/>
      <c r="Q179" s="684"/>
      <c r="R179" s="688"/>
    </row>
    <row r="180" spans="1:18" s="426" customFormat="1" ht="23.1" customHeight="1">
      <c r="A180" s="423"/>
      <c r="B180" s="423"/>
      <c r="C180" s="423"/>
      <c r="D180" s="691" t="str">
        <f>신규_공종별내역서!A22</f>
        <v>핸드홀(수공1호)</v>
      </c>
      <c r="E180" s="691" t="str">
        <f>신규_공종별내역서!B22</f>
        <v>950*450*700</v>
      </c>
      <c r="F180" s="689" t="str">
        <f>신규_공종별내역서!C22</f>
        <v>조</v>
      </c>
      <c r="G180" s="433"/>
      <c r="H180" s="433"/>
      <c r="I180" s="433"/>
      <c r="J180" s="433"/>
      <c r="K180" s="433"/>
      <c r="L180" s="433"/>
      <c r="M180" s="433"/>
      <c r="N180" s="433">
        <f t="shared" si="5"/>
        <v>0</v>
      </c>
      <c r="O180" s="433"/>
      <c r="P180" s="683">
        <f>G181-G180</f>
        <v>3</v>
      </c>
      <c r="Q180" s="683">
        <f>O181-O180</f>
        <v>3592845</v>
      </c>
      <c r="R180" s="687" t="str">
        <f>신규_공종별내역서!L22</f>
        <v>신규호표 18</v>
      </c>
    </row>
    <row r="181" spans="1:18" ht="23.1" customHeight="1">
      <c r="A181" s="412"/>
      <c r="B181" s="412"/>
      <c r="C181" s="412"/>
      <c r="D181" s="692"/>
      <c r="E181" s="692"/>
      <c r="F181" s="690"/>
      <c r="G181" s="434">
        <f>신규_공종별내역서!D22</f>
        <v>3</v>
      </c>
      <c r="H181" s="434">
        <f>신규_공종별내역서!E22</f>
        <v>750497</v>
      </c>
      <c r="I181" s="434">
        <f>신규_공종별내역서!F22</f>
        <v>2251491</v>
      </c>
      <c r="J181" s="434">
        <f>신규_공종별내역서!G22</f>
        <v>436033</v>
      </c>
      <c r="K181" s="434">
        <f>신규_공종별내역서!H22</f>
        <v>1308099</v>
      </c>
      <c r="L181" s="434">
        <f>신규_공종별내역서!I22</f>
        <v>11085</v>
      </c>
      <c r="M181" s="434">
        <f>신규_공종별내역서!J22</f>
        <v>33255</v>
      </c>
      <c r="N181" s="434">
        <f t="shared" ref="N181:N218" si="6">H181+J181</f>
        <v>1186530</v>
      </c>
      <c r="O181" s="434">
        <f>신규_공종별내역서!K22</f>
        <v>3592845</v>
      </c>
      <c r="P181" s="684"/>
      <c r="Q181" s="684"/>
      <c r="R181" s="688"/>
    </row>
    <row r="182" spans="1:18" s="426" customFormat="1" ht="23.1" customHeight="1">
      <c r="A182" s="423"/>
      <c r="B182" s="423"/>
      <c r="C182" s="423"/>
      <c r="D182" s="691" t="str">
        <f>신규_공종별내역서!A23</f>
        <v>접지공사(접지봉매설)</v>
      </c>
      <c r="E182" s="691" t="str">
        <f>신규_공종별내역서!B23</f>
        <v/>
      </c>
      <c r="F182" s="689" t="str">
        <f>신규_공종별내역서!C23</f>
        <v>개소</v>
      </c>
      <c r="G182" s="433"/>
      <c r="H182" s="433"/>
      <c r="I182" s="433"/>
      <c r="J182" s="433"/>
      <c r="K182" s="433"/>
      <c r="L182" s="433"/>
      <c r="M182" s="433"/>
      <c r="N182" s="433">
        <f t="shared" si="6"/>
        <v>0</v>
      </c>
      <c r="O182" s="433"/>
      <c r="P182" s="683">
        <f>G183-G182</f>
        <v>1</v>
      </c>
      <c r="Q182" s="683">
        <f>O183-O182</f>
        <v>182231</v>
      </c>
      <c r="R182" s="687" t="str">
        <f>신규_공종별내역서!L23</f>
        <v>신규호표 19</v>
      </c>
    </row>
    <row r="183" spans="1:18" ht="23.1" customHeight="1">
      <c r="A183" s="412"/>
      <c r="B183" s="412"/>
      <c r="C183" s="412"/>
      <c r="D183" s="692"/>
      <c r="E183" s="692"/>
      <c r="F183" s="690"/>
      <c r="G183" s="434">
        <f>신규_공종별내역서!D23</f>
        <v>1</v>
      </c>
      <c r="H183" s="434">
        <f>신규_공종별내역서!E23</f>
        <v>52854</v>
      </c>
      <c r="I183" s="434">
        <f>신규_공종별내역서!F23</f>
        <v>52854</v>
      </c>
      <c r="J183" s="434">
        <f>신규_공종별내역서!G23</f>
        <v>126539</v>
      </c>
      <c r="K183" s="434">
        <f>신규_공종별내역서!H23</f>
        <v>126539</v>
      </c>
      <c r="L183" s="434">
        <f>신규_공종별내역서!I23</f>
        <v>2838</v>
      </c>
      <c r="M183" s="434">
        <f>신규_공종별내역서!J23</f>
        <v>2838</v>
      </c>
      <c r="N183" s="434">
        <f t="shared" si="6"/>
        <v>179393</v>
      </c>
      <c r="O183" s="434">
        <f>신규_공종별내역서!K23</f>
        <v>182231</v>
      </c>
      <c r="P183" s="684"/>
      <c r="Q183" s="684"/>
      <c r="R183" s="688"/>
    </row>
    <row r="184" spans="1:18" s="426" customFormat="1" ht="23.1" customHeight="1">
      <c r="A184" s="423"/>
      <c r="B184" s="423"/>
      <c r="C184" s="423"/>
      <c r="D184" s="691" t="str">
        <f>신규_공종별내역서!A24</f>
        <v>파상형 폴리에틸렌 전선관</v>
      </c>
      <c r="E184" s="691" t="str">
        <f>신규_공종별내역서!B24</f>
        <v>30mm</v>
      </c>
      <c r="F184" s="689" t="str">
        <f>신규_공종별내역서!C24</f>
        <v>M</v>
      </c>
      <c r="G184" s="433"/>
      <c r="H184" s="433"/>
      <c r="I184" s="433"/>
      <c r="J184" s="433"/>
      <c r="K184" s="433"/>
      <c r="L184" s="433"/>
      <c r="M184" s="433"/>
      <c r="N184" s="433">
        <f t="shared" si="6"/>
        <v>0</v>
      </c>
      <c r="O184" s="433"/>
      <c r="P184" s="683">
        <f>G185-G184</f>
        <v>70</v>
      </c>
      <c r="Q184" s="683">
        <f>O185-O184</f>
        <v>491540</v>
      </c>
      <c r="R184" s="687" t="str">
        <f>신규_공종별내역서!L24</f>
        <v>신규호표 20</v>
      </c>
    </row>
    <row r="185" spans="1:18" ht="23.1" customHeight="1">
      <c r="A185" s="412"/>
      <c r="B185" s="412"/>
      <c r="C185" s="412"/>
      <c r="D185" s="692"/>
      <c r="E185" s="692"/>
      <c r="F185" s="690"/>
      <c r="G185" s="434">
        <f>신규_공종별내역서!D24</f>
        <v>70</v>
      </c>
      <c r="H185" s="434">
        <f>신규_공종별내역서!E24</f>
        <v>487</v>
      </c>
      <c r="I185" s="434">
        <f>신규_공종별내역서!F24</f>
        <v>34090</v>
      </c>
      <c r="J185" s="434">
        <f>신규_공종별내역서!G24</f>
        <v>6535</v>
      </c>
      <c r="K185" s="434">
        <f>신규_공종별내역서!H24</f>
        <v>457450</v>
      </c>
      <c r="L185" s="434">
        <f>신규_공종별내역서!I24</f>
        <v>0</v>
      </c>
      <c r="M185" s="434">
        <f>신규_공종별내역서!J24</f>
        <v>0</v>
      </c>
      <c r="N185" s="434">
        <f t="shared" si="6"/>
        <v>7022</v>
      </c>
      <c r="O185" s="434">
        <f>신규_공종별내역서!K24</f>
        <v>491540</v>
      </c>
      <c r="P185" s="684"/>
      <c r="Q185" s="684"/>
      <c r="R185" s="688"/>
    </row>
    <row r="186" spans="1:18" s="426" customFormat="1" ht="23.1" customHeight="1">
      <c r="A186" s="423"/>
      <c r="B186" s="423"/>
      <c r="C186" s="423"/>
      <c r="D186" s="691" t="str">
        <f>신규_공종별내역서!A25</f>
        <v>합성수지 파형관(ELP)설치</v>
      </c>
      <c r="E186" s="691" t="str">
        <f>신규_공종별내역서!B25</f>
        <v>40mm</v>
      </c>
      <c r="F186" s="689" t="str">
        <f>신규_공종별내역서!C25</f>
        <v>M</v>
      </c>
      <c r="G186" s="433"/>
      <c r="H186" s="433"/>
      <c r="I186" s="433"/>
      <c r="J186" s="433"/>
      <c r="K186" s="433"/>
      <c r="L186" s="433"/>
      <c r="M186" s="433"/>
      <c r="N186" s="433">
        <f t="shared" si="6"/>
        <v>0</v>
      </c>
      <c r="O186" s="433"/>
      <c r="P186" s="683">
        <f>G187-G186</f>
        <v>45</v>
      </c>
      <c r="Q186" s="683">
        <f>O187-O186</f>
        <v>388530</v>
      </c>
      <c r="R186" s="687" t="str">
        <f>신규_공종별내역서!L25</f>
        <v>신규호표 21</v>
      </c>
    </row>
    <row r="187" spans="1:18" ht="23.1" customHeight="1">
      <c r="A187" s="412"/>
      <c r="B187" s="412"/>
      <c r="C187" s="412"/>
      <c r="D187" s="692"/>
      <c r="E187" s="692"/>
      <c r="F187" s="690"/>
      <c r="G187" s="434">
        <f>신규_공종별내역서!D25</f>
        <v>45</v>
      </c>
      <c r="H187" s="434">
        <f>신규_공종별내역서!E25</f>
        <v>638</v>
      </c>
      <c r="I187" s="434">
        <f>신규_공종별내역서!F25</f>
        <v>28710</v>
      </c>
      <c r="J187" s="434">
        <f>신규_공종별내역서!G25</f>
        <v>7996</v>
      </c>
      <c r="K187" s="434">
        <f>신규_공종별내역서!H25</f>
        <v>359820</v>
      </c>
      <c r="L187" s="434">
        <f>신규_공종별내역서!I25</f>
        <v>0</v>
      </c>
      <c r="M187" s="434">
        <f>신규_공종별내역서!J25</f>
        <v>0</v>
      </c>
      <c r="N187" s="434">
        <f t="shared" si="6"/>
        <v>8634</v>
      </c>
      <c r="O187" s="434">
        <f>신규_공종별내역서!K25</f>
        <v>388530</v>
      </c>
      <c r="P187" s="684"/>
      <c r="Q187" s="684"/>
      <c r="R187" s="688"/>
    </row>
    <row r="188" spans="1:18" s="426" customFormat="1" ht="23.1" customHeight="1">
      <c r="A188" s="423"/>
      <c r="B188" s="423"/>
      <c r="C188" s="423"/>
      <c r="D188" s="691" t="str">
        <f>신규_공종별내역서!A26</f>
        <v>합성수지 파형관(ELP)설치</v>
      </c>
      <c r="E188" s="691" t="str">
        <f>신규_공종별내역서!B26</f>
        <v>50mm</v>
      </c>
      <c r="F188" s="689" t="str">
        <f>신규_공종별내역서!C26</f>
        <v>M</v>
      </c>
      <c r="G188" s="433"/>
      <c r="H188" s="433"/>
      <c r="I188" s="433"/>
      <c r="J188" s="433"/>
      <c r="K188" s="433"/>
      <c r="L188" s="433"/>
      <c r="M188" s="433"/>
      <c r="N188" s="433">
        <f t="shared" si="6"/>
        <v>0</v>
      </c>
      <c r="O188" s="433"/>
      <c r="P188" s="683">
        <f>G189-G188</f>
        <v>172.5</v>
      </c>
      <c r="Q188" s="683">
        <f>O189-O188</f>
        <v>1016369</v>
      </c>
      <c r="R188" s="687" t="str">
        <f>신규_공종별내역서!L26</f>
        <v>신규호표 22</v>
      </c>
    </row>
    <row r="189" spans="1:18" ht="23.1" customHeight="1">
      <c r="A189" s="412"/>
      <c r="B189" s="412"/>
      <c r="C189" s="412"/>
      <c r="D189" s="692"/>
      <c r="E189" s="692"/>
      <c r="F189" s="690"/>
      <c r="G189" s="434">
        <f>신규_공종별내역서!D26</f>
        <v>172.5</v>
      </c>
      <c r="H189" s="434">
        <f>신규_공종별내역서!E26</f>
        <v>927</v>
      </c>
      <c r="I189" s="434">
        <f>신규_공종별내역서!F26</f>
        <v>159907</v>
      </c>
      <c r="J189" s="434">
        <f>신규_공종별내역서!G26</f>
        <v>4965</v>
      </c>
      <c r="K189" s="434">
        <f>신규_공종별내역서!H26</f>
        <v>856462</v>
      </c>
      <c r="L189" s="434">
        <f>신규_공종별내역서!I26</f>
        <v>0</v>
      </c>
      <c r="M189" s="434">
        <f>신규_공종별내역서!J26</f>
        <v>0</v>
      </c>
      <c r="N189" s="434">
        <f t="shared" si="6"/>
        <v>5892</v>
      </c>
      <c r="O189" s="434">
        <f>신규_공종별내역서!K26</f>
        <v>1016369</v>
      </c>
      <c r="P189" s="684"/>
      <c r="Q189" s="684"/>
      <c r="R189" s="688"/>
    </row>
    <row r="190" spans="1:18" s="426" customFormat="1" ht="23.1" customHeight="1">
      <c r="A190" s="423"/>
      <c r="B190" s="423"/>
      <c r="C190" s="423"/>
      <c r="D190" s="691" t="str">
        <f>신규_공종별내역서!A27</f>
        <v>합성수지 파형관(ELP)설치</v>
      </c>
      <c r="E190" s="691" t="str">
        <f>신규_공종별내역서!B27</f>
        <v>65mm</v>
      </c>
      <c r="F190" s="689" t="str">
        <f>신규_공종별내역서!C27</f>
        <v>M</v>
      </c>
      <c r="G190" s="433"/>
      <c r="H190" s="433"/>
      <c r="I190" s="433"/>
      <c r="J190" s="433"/>
      <c r="K190" s="433"/>
      <c r="L190" s="433"/>
      <c r="M190" s="433"/>
      <c r="N190" s="433">
        <f t="shared" si="6"/>
        <v>0</v>
      </c>
      <c r="O190" s="433"/>
      <c r="P190" s="683">
        <f>G191-G190</f>
        <v>220</v>
      </c>
      <c r="Q190" s="683">
        <f>O191-O190</f>
        <v>1615240</v>
      </c>
      <c r="R190" s="687" t="str">
        <f>신규_공종별내역서!L27</f>
        <v>신규호표 23</v>
      </c>
    </row>
    <row r="191" spans="1:18" ht="23.1" customHeight="1">
      <c r="A191" s="412"/>
      <c r="B191" s="412"/>
      <c r="C191" s="412"/>
      <c r="D191" s="692"/>
      <c r="E191" s="692"/>
      <c r="F191" s="690"/>
      <c r="G191" s="434">
        <f>신규_공종별내역서!D27</f>
        <v>220</v>
      </c>
      <c r="H191" s="434">
        <f>신규_공종별내역서!E27</f>
        <v>1117</v>
      </c>
      <c r="I191" s="434">
        <f>신규_공종별내역서!F27</f>
        <v>245740</v>
      </c>
      <c r="J191" s="434">
        <f>신규_공종별내역서!G27</f>
        <v>6225</v>
      </c>
      <c r="K191" s="434">
        <f>신규_공종별내역서!H27</f>
        <v>1369500</v>
      </c>
      <c r="L191" s="434">
        <f>신규_공종별내역서!I27</f>
        <v>0</v>
      </c>
      <c r="M191" s="434">
        <f>신규_공종별내역서!J27</f>
        <v>0</v>
      </c>
      <c r="N191" s="434">
        <f t="shared" si="6"/>
        <v>7342</v>
      </c>
      <c r="O191" s="434">
        <f>신규_공종별내역서!K27</f>
        <v>1615240</v>
      </c>
      <c r="P191" s="684"/>
      <c r="Q191" s="684"/>
      <c r="R191" s="688"/>
    </row>
    <row r="192" spans="1:18" s="426" customFormat="1" ht="23.1" customHeight="1">
      <c r="A192" s="423"/>
      <c r="B192" s="423"/>
      <c r="C192" s="423"/>
      <c r="D192" s="691" t="str">
        <f>신규_공종별내역서!A28</f>
        <v>합성수지 파형관(ELP)설치</v>
      </c>
      <c r="E192" s="691" t="str">
        <f>신규_공종별내역서!B28</f>
        <v>100mm</v>
      </c>
      <c r="F192" s="689" t="str">
        <f>신규_공종별내역서!C28</f>
        <v>M</v>
      </c>
      <c r="G192" s="433"/>
      <c r="H192" s="433"/>
      <c r="I192" s="433"/>
      <c r="J192" s="433"/>
      <c r="K192" s="433"/>
      <c r="L192" s="433"/>
      <c r="M192" s="433"/>
      <c r="N192" s="433">
        <f t="shared" si="6"/>
        <v>0</v>
      </c>
      <c r="O192" s="433"/>
      <c r="P192" s="683">
        <f>G193-G192</f>
        <v>45</v>
      </c>
      <c r="Q192" s="683">
        <f>O193-O192</f>
        <v>522720</v>
      </c>
      <c r="R192" s="687" t="str">
        <f>신규_공종별내역서!L28</f>
        <v>신규호표 24</v>
      </c>
    </row>
    <row r="193" spans="1:18" ht="23.1" customHeight="1">
      <c r="A193" s="412"/>
      <c r="B193" s="412"/>
      <c r="C193" s="412"/>
      <c r="D193" s="692"/>
      <c r="E193" s="692"/>
      <c r="F193" s="690"/>
      <c r="G193" s="434">
        <f>신규_공종별내역서!D28</f>
        <v>45</v>
      </c>
      <c r="H193" s="434">
        <f>신규_공종별내역서!E28</f>
        <v>2389</v>
      </c>
      <c r="I193" s="434">
        <f>신규_공종별내역서!F28</f>
        <v>107505</v>
      </c>
      <c r="J193" s="434">
        <f>신규_공종별내역서!G28</f>
        <v>9227</v>
      </c>
      <c r="K193" s="434">
        <f>신규_공종별내역서!H28</f>
        <v>415215</v>
      </c>
      <c r="L193" s="434">
        <f>신규_공종별내역서!I28</f>
        <v>0</v>
      </c>
      <c r="M193" s="434">
        <f>신규_공종별내역서!J28</f>
        <v>0</v>
      </c>
      <c r="N193" s="434">
        <f t="shared" si="6"/>
        <v>11616</v>
      </c>
      <c r="O193" s="434">
        <f>신규_공종별내역서!K28</f>
        <v>522720</v>
      </c>
      <c r="P193" s="684"/>
      <c r="Q193" s="684"/>
      <c r="R193" s="688"/>
    </row>
    <row r="194" spans="1:18" s="426" customFormat="1" ht="23.1" customHeight="1">
      <c r="A194" s="423"/>
      <c r="B194" s="423"/>
      <c r="C194" s="423"/>
      <c r="D194" s="691" t="str">
        <f>신규_공종별내역서!A29</f>
        <v>자립형 함체 기초</v>
      </c>
      <c r="E194" s="691" t="str">
        <f>신규_공종별내역서!B29</f>
        <v>1,000x1,000x500</v>
      </c>
      <c r="F194" s="689" t="str">
        <f>신규_공종별내역서!C29</f>
        <v>식</v>
      </c>
      <c r="G194" s="433"/>
      <c r="H194" s="433"/>
      <c r="I194" s="433"/>
      <c r="J194" s="433"/>
      <c r="K194" s="433"/>
      <c r="L194" s="433"/>
      <c r="M194" s="433"/>
      <c r="N194" s="433">
        <f t="shared" si="6"/>
        <v>0</v>
      </c>
      <c r="O194" s="433"/>
      <c r="P194" s="683">
        <f>G195-G194</f>
        <v>1</v>
      </c>
      <c r="Q194" s="683">
        <f>O195-O194</f>
        <v>179108</v>
      </c>
      <c r="R194" s="687" t="str">
        <f>신규_공종별내역서!L29</f>
        <v>신규호표 25</v>
      </c>
    </row>
    <row r="195" spans="1:18" ht="23.1" customHeight="1">
      <c r="A195" s="412"/>
      <c r="B195" s="412"/>
      <c r="C195" s="412"/>
      <c r="D195" s="692"/>
      <c r="E195" s="692"/>
      <c r="F195" s="690"/>
      <c r="G195" s="434">
        <f>신규_공종별내역서!D29</f>
        <v>1</v>
      </c>
      <c r="H195" s="434">
        <f>신규_공종별내역서!E29</f>
        <v>72386</v>
      </c>
      <c r="I195" s="434">
        <f>신규_공종별내역서!F29</f>
        <v>72386</v>
      </c>
      <c r="J195" s="434">
        <f>신규_공종별내역서!G29</f>
        <v>105831</v>
      </c>
      <c r="K195" s="434">
        <f>신규_공종별내역서!H29</f>
        <v>105831</v>
      </c>
      <c r="L195" s="434">
        <f>신규_공종별내역서!I29</f>
        <v>891</v>
      </c>
      <c r="M195" s="434">
        <f>신규_공종별내역서!J29</f>
        <v>891</v>
      </c>
      <c r="N195" s="434">
        <f t="shared" si="6"/>
        <v>178217</v>
      </c>
      <c r="O195" s="434">
        <f>신규_공종별내역서!K29</f>
        <v>179108</v>
      </c>
      <c r="P195" s="684"/>
      <c r="Q195" s="684"/>
      <c r="R195" s="688"/>
    </row>
    <row r="196" spans="1:18" s="426" customFormat="1" ht="23.1" customHeight="1">
      <c r="A196" s="423"/>
      <c r="B196" s="423"/>
      <c r="C196" s="423"/>
      <c r="D196" s="691" t="str">
        <f>신규_공종별내역서!A30</f>
        <v>계량기함 설치</v>
      </c>
      <c r="E196" s="691" t="str">
        <f>신규_공종별내역서!B30</f>
        <v/>
      </c>
      <c r="F196" s="689" t="str">
        <f>신규_공종별내역서!C30</f>
        <v>면</v>
      </c>
      <c r="G196" s="433"/>
      <c r="H196" s="433"/>
      <c r="I196" s="433"/>
      <c r="J196" s="433"/>
      <c r="K196" s="433"/>
      <c r="L196" s="433"/>
      <c r="M196" s="433"/>
      <c r="N196" s="433">
        <f t="shared" si="6"/>
        <v>0</v>
      </c>
      <c r="O196" s="433"/>
      <c r="P196" s="683">
        <f>G197-G196</f>
        <v>1</v>
      </c>
      <c r="Q196" s="683">
        <f>O197-O196</f>
        <v>229945</v>
      </c>
      <c r="R196" s="687" t="str">
        <f>신규_공종별내역서!L30</f>
        <v>신규호표 26</v>
      </c>
    </row>
    <row r="197" spans="1:18" ht="23.1" customHeight="1">
      <c r="A197" s="412"/>
      <c r="B197" s="412"/>
      <c r="C197" s="412"/>
      <c r="D197" s="692"/>
      <c r="E197" s="692"/>
      <c r="F197" s="690"/>
      <c r="G197" s="434">
        <f>신규_공종별내역서!D30</f>
        <v>1</v>
      </c>
      <c r="H197" s="434">
        <f>신규_공종별내역서!E30</f>
        <v>6697</v>
      </c>
      <c r="I197" s="434">
        <f>신규_공종별내역서!F30</f>
        <v>6697</v>
      </c>
      <c r="J197" s="434">
        <f>신규_공종별내역서!G30</f>
        <v>223248</v>
      </c>
      <c r="K197" s="434">
        <f>신규_공종별내역서!H30</f>
        <v>223248</v>
      </c>
      <c r="L197" s="434">
        <f>신규_공종별내역서!I30</f>
        <v>0</v>
      </c>
      <c r="M197" s="434">
        <f>신규_공종별내역서!J30</f>
        <v>0</v>
      </c>
      <c r="N197" s="434">
        <f t="shared" si="6"/>
        <v>229945</v>
      </c>
      <c r="O197" s="434">
        <f>신규_공종별내역서!K30</f>
        <v>229945</v>
      </c>
      <c r="P197" s="684"/>
      <c r="Q197" s="684"/>
      <c r="R197" s="688"/>
    </row>
    <row r="198" spans="1:18" s="426" customFormat="1" ht="23.1" customHeight="1">
      <c r="A198" s="423"/>
      <c r="B198" s="423"/>
      <c r="C198" s="423"/>
      <c r="D198" s="691" t="str">
        <f>신규_공종별내역서!A31</f>
        <v>분전반 신설(LP-M)</v>
      </c>
      <c r="E198" s="691" t="str">
        <f>신규_공종별내역서!B31</f>
        <v>옥외벽부자립형</v>
      </c>
      <c r="F198" s="689" t="str">
        <f>신규_공종별내역서!C31</f>
        <v>면</v>
      </c>
      <c r="G198" s="433"/>
      <c r="H198" s="433"/>
      <c r="I198" s="433"/>
      <c r="J198" s="433"/>
      <c r="K198" s="433"/>
      <c r="L198" s="433"/>
      <c r="M198" s="433"/>
      <c r="N198" s="433">
        <f t="shared" si="6"/>
        <v>0</v>
      </c>
      <c r="O198" s="433"/>
      <c r="P198" s="683">
        <f>G199-G198</f>
        <v>1</v>
      </c>
      <c r="Q198" s="683">
        <f>O199-O198</f>
        <v>297719</v>
      </c>
      <c r="R198" s="687" t="str">
        <f>신규_공종별내역서!L31</f>
        <v>신규호표 27</v>
      </c>
    </row>
    <row r="199" spans="1:18" ht="23.1" customHeight="1">
      <c r="A199" s="412"/>
      <c r="B199" s="412"/>
      <c r="C199" s="412"/>
      <c r="D199" s="692"/>
      <c r="E199" s="692"/>
      <c r="F199" s="690"/>
      <c r="G199" s="434">
        <f>신규_공종별내역서!D31</f>
        <v>1</v>
      </c>
      <c r="H199" s="434">
        <f>신규_공종별내역서!E31</f>
        <v>8671</v>
      </c>
      <c r="I199" s="434">
        <f>신규_공종별내역서!F31</f>
        <v>8671</v>
      </c>
      <c r="J199" s="434">
        <f>신규_공종별내역서!G31</f>
        <v>289048</v>
      </c>
      <c r="K199" s="434">
        <f>신규_공종별내역서!H31</f>
        <v>289048</v>
      </c>
      <c r="L199" s="434">
        <f>신규_공종별내역서!I31</f>
        <v>0</v>
      </c>
      <c r="M199" s="434">
        <f>신규_공종별내역서!J31</f>
        <v>0</v>
      </c>
      <c r="N199" s="434">
        <f t="shared" si="6"/>
        <v>297719</v>
      </c>
      <c r="O199" s="434">
        <f>신규_공종별내역서!K31</f>
        <v>297719</v>
      </c>
      <c r="P199" s="684"/>
      <c r="Q199" s="684"/>
      <c r="R199" s="688"/>
    </row>
    <row r="200" spans="1:18" s="426" customFormat="1" ht="23.1" customHeight="1">
      <c r="A200" s="423"/>
      <c r="B200" s="423"/>
      <c r="C200" s="423"/>
      <c r="D200" s="691" t="str">
        <f>신규_공종별내역서!A32</f>
        <v>역전력 보호계전기 분전반 신설</v>
      </c>
      <c r="E200" s="691" t="str">
        <f>신규_공종별내역서!B32</f>
        <v>550*780*250</v>
      </c>
      <c r="F200" s="689" t="str">
        <f>신규_공종별내역서!C32</f>
        <v>면</v>
      </c>
      <c r="G200" s="433"/>
      <c r="H200" s="433"/>
      <c r="I200" s="433"/>
      <c r="J200" s="433"/>
      <c r="K200" s="433"/>
      <c r="L200" s="433"/>
      <c r="M200" s="433"/>
      <c r="N200" s="433">
        <f t="shared" si="6"/>
        <v>0</v>
      </c>
      <c r="O200" s="433"/>
      <c r="P200" s="683">
        <f>G201-G200</f>
        <v>1</v>
      </c>
      <c r="Q200" s="683">
        <f>O201-O200</f>
        <v>3328950</v>
      </c>
      <c r="R200" s="687" t="str">
        <f>신규_공종별내역서!L32</f>
        <v>신규호표 28</v>
      </c>
    </row>
    <row r="201" spans="1:18" ht="23.1" customHeight="1">
      <c r="A201" s="412"/>
      <c r="B201" s="412"/>
      <c r="C201" s="412"/>
      <c r="D201" s="692"/>
      <c r="E201" s="692"/>
      <c r="F201" s="690"/>
      <c r="G201" s="434">
        <f>신규_공종별내역서!D32</f>
        <v>1</v>
      </c>
      <c r="H201" s="434">
        <f>신규_공종별내역서!E32</f>
        <v>3105702</v>
      </c>
      <c r="I201" s="434">
        <f>신규_공종별내역서!F32</f>
        <v>3105702</v>
      </c>
      <c r="J201" s="434">
        <f>신규_공종별내역서!G32</f>
        <v>223248</v>
      </c>
      <c r="K201" s="434">
        <f>신규_공종별내역서!H32</f>
        <v>223248</v>
      </c>
      <c r="L201" s="434">
        <f>신규_공종별내역서!I32</f>
        <v>0</v>
      </c>
      <c r="M201" s="434">
        <f>신규_공종별내역서!J32</f>
        <v>0</v>
      </c>
      <c r="N201" s="434">
        <f t="shared" si="6"/>
        <v>3328950</v>
      </c>
      <c r="O201" s="434">
        <f>신규_공종별내역서!K32</f>
        <v>3328950</v>
      </c>
      <c r="P201" s="684"/>
      <c r="Q201" s="684"/>
      <c r="R201" s="688"/>
    </row>
    <row r="202" spans="1:18" s="426" customFormat="1" ht="23.1" customHeight="1">
      <c r="A202" s="423"/>
      <c r="B202" s="423"/>
      <c r="C202" s="423"/>
      <c r="D202" s="691" t="str">
        <f>신규_공종별내역서!A33</f>
        <v>분전반 신설(LP-O1)</v>
      </c>
      <c r="E202" s="691" t="str">
        <f>신규_공종별내역서!B33</f>
        <v>옥외 자립형</v>
      </c>
      <c r="F202" s="689" t="str">
        <f>신규_공종별내역서!C33</f>
        <v>면</v>
      </c>
      <c r="G202" s="433"/>
      <c r="H202" s="433"/>
      <c r="I202" s="433"/>
      <c r="J202" s="433"/>
      <c r="K202" s="433"/>
      <c r="L202" s="433"/>
      <c r="M202" s="433"/>
      <c r="N202" s="433">
        <f t="shared" si="6"/>
        <v>0</v>
      </c>
      <c r="O202" s="433"/>
      <c r="P202" s="683">
        <f>G203-G202</f>
        <v>1</v>
      </c>
      <c r="Q202" s="683">
        <f>O203-O202</f>
        <v>246888</v>
      </c>
      <c r="R202" s="687" t="str">
        <f>신규_공종별내역서!L33</f>
        <v>신규호표 29</v>
      </c>
    </row>
    <row r="203" spans="1:18" ht="23.1" customHeight="1">
      <c r="A203" s="412"/>
      <c r="B203" s="412"/>
      <c r="C203" s="412"/>
      <c r="D203" s="692"/>
      <c r="E203" s="692"/>
      <c r="F203" s="690"/>
      <c r="G203" s="434">
        <f>신규_공종별내역서!D33</f>
        <v>1</v>
      </c>
      <c r="H203" s="434">
        <f>신규_공종별내역서!E33</f>
        <v>7190</v>
      </c>
      <c r="I203" s="434">
        <f>신규_공종별내역서!F33</f>
        <v>7190</v>
      </c>
      <c r="J203" s="434">
        <f>신규_공종별내역서!G33</f>
        <v>239698</v>
      </c>
      <c r="K203" s="434">
        <f>신규_공종별내역서!H33</f>
        <v>239698</v>
      </c>
      <c r="L203" s="434">
        <f>신규_공종별내역서!I33</f>
        <v>0</v>
      </c>
      <c r="M203" s="434">
        <f>신규_공종별내역서!J33</f>
        <v>0</v>
      </c>
      <c r="N203" s="434">
        <f t="shared" si="6"/>
        <v>246888</v>
      </c>
      <c r="O203" s="434">
        <f>신규_공종별내역서!K33</f>
        <v>246888</v>
      </c>
      <c r="P203" s="684"/>
      <c r="Q203" s="684"/>
      <c r="R203" s="688"/>
    </row>
    <row r="204" spans="1:18" s="426" customFormat="1" ht="23.1" customHeight="1">
      <c r="A204" s="423"/>
      <c r="B204" s="423"/>
      <c r="C204" s="423"/>
      <c r="D204" s="691" t="str">
        <f>신규_공종별내역서!A34</f>
        <v>엔트런스 캡</v>
      </c>
      <c r="E204" s="691" t="str">
        <f>신규_공종별내역서!B34</f>
        <v>2 1/4" (54mm)초과-104C</v>
      </c>
      <c r="F204" s="689" t="str">
        <f>신규_공종별내역서!C34</f>
        <v>개</v>
      </c>
      <c r="G204" s="433"/>
      <c r="H204" s="433"/>
      <c r="I204" s="433"/>
      <c r="J204" s="433"/>
      <c r="K204" s="433"/>
      <c r="L204" s="433"/>
      <c r="M204" s="433"/>
      <c r="N204" s="433">
        <f t="shared" si="6"/>
        <v>0</v>
      </c>
      <c r="O204" s="433"/>
      <c r="P204" s="683">
        <f>G205-G204</f>
        <v>2</v>
      </c>
      <c r="Q204" s="683">
        <f>O205-O204</f>
        <v>163278</v>
      </c>
      <c r="R204" s="687" t="str">
        <f>신규_공종별내역서!L34</f>
        <v>신규호표 30</v>
      </c>
    </row>
    <row r="205" spans="1:18" ht="23.1" customHeight="1">
      <c r="A205" s="412"/>
      <c r="B205" s="412"/>
      <c r="C205" s="412"/>
      <c r="D205" s="692"/>
      <c r="E205" s="692"/>
      <c r="F205" s="690"/>
      <c r="G205" s="434">
        <f>신규_공종별내역서!D34</f>
        <v>2</v>
      </c>
      <c r="H205" s="434">
        <f>신규_공종별내역서!E34</f>
        <v>53440</v>
      </c>
      <c r="I205" s="434">
        <f>신규_공종별내역서!F34</f>
        <v>106880</v>
      </c>
      <c r="J205" s="434">
        <f>신규_공종별내역서!G34</f>
        <v>28199</v>
      </c>
      <c r="K205" s="434">
        <f>신규_공종별내역서!H34</f>
        <v>56398</v>
      </c>
      <c r="L205" s="434">
        <f>신규_공종별내역서!I34</f>
        <v>0</v>
      </c>
      <c r="M205" s="434">
        <f>신규_공종별내역서!J34</f>
        <v>0</v>
      </c>
      <c r="N205" s="434">
        <f t="shared" si="6"/>
        <v>81639</v>
      </c>
      <c r="O205" s="434">
        <f>신규_공종별내역서!K34</f>
        <v>163278</v>
      </c>
      <c r="P205" s="684"/>
      <c r="Q205" s="684"/>
      <c r="R205" s="688"/>
    </row>
    <row r="206" spans="1:18" s="426" customFormat="1" ht="23.1" customHeight="1">
      <c r="A206" s="423"/>
      <c r="B206" s="423"/>
      <c r="C206" s="423"/>
      <c r="D206" s="691" t="str">
        <f>신규_공종별내역서!A35</f>
        <v>터파기(기계 9:1)</v>
      </c>
      <c r="E206" s="691" t="str">
        <f>신규_공종별내역서!B35</f>
        <v>보통토사. 백호 90%+인력 10%</v>
      </c>
      <c r="F206" s="689" t="str">
        <f>신규_공종별내역서!C35</f>
        <v>㎥</v>
      </c>
      <c r="G206" s="433"/>
      <c r="H206" s="433"/>
      <c r="I206" s="433"/>
      <c r="J206" s="433"/>
      <c r="K206" s="433"/>
      <c r="L206" s="433"/>
      <c r="M206" s="433"/>
      <c r="N206" s="433">
        <f t="shared" si="6"/>
        <v>0</v>
      </c>
      <c r="O206" s="433"/>
      <c r="P206" s="683">
        <f>G207-G206</f>
        <v>123.75</v>
      </c>
      <c r="Q206" s="683">
        <f>O207-O206</f>
        <v>1026381</v>
      </c>
      <c r="R206" s="687" t="str">
        <f>신규_공종별내역서!L35</f>
        <v>신규호표 31</v>
      </c>
    </row>
    <row r="207" spans="1:18" ht="23.1" customHeight="1">
      <c r="A207" s="412"/>
      <c r="B207" s="412"/>
      <c r="C207" s="412"/>
      <c r="D207" s="692"/>
      <c r="E207" s="692"/>
      <c r="F207" s="690"/>
      <c r="G207" s="434">
        <f>신규_공종별내역서!D35</f>
        <v>123.75</v>
      </c>
      <c r="H207" s="434">
        <f>신규_공종별내역서!E35</f>
        <v>600</v>
      </c>
      <c r="I207" s="434">
        <f>신규_공종별내역서!F35</f>
        <v>74250</v>
      </c>
      <c r="J207" s="434">
        <f>신규_공종별내역서!G35</f>
        <v>6909</v>
      </c>
      <c r="K207" s="434">
        <f>신규_공종별내역서!H35</f>
        <v>854988</v>
      </c>
      <c r="L207" s="434">
        <f>신규_공종별내역서!I35</f>
        <v>785</v>
      </c>
      <c r="M207" s="434">
        <f>신규_공종별내역서!J35</f>
        <v>97143</v>
      </c>
      <c r="N207" s="434">
        <f t="shared" si="6"/>
        <v>7509</v>
      </c>
      <c r="O207" s="434">
        <f>신규_공종별내역서!K35</f>
        <v>1026381</v>
      </c>
      <c r="P207" s="684"/>
      <c r="Q207" s="684"/>
      <c r="R207" s="688"/>
    </row>
    <row r="208" spans="1:18" s="426" customFormat="1" ht="23.1" customHeight="1">
      <c r="A208" s="423"/>
      <c r="B208" s="423"/>
      <c r="C208" s="423"/>
      <c r="D208" s="691" t="str">
        <f>신규_공종별내역서!A36</f>
        <v>되메우고 다지기(백호+래머)</v>
      </c>
      <c r="E208" s="691" t="str">
        <f>신규_공종별내역서!B36</f>
        <v>토사, T=15cm</v>
      </c>
      <c r="F208" s="689" t="str">
        <f>신규_공종별내역서!C36</f>
        <v>M3</v>
      </c>
      <c r="G208" s="433"/>
      <c r="H208" s="433"/>
      <c r="I208" s="433"/>
      <c r="J208" s="433"/>
      <c r="K208" s="433"/>
      <c r="L208" s="433"/>
      <c r="M208" s="433"/>
      <c r="N208" s="433">
        <f t="shared" si="6"/>
        <v>0</v>
      </c>
      <c r="O208" s="433"/>
      <c r="P208" s="683">
        <f>G209-G208</f>
        <v>123.75</v>
      </c>
      <c r="Q208" s="683">
        <f>O209-O208</f>
        <v>934311</v>
      </c>
      <c r="R208" s="687" t="str">
        <f>신규_공종별내역서!L36</f>
        <v>신규호표 32</v>
      </c>
    </row>
    <row r="209" spans="1:32" ht="23.1" customHeight="1">
      <c r="A209" s="412"/>
      <c r="B209" s="412"/>
      <c r="C209" s="412"/>
      <c r="D209" s="692"/>
      <c r="E209" s="692"/>
      <c r="F209" s="690"/>
      <c r="G209" s="434">
        <f>신규_공종별내역서!D36</f>
        <v>123.75</v>
      </c>
      <c r="H209" s="434">
        <f>신규_공종별내역서!E36</f>
        <v>6606</v>
      </c>
      <c r="I209" s="434">
        <f>신규_공종별내역서!F36</f>
        <v>817492</v>
      </c>
      <c r="J209" s="434">
        <f>신규_공종별내역서!G36</f>
        <v>525</v>
      </c>
      <c r="K209" s="434">
        <f>신규_공종별내역서!H36</f>
        <v>64968</v>
      </c>
      <c r="L209" s="434">
        <f>신규_공종별내역서!I36</f>
        <v>419</v>
      </c>
      <c r="M209" s="434">
        <f>신규_공종별내역서!J36</f>
        <v>51851</v>
      </c>
      <c r="N209" s="434">
        <f t="shared" si="6"/>
        <v>7131</v>
      </c>
      <c r="O209" s="434">
        <f>신규_공종별내역서!K36</f>
        <v>934311</v>
      </c>
      <c r="P209" s="684"/>
      <c r="Q209" s="684"/>
      <c r="R209" s="688"/>
    </row>
    <row r="210" spans="1:32" s="426" customFormat="1" ht="23.1" customHeight="1">
      <c r="A210" s="423"/>
      <c r="B210" s="423"/>
      <c r="C210" s="423"/>
      <c r="D210" s="691" t="str">
        <f>신규_공종별내역서!A37</f>
        <v>맨홀(저압)</v>
      </c>
      <c r="E210" s="691" t="str">
        <f>신규_공종별내역서!B37</f>
        <v>1,500*1,500*1,500</v>
      </c>
      <c r="F210" s="689" t="str">
        <f>신규_공종별내역서!C37</f>
        <v>개소</v>
      </c>
      <c r="G210" s="433"/>
      <c r="H210" s="433"/>
      <c r="I210" s="433"/>
      <c r="J210" s="433"/>
      <c r="K210" s="433"/>
      <c r="L210" s="433"/>
      <c r="M210" s="433"/>
      <c r="N210" s="433">
        <f t="shared" si="6"/>
        <v>0</v>
      </c>
      <c r="O210" s="433"/>
      <c r="P210" s="683">
        <f>G211-G210</f>
        <v>1</v>
      </c>
      <c r="Q210" s="683">
        <f>O211-O210</f>
        <v>1847243</v>
      </c>
      <c r="R210" s="687" t="str">
        <f>신규_공종별내역서!L37</f>
        <v>신규호표 33</v>
      </c>
    </row>
    <row r="211" spans="1:32" ht="23.1" customHeight="1">
      <c r="A211" s="412"/>
      <c r="B211" s="412"/>
      <c r="C211" s="412"/>
      <c r="D211" s="692"/>
      <c r="E211" s="692"/>
      <c r="F211" s="690"/>
      <c r="G211" s="434">
        <f>신규_공종별내역서!D37</f>
        <v>1</v>
      </c>
      <c r="H211" s="434">
        <f>신규_공종별내역서!E37</f>
        <v>835710</v>
      </c>
      <c r="I211" s="434">
        <f>신규_공종별내역서!F37</f>
        <v>835710</v>
      </c>
      <c r="J211" s="434">
        <f>신규_공종별내역서!G37</f>
        <v>893392</v>
      </c>
      <c r="K211" s="434">
        <f>신규_공종별내역서!H37</f>
        <v>893392</v>
      </c>
      <c r="L211" s="434">
        <f>신규_공종별내역서!I37</f>
        <v>118141</v>
      </c>
      <c r="M211" s="434">
        <f>신규_공종별내역서!J37</f>
        <v>118141</v>
      </c>
      <c r="N211" s="434">
        <f t="shared" si="6"/>
        <v>1729102</v>
      </c>
      <c r="O211" s="434">
        <f>신규_공종별내역서!K37</f>
        <v>1847243</v>
      </c>
      <c r="P211" s="684"/>
      <c r="Q211" s="684"/>
      <c r="R211" s="688"/>
    </row>
    <row r="212" spans="1:32" s="426" customFormat="1" ht="23.1" customHeight="1">
      <c r="D212" s="436"/>
      <c r="E212" s="436"/>
      <c r="F212" s="429"/>
      <c r="G212" s="433"/>
      <c r="H212" s="433"/>
      <c r="I212" s="433"/>
      <c r="J212" s="433"/>
      <c r="K212" s="433"/>
      <c r="L212" s="433"/>
      <c r="M212" s="433"/>
      <c r="N212" s="433">
        <f t="shared" si="6"/>
        <v>0</v>
      </c>
      <c r="O212" s="433"/>
      <c r="P212" s="433"/>
      <c r="Q212" s="433"/>
      <c r="R212" s="429"/>
    </row>
    <row r="213" spans="1:32" ht="23.1" customHeight="1">
      <c r="D213" s="435"/>
      <c r="E213" s="435"/>
      <c r="F213" s="428"/>
      <c r="G213" s="434"/>
      <c r="H213" s="434"/>
      <c r="I213" s="434"/>
      <c r="J213" s="434"/>
      <c r="K213" s="434"/>
      <c r="L213" s="434"/>
      <c r="M213" s="434"/>
      <c r="N213" s="434">
        <f t="shared" si="6"/>
        <v>0</v>
      </c>
      <c r="O213" s="434"/>
      <c r="P213" s="434"/>
      <c r="Q213" s="434"/>
      <c r="R213" s="428"/>
    </row>
    <row r="214" spans="1:32" s="426" customFormat="1" ht="23.1" customHeight="1">
      <c r="D214" s="437"/>
      <c r="E214" s="437"/>
      <c r="F214" s="438"/>
      <c r="G214" s="439"/>
      <c r="H214" s="439"/>
      <c r="I214" s="439"/>
      <c r="J214" s="439"/>
      <c r="K214" s="439"/>
      <c r="L214" s="439"/>
      <c r="M214" s="439"/>
      <c r="N214" s="439">
        <f t="shared" si="6"/>
        <v>0</v>
      </c>
      <c r="O214" s="439"/>
      <c r="P214" s="439"/>
      <c r="Q214" s="439"/>
      <c r="R214" s="429"/>
    </row>
    <row r="215" spans="1:32" ht="23.1" customHeight="1">
      <c r="D215" s="440"/>
      <c r="E215" s="440"/>
      <c r="F215" s="441"/>
      <c r="G215" s="442"/>
      <c r="H215" s="442"/>
      <c r="I215" s="442"/>
      <c r="J215" s="442"/>
      <c r="K215" s="442"/>
      <c r="L215" s="442"/>
      <c r="M215" s="442"/>
      <c r="N215" s="442">
        <f t="shared" si="6"/>
        <v>0</v>
      </c>
      <c r="O215" s="442"/>
      <c r="P215" s="442"/>
      <c r="Q215" s="442"/>
      <c r="R215" s="428"/>
    </row>
    <row r="216" spans="1:32" s="426" customFormat="1" ht="23.1" customHeight="1">
      <c r="A216" s="423"/>
      <c r="B216" s="423" t="s">
        <v>715</v>
      </c>
      <c r="C216" s="423"/>
      <c r="D216" s="436" t="s">
        <v>216</v>
      </c>
      <c r="E216" s="436"/>
      <c r="F216" s="429"/>
      <c r="G216" s="433"/>
      <c r="H216" s="433"/>
      <c r="I216" s="443">
        <f>I116+I118+I120+I122+I124+I126+I128+I130+I132+I134+I136+I138+I140+I142+I144+I146+I148+I150+I152+I154+I156+I158+I160+I162+I164+I166+I168+I170+I172+I174+I176+I178+I180+I182+I184+I186+I188+I190+I192+I194+I196+I198+I200+I202+I204+I206+I208+I210+I212+I214</f>
        <v>14967149</v>
      </c>
      <c r="J216" s="443"/>
      <c r="K216" s="443">
        <f>K116+K118+K120+K122+K124+K126+K128+K130+K132+K134+K136+K138+K140+K142+K144+K146+K148+K150+K152+K154+K156+K158+K160+K162+K164+K166+K168+K170+K172+K174+K176+K178+K180+K182+K184+K186+K188+K190+K192+K194+K196+K198+K200+K202+K204+K206+K208+K210+K212+K214</f>
        <v>7271806</v>
      </c>
      <c r="L216" s="443"/>
      <c r="M216" s="443">
        <f>M116+M118+M120+M122+M124+M126+M128+M130+M132+M134+M136+M138+M140+M142+M144+M146+M148+M150+M152+M154+M156+M158+M160+M162+M164+M166+M168+M170+M172+M174+M176+M178+M180+M182+M184+M186+M188+M190+M192+M194+M196+M198+M200+M202+M204+M206+M208+M210+M212+M214</f>
        <v>196414</v>
      </c>
      <c r="N216" s="443">
        <f t="shared" si="6"/>
        <v>0</v>
      </c>
      <c r="O216" s="443">
        <f>O116+O118+O120+O122+O124+O126+O128+O130+O132+O134+O136+O138+O140+O142+O144+O146+O148+O150+O152+O154+O156+O158+O160+O162+O164+O166+O168+O170+O172+O174+O176+O178+O180+O182+O184+O186+O188+O190+O192+O194+O196+O198+O200+O202+O204+O206+O208+O210+O212+O214</f>
        <v>22435369</v>
      </c>
      <c r="P216" s="443"/>
      <c r="Q216" s="683">
        <f>O217-O216</f>
        <v>23558318</v>
      </c>
      <c r="R216" s="429"/>
    </row>
    <row r="217" spans="1:32" ht="23.1" customHeight="1">
      <c r="A217" s="412"/>
      <c r="B217" s="412" t="s">
        <v>715</v>
      </c>
      <c r="C217" s="412"/>
      <c r="D217" s="435" t="s">
        <v>216</v>
      </c>
      <c r="E217" s="435"/>
      <c r="F217" s="428"/>
      <c r="G217" s="434"/>
      <c r="H217" s="434"/>
      <c r="I217" s="444">
        <f>I117+I119+I121+I123+I125+I127+I129+I131+I133+I135+I137+I139+I141+I143+I145+I147+I149+I151+I153+I155+I157+I159+I161+I163+I165+I167+I169+I171+I173+I175+I177+I179+I181+I183+I185+I187+I189+I191+I193+I195+I197+I199+I201+I203+I205+I207+I209+I211+I213+I215</f>
        <v>25477253</v>
      </c>
      <c r="J217" s="444"/>
      <c r="K217" s="444">
        <f>K117+K119+K121+K123+K125+K127+K129+K131+K133+K135+K137+K139+K141+K143+K145+K147+K149+K151+K153+K155+K157+K159+K161+K163+K165+K167+K169+K171+K173+K175+K177+K179+K181+K183+K185+K187+K189+K191+K193+K195+K197+K199+K201+K203+K205+K207+K209+K211+K213+K215</f>
        <v>20212315</v>
      </c>
      <c r="L217" s="444"/>
      <c r="M217" s="444">
        <f>M117+M119+M121+M123+M125+M127+M129+M131+M133+M135+M137+M139+M141+M143+M145+M147+M149+M151+M153+M155+M157+M159+M161+M163+M165+M167+M169+M171+M173+M175+M177+M179+M181+M183+M185+M187+M189+M191+M193+M195+M197+M199+M201+M203+M205+M207+M209+M211+M213+M215</f>
        <v>304119</v>
      </c>
      <c r="N217" s="444">
        <f t="shared" si="6"/>
        <v>0</v>
      </c>
      <c r="O217" s="444">
        <f>O117+O119+O121+O123+O125+O127+O129+O131+O133+O135+O137+O139+O141+O143+O145+O147+O149+O151+O153+O155+O157+O159+O161+O163+O165+O167+O169+O171+O173+O175+O177+O179+O181+O183+O185+O187+O189+O191+O193+O195+O197+O199+O201+O203+O205+O207+O209+O211+O213+O215</f>
        <v>45993687</v>
      </c>
      <c r="P217" s="445"/>
      <c r="Q217" s="684"/>
      <c r="R217" s="428"/>
    </row>
    <row r="218" spans="1:32" ht="23.1" customHeight="1">
      <c r="A218" s="412"/>
      <c r="B218" s="412" t="s">
        <v>208</v>
      </c>
      <c r="C218" s="412"/>
      <c r="D218" s="417" t="s">
        <v>392</v>
      </c>
      <c r="E218" s="418"/>
      <c r="F218" s="419"/>
      <c r="G218" s="420"/>
      <c r="H218" s="420"/>
      <c r="I218" s="420"/>
      <c r="J218" s="420"/>
      <c r="K218" s="420"/>
      <c r="L218" s="420"/>
      <c r="M218" s="420"/>
      <c r="N218" s="420">
        <f t="shared" si="6"/>
        <v>0</v>
      </c>
      <c r="O218" s="420"/>
      <c r="P218" s="420"/>
      <c r="Q218" s="420"/>
      <c r="R218" s="421"/>
    </row>
    <row r="219" spans="1:32" s="426" customFormat="1" ht="23.1" customHeight="1">
      <c r="A219" s="423" t="s">
        <v>753</v>
      </c>
      <c r="B219" s="423" t="s">
        <v>754</v>
      </c>
      <c r="C219" s="423" t="s">
        <v>753</v>
      </c>
      <c r="D219" s="685" t="s">
        <v>755</v>
      </c>
      <c r="E219" s="685" t="s">
        <v>756</v>
      </c>
      <c r="F219" s="687" t="s">
        <v>592</v>
      </c>
      <c r="G219" s="446">
        <v>11</v>
      </c>
      <c r="H219" s="433">
        <v>4998</v>
      </c>
      <c r="I219" s="433">
        <v>54978</v>
      </c>
      <c r="J219" s="433">
        <v>45850</v>
      </c>
      <c r="K219" s="433">
        <v>504350</v>
      </c>
      <c r="L219" s="433">
        <v>0</v>
      </c>
      <c r="M219" s="433">
        <v>0</v>
      </c>
      <c r="N219" s="433">
        <v>50848</v>
      </c>
      <c r="O219" s="433">
        <v>559328</v>
      </c>
      <c r="P219" s="683">
        <f>G220-G219</f>
        <v>-11</v>
      </c>
      <c r="Q219" s="683">
        <f>O220-O219</f>
        <v>-559328</v>
      </c>
      <c r="R219" s="689" t="s">
        <v>757</v>
      </c>
      <c r="AC219" s="426">
        <v>54978</v>
      </c>
      <c r="AD219" s="426">
        <v>54978</v>
      </c>
      <c r="AF219" s="426">
        <v>504350</v>
      </c>
    </row>
    <row r="220" spans="1:32" ht="23.1" customHeight="1">
      <c r="A220" s="412"/>
      <c r="B220" s="412"/>
      <c r="C220" s="412"/>
      <c r="D220" s="686"/>
      <c r="E220" s="686"/>
      <c r="F220" s="688"/>
      <c r="G220" s="447"/>
      <c r="H220" s="434"/>
      <c r="I220" s="434"/>
      <c r="J220" s="434"/>
      <c r="K220" s="434"/>
      <c r="L220" s="434"/>
      <c r="M220" s="434"/>
      <c r="N220" s="434"/>
      <c r="O220" s="434"/>
      <c r="P220" s="684"/>
      <c r="Q220" s="684"/>
      <c r="R220" s="690"/>
    </row>
    <row r="221" spans="1:32" s="426" customFormat="1" ht="23.1" customHeight="1">
      <c r="A221" s="423" t="s">
        <v>758</v>
      </c>
      <c r="B221" s="423" t="s">
        <v>754</v>
      </c>
      <c r="C221" s="423" t="s">
        <v>758</v>
      </c>
      <c r="D221" s="685" t="s">
        <v>755</v>
      </c>
      <c r="E221" s="685" t="s">
        <v>759</v>
      </c>
      <c r="F221" s="687" t="s">
        <v>592</v>
      </c>
      <c r="G221" s="446">
        <v>2</v>
      </c>
      <c r="H221" s="433">
        <v>18742</v>
      </c>
      <c r="I221" s="433">
        <v>37484</v>
      </c>
      <c r="J221" s="433">
        <v>162769</v>
      </c>
      <c r="K221" s="433">
        <v>325538</v>
      </c>
      <c r="L221" s="433">
        <v>0</v>
      </c>
      <c r="M221" s="433">
        <v>0</v>
      </c>
      <c r="N221" s="433">
        <v>181511</v>
      </c>
      <c r="O221" s="433">
        <v>363022</v>
      </c>
      <c r="P221" s="683">
        <f>G222-G221</f>
        <v>-2</v>
      </c>
      <c r="Q221" s="683">
        <f>O222-O221</f>
        <v>-363022</v>
      </c>
      <c r="R221" s="689" t="s">
        <v>760</v>
      </c>
      <c r="AC221" s="426">
        <v>37484</v>
      </c>
      <c r="AD221" s="426">
        <v>37484</v>
      </c>
      <c r="AF221" s="426">
        <v>325538</v>
      </c>
    </row>
    <row r="222" spans="1:32" ht="23.1" customHeight="1">
      <c r="A222" s="412"/>
      <c r="B222" s="412"/>
      <c r="C222" s="412"/>
      <c r="D222" s="686"/>
      <c r="E222" s="686"/>
      <c r="F222" s="688"/>
      <c r="G222" s="447"/>
      <c r="H222" s="434"/>
      <c r="I222" s="434"/>
      <c r="J222" s="434"/>
      <c r="K222" s="434"/>
      <c r="L222" s="434"/>
      <c r="M222" s="434"/>
      <c r="N222" s="434"/>
      <c r="O222" s="434"/>
      <c r="P222" s="684"/>
      <c r="Q222" s="684"/>
      <c r="R222" s="690"/>
    </row>
    <row r="223" spans="1:32" s="426" customFormat="1" ht="23.1" customHeight="1">
      <c r="A223" s="423" t="s">
        <v>717</v>
      </c>
      <c r="B223" s="423" t="s">
        <v>754</v>
      </c>
      <c r="C223" s="423" t="s">
        <v>717</v>
      </c>
      <c r="D223" s="685" t="s">
        <v>590</v>
      </c>
      <c r="E223" s="685" t="s">
        <v>719</v>
      </c>
      <c r="F223" s="687" t="s">
        <v>592</v>
      </c>
      <c r="G223" s="446">
        <v>5</v>
      </c>
      <c r="H223" s="433">
        <v>1249</v>
      </c>
      <c r="I223" s="433">
        <v>6245</v>
      </c>
      <c r="J223" s="433">
        <v>22924</v>
      </c>
      <c r="K223" s="433">
        <v>114620</v>
      </c>
      <c r="L223" s="433">
        <v>0</v>
      </c>
      <c r="M223" s="433">
        <v>0</v>
      </c>
      <c r="N223" s="433">
        <v>24173</v>
      </c>
      <c r="O223" s="433">
        <v>120865</v>
      </c>
      <c r="P223" s="683">
        <f>G224-G223</f>
        <v>-5</v>
      </c>
      <c r="Q223" s="683">
        <f>O224-O223</f>
        <v>-120865</v>
      </c>
      <c r="R223" s="689" t="s">
        <v>720</v>
      </c>
      <c r="AC223" s="426">
        <v>6245</v>
      </c>
      <c r="AD223" s="426">
        <v>6245</v>
      </c>
      <c r="AF223" s="426">
        <v>114625</v>
      </c>
    </row>
    <row r="224" spans="1:32" ht="23.1" customHeight="1">
      <c r="A224" s="412"/>
      <c r="B224" s="412"/>
      <c r="C224" s="412"/>
      <c r="D224" s="686"/>
      <c r="E224" s="686"/>
      <c r="F224" s="688"/>
      <c r="G224" s="447"/>
      <c r="H224" s="434"/>
      <c r="I224" s="434"/>
      <c r="J224" s="434"/>
      <c r="K224" s="434"/>
      <c r="L224" s="434"/>
      <c r="M224" s="434"/>
      <c r="N224" s="434"/>
      <c r="O224" s="434"/>
      <c r="P224" s="684"/>
      <c r="Q224" s="684"/>
      <c r="R224" s="690"/>
    </row>
    <row r="225" spans="1:32" s="426" customFormat="1" ht="23.1" customHeight="1">
      <c r="A225" s="423" t="s">
        <v>761</v>
      </c>
      <c r="B225" s="423" t="s">
        <v>754</v>
      </c>
      <c r="C225" s="423" t="s">
        <v>761</v>
      </c>
      <c r="D225" s="685" t="s">
        <v>590</v>
      </c>
      <c r="E225" s="685" t="s">
        <v>762</v>
      </c>
      <c r="F225" s="687" t="s">
        <v>592</v>
      </c>
      <c r="G225" s="446">
        <v>11</v>
      </c>
      <c r="H225" s="433">
        <v>1564</v>
      </c>
      <c r="I225" s="433">
        <v>17204</v>
      </c>
      <c r="J225" s="433">
        <v>29802</v>
      </c>
      <c r="K225" s="433">
        <v>327822</v>
      </c>
      <c r="L225" s="433">
        <v>0</v>
      </c>
      <c r="M225" s="433">
        <v>0</v>
      </c>
      <c r="N225" s="433">
        <v>31366</v>
      </c>
      <c r="O225" s="433">
        <v>345026</v>
      </c>
      <c r="P225" s="683">
        <f>G226-G225</f>
        <v>-11</v>
      </c>
      <c r="Q225" s="683">
        <f>O226-O225</f>
        <v>-345026</v>
      </c>
      <c r="R225" s="689" t="s">
        <v>763</v>
      </c>
      <c r="AC225" s="426">
        <v>17204</v>
      </c>
      <c r="AD225" s="426">
        <v>17204</v>
      </c>
      <c r="AF225" s="426">
        <v>327822</v>
      </c>
    </row>
    <row r="226" spans="1:32" ht="23.1" customHeight="1">
      <c r="A226" s="412"/>
      <c r="B226" s="412"/>
      <c r="C226" s="412"/>
      <c r="D226" s="686"/>
      <c r="E226" s="686"/>
      <c r="F226" s="688"/>
      <c r="G226" s="447"/>
      <c r="H226" s="434"/>
      <c r="I226" s="434"/>
      <c r="J226" s="434"/>
      <c r="K226" s="434"/>
      <c r="L226" s="434"/>
      <c r="M226" s="434"/>
      <c r="N226" s="434"/>
      <c r="O226" s="434"/>
      <c r="P226" s="684"/>
      <c r="Q226" s="684"/>
      <c r="R226" s="690"/>
    </row>
    <row r="227" spans="1:32" s="426" customFormat="1" ht="23.1" customHeight="1">
      <c r="A227" s="423" t="s">
        <v>764</v>
      </c>
      <c r="B227" s="423" t="s">
        <v>754</v>
      </c>
      <c r="C227" s="423" t="s">
        <v>764</v>
      </c>
      <c r="D227" s="685" t="s">
        <v>590</v>
      </c>
      <c r="E227" s="685" t="s">
        <v>765</v>
      </c>
      <c r="F227" s="687" t="s">
        <v>592</v>
      </c>
      <c r="G227" s="446">
        <v>14</v>
      </c>
      <c r="H227" s="433">
        <v>5938</v>
      </c>
      <c r="I227" s="433">
        <v>83132</v>
      </c>
      <c r="J227" s="433">
        <v>105455</v>
      </c>
      <c r="K227" s="433">
        <v>1476370</v>
      </c>
      <c r="L227" s="433">
        <v>0</v>
      </c>
      <c r="M227" s="433">
        <v>0</v>
      </c>
      <c r="N227" s="433">
        <v>111393</v>
      </c>
      <c r="O227" s="433">
        <v>1559502</v>
      </c>
      <c r="P227" s="683">
        <f>G228-G227</f>
        <v>-14</v>
      </c>
      <c r="Q227" s="683">
        <f>O228-O227</f>
        <v>-1559502</v>
      </c>
      <c r="R227" s="689" t="s">
        <v>766</v>
      </c>
      <c r="AC227" s="426">
        <v>83132</v>
      </c>
      <c r="AD227" s="426">
        <v>83132</v>
      </c>
      <c r="AF227" s="426">
        <v>1476384</v>
      </c>
    </row>
    <row r="228" spans="1:32" ht="23.1" customHeight="1">
      <c r="A228" s="412"/>
      <c r="B228" s="412"/>
      <c r="C228" s="412"/>
      <c r="D228" s="686"/>
      <c r="E228" s="686"/>
      <c r="F228" s="688"/>
      <c r="G228" s="447"/>
      <c r="H228" s="434"/>
      <c r="I228" s="434"/>
      <c r="J228" s="434"/>
      <c r="K228" s="434"/>
      <c r="L228" s="434"/>
      <c r="M228" s="434"/>
      <c r="N228" s="434"/>
      <c r="O228" s="434"/>
      <c r="P228" s="684"/>
      <c r="Q228" s="684"/>
      <c r="R228" s="690"/>
    </row>
    <row r="229" spans="1:32" s="426" customFormat="1" ht="23.1" customHeight="1">
      <c r="A229" s="423" t="s">
        <v>767</v>
      </c>
      <c r="B229" s="423" t="s">
        <v>754</v>
      </c>
      <c r="C229" s="423" t="s">
        <v>767</v>
      </c>
      <c r="D229" s="685" t="s">
        <v>609</v>
      </c>
      <c r="E229" s="685" t="s">
        <v>768</v>
      </c>
      <c r="F229" s="687" t="s">
        <v>611</v>
      </c>
      <c r="G229" s="446">
        <v>1</v>
      </c>
      <c r="H229" s="433">
        <v>18247</v>
      </c>
      <c r="I229" s="433">
        <v>18247</v>
      </c>
      <c r="J229" s="433">
        <v>49113</v>
      </c>
      <c r="K229" s="433">
        <v>49113</v>
      </c>
      <c r="L229" s="433">
        <v>0</v>
      </c>
      <c r="M229" s="433">
        <v>0</v>
      </c>
      <c r="N229" s="433">
        <v>67360</v>
      </c>
      <c r="O229" s="433">
        <v>67360</v>
      </c>
      <c r="P229" s="683">
        <f>G230-G229</f>
        <v>-1</v>
      </c>
      <c r="Q229" s="683">
        <f>O230-O229</f>
        <v>-67360</v>
      </c>
      <c r="R229" s="689" t="s">
        <v>769</v>
      </c>
      <c r="AF229" s="426">
        <v>49114</v>
      </c>
    </row>
    <row r="230" spans="1:32" ht="23.1" customHeight="1">
      <c r="A230" s="412"/>
      <c r="B230" s="412"/>
      <c r="C230" s="412"/>
      <c r="D230" s="686"/>
      <c r="E230" s="686"/>
      <c r="F230" s="688"/>
      <c r="G230" s="447"/>
      <c r="H230" s="434"/>
      <c r="I230" s="434"/>
      <c r="J230" s="434"/>
      <c r="K230" s="434"/>
      <c r="L230" s="434"/>
      <c r="M230" s="434"/>
      <c r="N230" s="434"/>
      <c r="O230" s="434"/>
      <c r="P230" s="684"/>
      <c r="Q230" s="684"/>
      <c r="R230" s="690"/>
    </row>
    <row r="231" spans="1:32" s="426" customFormat="1" ht="23.1" customHeight="1">
      <c r="A231" s="423" t="s">
        <v>770</v>
      </c>
      <c r="B231" s="423" t="s">
        <v>754</v>
      </c>
      <c r="C231" s="423" t="s">
        <v>770</v>
      </c>
      <c r="D231" s="685" t="s">
        <v>771</v>
      </c>
      <c r="E231" s="685" t="s">
        <v>772</v>
      </c>
      <c r="F231" s="687" t="s">
        <v>617</v>
      </c>
      <c r="G231" s="446">
        <v>1</v>
      </c>
      <c r="H231" s="433">
        <v>3629</v>
      </c>
      <c r="I231" s="433">
        <v>3629</v>
      </c>
      <c r="J231" s="433">
        <v>0</v>
      </c>
      <c r="K231" s="433">
        <v>0</v>
      </c>
      <c r="L231" s="433">
        <v>0</v>
      </c>
      <c r="M231" s="433">
        <v>0</v>
      </c>
      <c r="N231" s="433">
        <v>3629</v>
      </c>
      <c r="O231" s="433">
        <v>3629</v>
      </c>
      <c r="P231" s="683">
        <f>G232-G231</f>
        <v>-1</v>
      </c>
      <c r="Q231" s="683">
        <f>O232-O231</f>
        <v>-3629</v>
      </c>
      <c r="R231" s="689" t="s">
        <v>773</v>
      </c>
    </row>
    <row r="232" spans="1:32" ht="23.1" customHeight="1">
      <c r="A232" s="412"/>
      <c r="B232" s="412"/>
      <c r="C232" s="412"/>
      <c r="D232" s="686"/>
      <c r="E232" s="686"/>
      <c r="F232" s="688"/>
      <c r="G232" s="447"/>
      <c r="H232" s="434"/>
      <c r="I232" s="434"/>
      <c r="J232" s="434"/>
      <c r="K232" s="434"/>
      <c r="L232" s="434"/>
      <c r="M232" s="434"/>
      <c r="N232" s="434"/>
      <c r="O232" s="434"/>
      <c r="P232" s="684"/>
      <c r="Q232" s="684"/>
      <c r="R232" s="690"/>
    </row>
    <row r="233" spans="1:32" s="426" customFormat="1" ht="23.1" customHeight="1">
      <c r="A233" s="423" t="s">
        <v>774</v>
      </c>
      <c r="B233" s="423" t="s">
        <v>754</v>
      </c>
      <c r="C233" s="423" t="s">
        <v>774</v>
      </c>
      <c r="D233" s="685" t="s">
        <v>615</v>
      </c>
      <c r="E233" s="685" t="s">
        <v>775</v>
      </c>
      <c r="F233" s="687" t="s">
        <v>617</v>
      </c>
      <c r="G233" s="446">
        <v>3</v>
      </c>
      <c r="H233" s="433">
        <v>6640</v>
      </c>
      <c r="I233" s="433">
        <v>19920</v>
      </c>
      <c r="J233" s="433">
        <v>0</v>
      </c>
      <c r="K233" s="433">
        <v>0</v>
      </c>
      <c r="L233" s="433">
        <v>0</v>
      </c>
      <c r="M233" s="433">
        <v>0</v>
      </c>
      <c r="N233" s="433">
        <v>6640</v>
      </c>
      <c r="O233" s="433">
        <v>19920</v>
      </c>
      <c r="P233" s="683">
        <f>G234-G233</f>
        <v>-3</v>
      </c>
      <c r="Q233" s="683">
        <f>O234-O233</f>
        <v>-19920</v>
      </c>
      <c r="R233" s="689" t="s">
        <v>776</v>
      </c>
    </row>
    <row r="234" spans="1:32" ht="23.1" customHeight="1">
      <c r="A234" s="412"/>
      <c r="B234" s="412"/>
      <c r="C234" s="412"/>
      <c r="D234" s="686"/>
      <c r="E234" s="686"/>
      <c r="F234" s="688"/>
      <c r="G234" s="447"/>
      <c r="H234" s="434"/>
      <c r="I234" s="434"/>
      <c r="J234" s="434"/>
      <c r="K234" s="434"/>
      <c r="L234" s="434"/>
      <c r="M234" s="434"/>
      <c r="N234" s="434"/>
      <c r="O234" s="434"/>
      <c r="P234" s="684"/>
      <c r="Q234" s="684"/>
      <c r="R234" s="690"/>
    </row>
    <row r="235" spans="1:32" s="426" customFormat="1" ht="23.1" customHeight="1">
      <c r="A235" s="423" t="s">
        <v>777</v>
      </c>
      <c r="B235" s="423" t="s">
        <v>754</v>
      </c>
      <c r="C235" s="423" t="s">
        <v>777</v>
      </c>
      <c r="D235" s="685" t="s">
        <v>621</v>
      </c>
      <c r="E235" s="685" t="s">
        <v>778</v>
      </c>
      <c r="F235" s="687" t="s">
        <v>617</v>
      </c>
      <c r="G235" s="446">
        <v>2</v>
      </c>
      <c r="H235" s="433">
        <v>7156</v>
      </c>
      <c r="I235" s="433">
        <v>14312</v>
      </c>
      <c r="J235" s="433">
        <v>50434</v>
      </c>
      <c r="K235" s="433">
        <v>100868</v>
      </c>
      <c r="L235" s="433">
        <v>0</v>
      </c>
      <c r="M235" s="433">
        <v>0</v>
      </c>
      <c r="N235" s="433">
        <v>57590</v>
      </c>
      <c r="O235" s="433">
        <v>115180</v>
      </c>
      <c r="P235" s="683">
        <f>G236-G235</f>
        <v>-2</v>
      </c>
      <c r="Q235" s="683">
        <f>O236-O235</f>
        <v>-115180</v>
      </c>
      <c r="R235" s="689" t="s">
        <v>779</v>
      </c>
      <c r="AF235" s="426">
        <v>100870</v>
      </c>
    </row>
    <row r="236" spans="1:32" ht="23.1" customHeight="1">
      <c r="A236" s="412"/>
      <c r="B236" s="412"/>
      <c r="C236" s="412"/>
      <c r="D236" s="686"/>
      <c r="E236" s="686"/>
      <c r="F236" s="688"/>
      <c r="G236" s="447"/>
      <c r="H236" s="434"/>
      <c r="I236" s="434"/>
      <c r="J236" s="434"/>
      <c r="K236" s="434"/>
      <c r="L236" s="434"/>
      <c r="M236" s="434"/>
      <c r="N236" s="434"/>
      <c r="O236" s="434"/>
      <c r="P236" s="684"/>
      <c r="Q236" s="684"/>
      <c r="R236" s="690"/>
    </row>
    <row r="237" spans="1:32" s="426" customFormat="1" ht="23.1" customHeight="1">
      <c r="A237" s="423" t="s">
        <v>780</v>
      </c>
      <c r="B237" s="423" t="s">
        <v>754</v>
      </c>
      <c r="C237" s="423" t="s">
        <v>780</v>
      </c>
      <c r="D237" s="685" t="s">
        <v>621</v>
      </c>
      <c r="E237" s="685" t="s">
        <v>781</v>
      </c>
      <c r="F237" s="687" t="s">
        <v>617</v>
      </c>
      <c r="G237" s="446">
        <v>2</v>
      </c>
      <c r="H237" s="433">
        <v>9942</v>
      </c>
      <c r="I237" s="433">
        <v>19884</v>
      </c>
      <c r="J237" s="433">
        <v>80237</v>
      </c>
      <c r="K237" s="433">
        <v>160474</v>
      </c>
      <c r="L237" s="433">
        <v>0</v>
      </c>
      <c r="M237" s="433">
        <v>0</v>
      </c>
      <c r="N237" s="433">
        <v>90179</v>
      </c>
      <c r="O237" s="433">
        <v>180358</v>
      </c>
      <c r="P237" s="683">
        <f>G238-G237</f>
        <v>-2</v>
      </c>
      <c r="Q237" s="683">
        <f>O238-O237</f>
        <v>-180358</v>
      </c>
      <c r="R237" s="689" t="s">
        <v>782</v>
      </c>
      <c r="AF237" s="426">
        <v>160476</v>
      </c>
    </row>
    <row r="238" spans="1:32" ht="23.1" customHeight="1">
      <c r="A238" s="412"/>
      <c r="B238" s="412"/>
      <c r="C238" s="412"/>
      <c r="D238" s="686"/>
      <c r="E238" s="686"/>
      <c r="F238" s="688"/>
      <c r="G238" s="447"/>
      <c r="H238" s="434"/>
      <c r="I238" s="434"/>
      <c r="J238" s="434"/>
      <c r="K238" s="434"/>
      <c r="L238" s="434"/>
      <c r="M238" s="434"/>
      <c r="N238" s="434"/>
      <c r="O238" s="434"/>
      <c r="P238" s="684"/>
      <c r="Q238" s="684"/>
      <c r="R238" s="690"/>
    </row>
    <row r="239" spans="1:32" s="426" customFormat="1" ht="23.1" customHeight="1">
      <c r="A239" s="423" t="s">
        <v>620</v>
      </c>
      <c r="B239" s="423" t="s">
        <v>754</v>
      </c>
      <c r="C239" s="423" t="s">
        <v>620</v>
      </c>
      <c r="D239" s="685" t="s">
        <v>621</v>
      </c>
      <c r="E239" s="685" t="s">
        <v>622</v>
      </c>
      <c r="F239" s="687" t="s">
        <v>617</v>
      </c>
      <c r="G239" s="446">
        <v>1</v>
      </c>
      <c r="H239" s="433">
        <v>20945</v>
      </c>
      <c r="I239" s="433">
        <v>20945</v>
      </c>
      <c r="J239" s="433">
        <v>80237</v>
      </c>
      <c r="K239" s="433">
        <v>80237</v>
      </c>
      <c r="L239" s="433">
        <v>0</v>
      </c>
      <c r="M239" s="433">
        <v>0</v>
      </c>
      <c r="N239" s="433">
        <v>101182</v>
      </c>
      <c r="O239" s="433">
        <v>101182</v>
      </c>
      <c r="P239" s="683">
        <f>G240-G239</f>
        <v>-1</v>
      </c>
      <c r="Q239" s="683">
        <f>O240-O239</f>
        <v>-101182</v>
      </c>
      <c r="R239" s="689" t="s">
        <v>623</v>
      </c>
      <c r="AF239" s="426">
        <v>80238</v>
      </c>
    </row>
    <row r="240" spans="1:32" ht="23.1" customHeight="1">
      <c r="A240" s="412"/>
      <c r="B240" s="412"/>
      <c r="C240" s="412"/>
      <c r="D240" s="686"/>
      <c r="E240" s="686"/>
      <c r="F240" s="688"/>
      <c r="G240" s="447"/>
      <c r="H240" s="434"/>
      <c r="I240" s="434"/>
      <c r="J240" s="434"/>
      <c r="K240" s="434"/>
      <c r="L240" s="434"/>
      <c r="M240" s="434"/>
      <c r="N240" s="434"/>
      <c r="O240" s="434"/>
      <c r="P240" s="684"/>
      <c r="Q240" s="684"/>
      <c r="R240" s="690"/>
    </row>
    <row r="241" spans="1:32" s="426" customFormat="1" ht="23.1" customHeight="1">
      <c r="A241" s="423" t="s">
        <v>783</v>
      </c>
      <c r="B241" s="423" t="s">
        <v>754</v>
      </c>
      <c r="C241" s="423" t="s">
        <v>783</v>
      </c>
      <c r="D241" s="685" t="s">
        <v>626</v>
      </c>
      <c r="E241" s="685" t="s">
        <v>784</v>
      </c>
      <c r="F241" s="687" t="s">
        <v>592</v>
      </c>
      <c r="G241" s="446">
        <v>18</v>
      </c>
      <c r="H241" s="433">
        <v>751</v>
      </c>
      <c r="I241" s="433">
        <v>13518</v>
      </c>
      <c r="J241" s="433">
        <v>2063</v>
      </c>
      <c r="K241" s="433">
        <v>37134</v>
      </c>
      <c r="L241" s="433">
        <v>0</v>
      </c>
      <c r="M241" s="433">
        <v>0</v>
      </c>
      <c r="N241" s="433">
        <v>2814</v>
      </c>
      <c r="O241" s="433">
        <v>50652</v>
      </c>
      <c r="P241" s="683">
        <f>G242-G241</f>
        <v>-18</v>
      </c>
      <c r="Q241" s="683">
        <f>O242-O241</f>
        <v>-50652</v>
      </c>
      <c r="R241" s="689" t="s">
        <v>785</v>
      </c>
      <c r="AD241" s="426">
        <v>13518</v>
      </c>
      <c r="AF241" s="426">
        <v>37134</v>
      </c>
    </row>
    <row r="242" spans="1:32" ht="23.1" customHeight="1">
      <c r="A242" s="412"/>
      <c r="B242" s="412"/>
      <c r="C242" s="412"/>
      <c r="D242" s="686"/>
      <c r="E242" s="686"/>
      <c r="F242" s="688"/>
      <c r="G242" s="447"/>
      <c r="H242" s="434"/>
      <c r="I242" s="434"/>
      <c r="J242" s="434"/>
      <c r="K242" s="434"/>
      <c r="L242" s="434"/>
      <c r="M242" s="434"/>
      <c r="N242" s="434"/>
      <c r="O242" s="434"/>
      <c r="P242" s="684"/>
      <c r="Q242" s="684"/>
      <c r="R242" s="690"/>
    </row>
    <row r="243" spans="1:32" s="426" customFormat="1" ht="23.1" customHeight="1">
      <c r="A243" s="423" t="s">
        <v>786</v>
      </c>
      <c r="B243" s="423" t="s">
        <v>754</v>
      </c>
      <c r="C243" s="423" t="s">
        <v>786</v>
      </c>
      <c r="D243" s="685" t="s">
        <v>626</v>
      </c>
      <c r="E243" s="685" t="s">
        <v>787</v>
      </c>
      <c r="F243" s="687" t="s">
        <v>592</v>
      </c>
      <c r="G243" s="446">
        <v>9</v>
      </c>
      <c r="H243" s="433">
        <v>9101</v>
      </c>
      <c r="I243" s="433">
        <v>81909</v>
      </c>
      <c r="J243" s="433">
        <v>2751</v>
      </c>
      <c r="K243" s="433">
        <v>24759</v>
      </c>
      <c r="L243" s="433">
        <v>0</v>
      </c>
      <c r="M243" s="433">
        <v>0</v>
      </c>
      <c r="N243" s="433">
        <v>11852</v>
      </c>
      <c r="O243" s="433">
        <v>106668</v>
      </c>
      <c r="P243" s="683">
        <f>G244-G243</f>
        <v>-9</v>
      </c>
      <c r="Q243" s="683">
        <f>O244-O243</f>
        <v>-106668</v>
      </c>
      <c r="R243" s="689" t="s">
        <v>788</v>
      </c>
      <c r="AD243" s="426">
        <v>81909</v>
      </c>
      <c r="AF243" s="426">
        <v>24759</v>
      </c>
    </row>
    <row r="244" spans="1:32" ht="23.1" customHeight="1">
      <c r="A244" s="412"/>
      <c r="B244" s="412"/>
      <c r="C244" s="412"/>
      <c r="D244" s="686"/>
      <c r="E244" s="686"/>
      <c r="F244" s="688"/>
      <c r="G244" s="447"/>
      <c r="H244" s="434"/>
      <c r="I244" s="434"/>
      <c r="J244" s="434"/>
      <c r="K244" s="434"/>
      <c r="L244" s="434"/>
      <c r="M244" s="434"/>
      <c r="N244" s="434"/>
      <c r="O244" s="434"/>
      <c r="P244" s="684"/>
      <c r="Q244" s="684"/>
      <c r="R244" s="690"/>
    </row>
    <row r="245" spans="1:32" s="426" customFormat="1" ht="23.1" customHeight="1">
      <c r="A245" s="423" t="s">
        <v>789</v>
      </c>
      <c r="B245" s="423" t="s">
        <v>754</v>
      </c>
      <c r="C245" s="423" t="s">
        <v>789</v>
      </c>
      <c r="D245" s="685" t="s">
        <v>626</v>
      </c>
      <c r="E245" s="685" t="s">
        <v>790</v>
      </c>
      <c r="F245" s="687" t="s">
        <v>592</v>
      </c>
      <c r="G245" s="446">
        <v>35</v>
      </c>
      <c r="H245" s="433">
        <v>10841</v>
      </c>
      <c r="I245" s="433">
        <v>379435</v>
      </c>
      <c r="J245" s="433">
        <v>3782</v>
      </c>
      <c r="K245" s="433">
        <v>132370</v>
      </c>
      <c r="L245" s="433">
        <v>0</v>
      </c>
      <c r="M245" s="433">
        <v>0</v>
      </c>
      <c r="N245" s="433">
        <v>14623</v>
      </c>
      <c r="O245" s="433">
        <v>511805</v>
      </c>
      <c r="P245" s="683">
        <f>G246-G245</f>
        <v>-35</v>
      </c>
      <c r="Q245" s="683">
        <f>O246-O245</f>
        <v>-511805</v>
      </c>
      <c r="R245" s="689" t="s">
        <v>791</v>
      </c>
      <c r="AD245" s="426">
        <v>379435</v>
      </c>
      <c r="AF245" s="426">
        <v>132370</v>
      </c>
    </row>
    <row r="246" spans="1:32" ht="23.1" customHeight="1">
      <c r="A246" s="412"/>
      <c r="B246" s="412"/>
      <c r="C246" s="412"/>
      <c r="D246" s="686"/>
      <c r="E246" s="686"/>
      <c r="F246" s="688"/>
      <c r="G246" s="447"/>
      <c r="H246" s="434"/>
      <c r="I246" s="434"/>
      <c r="J246" s="434"/>
      <c r="K246" s="434"/>
      <c r="L246" s="434"/>
      <c r="M246" s="434"/>
      <c r="N246" s="434"/>
      <c r="O246" s="434"/>
      <c r="P246" s="684"/>
      <c r="Q246" s="684"/>
      <c r="R246" s="690"/>
    </row>
    <row r="247" spans="1:32" s="426" customFormat="1" ht="23.1" customHeight="1">
      <c r="A247" s="423" t="s">
        <v>792</v>
      </c>
      <c r="B247" s="423" t="s">
        <v>754</v>
      </c>
      <c r="C247" s="423" t="s">
        <v>792</v>
      </c>
      <c r="D247" s="685" t="s">
        <v>631</v>
      </c>
      <c r="E247" s="685" t="s">
        <v>793</v>
      </c>
      <c r="F247" s="687" t="s">
        <v>592</v>
      </c>
      <c r="G247" s="446">
        <v>37</v>
      </c>
      <c r="H247" s="433">
        <v>16090</v>
      </c>
      <c r="I247" s="433">
        <v>595330</v>
      </c>
      <c r="J247" s="433">
        <v>19836</v>
      </c>
      <c r="K247" s="433">
        <v>733932</v>
      </c>
      <c r="L247" s="433">
        <v>0</v>
      </c>
      <c r="M247" s="433">
        <v>0</v>
      </c>
      <c r="N247" s="433">
        <v>35926</v>
      </c>
      <c r="O247" s="433">
        <v>1329262</v>
      </c>
      <c r="P247" s="683">
        <f>G248-G247</f>
        <v>-37</v>
      </c>
      <c r="Q247" s="683">
        <f>O248-O247</f>
        <v>-1329262</v>
      </c>
      <c r="R247" s="689" t="s">
        <v>794</v>
      </c>
      <c r="AD247" s="426">
        <v>595367</v>
      </c>
      <c r="AF247" s="426">
        <v>733932</v>
      </c>
    </row>
    <row r="248" spans="1:32" ht="23.1" customHeight="1">
      <c r="A248" s="412"/>
      <c r="B248" s="412"/>
      <c r="C248" s="412"/>
      <c r="D248" s="686"/>
      <c r="E248" s="686"/>
      <c r="F248" s="688"/>
      <c r="G248" s="447"/>
      <c r="H248" s="434"/>
      <c r="I248" s="434"/>
      <c r="J248" s="434"/>
      <c r="K248" s="434"/>
      <c r="L248" s="434"/>
      <c r="M248" s="434"/>
      <c r="N248" s="434"/>
      <c r="O248" s="434"/>
      <c r="P248" s="684"/>
      <c r="Q248" s="684"/>
      <c r="R248" s="690"/>
    </row>
    <row r="249" spans="1:32" s="426" customFormat="1" ht="23.1" customHeight="1">
      <c r="A249" s="423" t="s">
        <v>795</v>
      </c>
      <c r="B249" s="423" t="s">
        <v>754</v>
      </c>
      <c r="C249" s="423" t="s">
        <v>795</v>
      </c>
      <c r="D249" s="685" t="s">
        <v>631</v>
      </c>
      <c r="E249" s="685" t="s">
        <v>796</v>
      </c>
      <c r="F249" s="687" t="s">
        <v>592</v>
      </c>
      <c r="G249" s="446">
        <v>46</v>
      </c>
      <c r="H249" s="433">
        <v>25580</v>
      </c>
      <c r="I249" s="433">
        <v>1176680</v>
      </c>
      <c r="J249" s="433">
        <v>27811</v>
      </c>
      <c r="K249" s="433">
        <v>1279306</v>
      </c>
      <c r="L249" s="433">
        <v>0</v>
      </c>
      <c r="M249" s="433">
        <v>0</v>
      </c>
      <c r="N249" s="433">
        <v>53391</v>
      </c>
      <c r="O249" s="433">
        <v>2455986</v>
      </c>
      <c r="P249" s="683">
        <f>G250-G249</f>
        <v>-46</v>
      </c>
      <c r="Q249" s="683">
        <f>O250-O249</f>
        <v>-2455986</v>
      </c>
      <c r="R249" s="689" t="s">
        <v>797</v>
      </c>
      <c r="AD249" s="426">
        <v>1176680</v>
      </c>
      <c r="AF249" s="426">
        <v>1279306</v>
      </c>
    </row>
    <row r="250" spans="1:32" ht="23.1" customHeight="1">
      <c r="A250" s="412"/>
      <c r="B250" s="412"/>
      <c r="C250" s="412"/>
      <c r="D250" s="686"/>
      <c r="E250" s="686"/>
      <c r="F250" s="688"/>
      <c r="G250" s="447"/>
      <c r="H250" s="434"/>
      <c r="I250" s="434"/>
      <c r="J250" s="434"/>
      <c r="K250" s="434"/>
      <c r="L250" s="434"/>
      <c r="M250" s="434"/>
      <c r="N250" s="434"/>
      <c r="O250" s="434"/>
      <c r="P250" s="684"/>
      <c r="Q250" s="684"/>
      <c r="R250" s="690"/>
    </row>
    <row r="251" spans="1:32" s="426" customFormat="1" ht="23.1" customHeight="1">
      <c r="A251" s="423" t="s">
        <v>798</v>
      </c>
      <c r="B251" s="423" t="s">
        <v>754</v>
      </c>
      <c r="C251" s="423" t="s">
        <v>798</v>
      </c>
      <c r="D251" s="685" t="s">
        <v>631</v>
      </c>
      <c r="E251" s="685" t="s">
        <v>799</v>
      </c>
      <c r="F251" s="687" t="s">
        <v>592</v>
      </c>
      <c r="G251" s="446">
        <v>18</v>
      </c>
      <c r="H251" s="433">
        <v>3582</v>
      </c>
      <c r="I251" s="433">
        <v>64476</v>
      </c>
      <c r="J251" s="433">
        <v>8179</v>
      </c>
      <c r="K251" s="433">
        <v>147222</v>
      </c>
      <c r="L251" s="433">
        <v>0</v>
      </c>
      <c r="M251" s="433">
        <v>0</v>
      </c>
      <c r="N251" s="433">
        <v>11761</v>
      </c>
      <c r="O251" s="433">
        <v>211698</v>
      </c>
      <c r="P251" s="683">
        <f>G252-G251</f>
        <v>-18</v>
      </c>
      <c r="Q251" s="683">
        <f>O252-O251</f>
        <v>-211698</v>
      </c>
      <c r="R251" s="689" t="s">
        <v>800</v>
      </c>
      <c r="AD251" s="426">
        <v>64476</v>
      </c>
      <c r="AF251" s="426">
        <v>147222</v>
      </c>
    </row>
    <row r="252" spans="1:32" ht="23.1" customHeight="1">
      <c r="A252" s="412"/>
      <c r="B252" s="412"/>
      <c r="C252" s="412"/>
      <c r="D252" s="686"/>
      <c r="E252" s="686"/>
      <c r="F252" s="688"/>
      <c r="G252" s="447"/>
      <c r="H252" s="434"/>
      <c r="I252" s="434"/>
      <c r="J252" s="434"/>
      <c r="K252" s="434"/>
      <c r="L252" s="434"/>
      <c r="M252" s="434"/>
      <c r="N252" s="434"/>
      <c r="O252" s="434"/>
      <c r="P252" s="684"/>
      <c r="Q252" s="684"/>
      <c r="R252" s="690"/>
    </row>
    <row r="253" spans="1:32" s="426" customFormat="1" ht="23.1" customHeight="1">
      <c r="A253" s="423" t="s">
        <v>801</v>
      </c>
      <c r="B253" s="423" t="s">
        <v>754</v>
      </c>
      <c r="C253" s="423" t="s">
        <v>801</v>
      </c>
      <c r="D253" s="685" t="s">
        <v>746</v>
      </c>
      <c r="E253" s="685" t="s">
        <v>802</v>
      </c>
      <c r="F253" s="687" t="s">
        <v>617</v>
      </c>
      <c r="G253" s="446">
        <v>2</v>
      </c>
      <c r="H253" s="433">
        <v>1908</v>
      </c>
      <c r="I253" s="433">
        <v>3816</v>
      </c>
      <c r="J253" s="433">
        <v>36087</v>
      </c>
      <c r="K253" s="433">
        <v>72174</v>
      </c>
      <c r="L253" s="433">
        <v>0</v>
      </c>
      <c r="M253" s="433">
        <v>0</v>
      </c>
      <c r="N253" s="433">
        <v>37995</v>
      </c>
      <c r="O253" s="433">
        <v>75990</v>
      </c>
      <c r="P253" s="683">
        <f>G254-G253</f>
        <v>-2</v>
      </c>
      <c r="Q253" s="683">
        <f>O254-O253</f>
        <v>-75990</v>
      </c>
      <c r="R253" s="689" t="s">
        <v>803</v>
      </c>
      <c r="AF253" s="426">
        <v>72174</v>
      </c>
    </row>
    <row r="254" spans="1:32" ht="23.1" customHeight="1">
      <c r="A254" s="412"/>
      <c r="B254" s="412"/>
      <c r="C254" s="412"/>
      <c r="D254" s="686"/>
      <c r="E254" s="686"/>
      <c r="F254" s="688"/>
      <c r="G254" s="447"/>
      <c r="H254" s="434"/>
      <c r="I254" s="434"/>
      <c r="J254" s="434"/>
      <c r="K254" s="434"/>
      <c r="L254" s="434"/>
      <c r="M254" s="434"/>
      <c r="N254" s="434"/>
      <c r="O254" s="434"/>
      <c r="P254" s="684"/>
      <c r="Q254" s="684"/>
      <c r="R254" s="690"/>
    </row>
    <row r="255" spans="1:32" s="426" customFormat="1" ht="23.1" customHeight="1">
      <c r="A255" s="423" t="s">
        <v>804</v>
      </c>
      <c r="B255" s="423" t="s">
        <v>754</v>
      </c>
      <c r="C255" s="423" t="s">
        <v>804</v>
      </c>
      <c r="D255" s="685" t="s">
        <v>746</v>
      </c>
      <c r="E255" s="685" t="s">
        <v>805</v>
      </c>
      <c r="F255" s="687" t="s">
        <v>617</v>
      </c>
      <c r="G255" s="446">
        <v>2</v>
      </c>
      <c r="H255" s="433">
        <v>2912</v>
      </c>
      <c r="I255" s="433">
        <v>5824</v>
      </c>
      <c r="J255" s="433">
        <v>41139</v>
      </c>
      <c r="K255" s="433">
        <v>82278</v>
      </c>
      <c r="L255" s="433">
        <v>0</v>
      </c>
      <c r="M255" s="433">
        <v>0</v>
      </c>
      <c r="N255" s="433">
        <v>44051</v>
      </c>
      <c r="O255" s="433">
        <v>88102</v>
      </c>
      <c r="P255" s="683">
        <f>G256-G255</f>
        <v>-2</v>
      </c>
      <c r="Q255" s="683">
        <f>O256-O255</f>
        <v>-88102</v>
      </c>
      <c r="R255" s="689" t="s">
        <v>806</v>
      </c>
      <c r="AF255" s="426">
        <v>82280</v>
      </c>
    </row>
    <row r="256" spans="1:32" ht="23.1" customHeight="1">
      <c r="A256" s="412"/>
      <c r="B256" s="412"/>
      <c r="C256" s="412"/>
      <c r="D256" s="686"/>
      <c r="E256" s="686"/>
      <c r="F256" s="688"/>
      <c r="G256" s="447"/>
      <c r="H256" s="434"/>
      <c r="I256" s="434"/>
      <c r="J256" s="434"/>
      <c r="K256" s="434"/>
      <c r="L256" s="434"/>
      <c r="M256" s="434"/>
      <c r="N256" s="434"/>
      <c r="O256" s="434"/>
      <c r="P256" s="684"/>
      <c r="Q256" s="684"/>
      <c r="R256" s="690"/>
    </row>
    <row r="257" spans="1:32" s="426" customFormat="1" ht="23.1" customHeight="1">
      <c r="A257" s="423" t="s">
        <v>807</v>
      </c>
      <c r="B257" s="423" t="s">
        <v>754</v>
      </c>
      <c r="C257" s="423" t="s">
        <v>807</v>
      </c>
      <c r="D257" s="685" t="s">
        <v>746</v>
      </c>
      <c r="E257" s="685" t="s">
        <v>808</v>
      </c>
      <c r="F257" s="687" t="s">
        <v>617</v>
      </c>
      <c r="G257" s="446">
        <v>8</v>
      </c>
      <c r="H257" s="433">
        <v>3765</v>
      </c>
      <c r="I257" s="433">
        <v>30120</v>
      </c>
      <c r="J257" s="433">
        <v>46191</v>
      </c>
      <c r="K257" s="433">
        <v>369528</v>
      </c>
      <c r="L257" s="433">
        <v>0</v>
      </c>
      <c r="M257" s="433">
        <v>0</v>
      </c>
      <c r="N257" s="433">
        <v>49956</v>
      </c>
      <c r="O257" s="433">
        <v>399648</v>
      </c>
      <c r="P257" s="683">
        <f>G258-G257</f>
        <v>-8</v>
      </c>
      <c r="Q257" s="683">
        <f>O258-O257</f>
        <v>-399648</v>
      </c>
      <c r="R257" s="689" t="s">
        <v>809</v>
      </c>
      <c r="AF257" s="426">
        <v>369536</v>
      </c>
    </row>
    <row r="258" spans="1:32" ht="23.1" customHeight="1">
      <c r="A258" s="412"/>
      <c r="B258" s="412"/>
      <c r="C258" s="412"/>
      <c r="D258" s="686"/>
      <c r="E258" s="686"/>
      <c r="F258" s="688"/>
      <c r="G258" s="447"/>
      <c r="H258" s="434"/>
      <c r="I258" s="434"/>
      <c r="J258" s="434"/>
      <c r="K258" s="434"/>
      <c r="L258" s="434"/>
      <c r="M258" s="434"/>
      <c r="N258" s="434"/>
      <c r="O258" s="434"/>
      <c r="P258" s="684"/>
      <c r="Q258" s="684"/>
      <c r="R258" s="690"/>
    </row>
    <row r="259" spans="1:32" s="426" customFormat="1" ht="23.1" customHeight="1">
      <c r="A259" s="423" t="s">
        <v>745</v>
      </c>
      <c r="B259" s="423" t="s">
        <v>754</v>
      </c>
      <c r="C259" s="423" t="s">
        <v>745</v>
      </c>
      <c r="D259" s="685" t="s">
        <v>746</v>
      </c>
      <c r="E259" s="685" t="s">
        <v>747</v>
      </c>
      <c r="F259" s="687" t="s">
        <v>617</v>
      </c>
      <c r="G259" s="446">
        <v>8</v>
      </c>
      <c r="H259" s="433">
        <v>4945</v>
      </c>
      <c r="I259" s="433">
        <v>39560</v>
      </c>
      <c r="J259" s="433">
        <v>55574</v>
      </c>
      <c r="K259" s="433">
        <v>444592</v>
      </c>
      <c r="L259" s="433">
        <v>0</v>
      </c>
      <c r="M259" s="433">
        <v>0</v>
      </c>
      <c r="N259" s="433">
        <v>60519</v>
      </c>
      <c r="O259" s="433">
        <v>484152</v>
      </c>
      <c r="P259" s="683">
        <f>G260-G259</f>
        <v>-8</v>
      </c>
      <c r="Q259" s="683">
        <f>O260-O259</f>
        <v>-484152</v>
      </c>
      <c r="R259" s="689" t="s">
        <v>748</v>
      </c>
      <c r="AF259" s="426">
        <v>444600</v>
      </c>
    </row>
    <row r="260" spans="1:32" ht="23.1" customHeight="1">
      <c r="A260" s="412"/>
      <c r="B260" s="412"/>
      <c r="C260" s="412"/>
      <c r="D260" s="686"/>
      <c r="E260" s="686"/>
      <c r="F260" s="688"/>
      <c r="G260" s="447"/>
      <c r="H260" s="434"/>
      <c r="I260" s="434"/>
      <c r="J260" s="434"/>
      <c r="K260" s="434"/>
      <c r="L260" s="434"/>
      <c r="M260" s="434"/>
      <c r="N260" s="434"/>
      <c r="O260" s="434"/>
      <c r="P260" s="684"/>
      <c r="Q260" s="684"/>
      <c r="R260" s="690"/>
    </row>
    <row r="261" spans="1:32" s="426" customFormat="1" ht="23.1" customHeight="1">
      <c r="A261" s="423" t="s">
        <v>810</v>
      </c>
      <c r="B261" s="423" t="s">
        <v>754</v>
      </c>
      <c r="C261" s="423" t="s">
        <v>810</v>
      </c>
      <c r="D261" s="685" t="s">
        <v>811</v>
      </c>
      <c r="E261" s="685" t="s">
        <v>812</v>
      </c>
      <c r="F261" s="687" t="s">
        <v>659</v>
      </c>
      <c r="G261" s="446">
        <v>7</v>
      </c>
      <c r="H261" s="433">
        <v>1548</v>
      </c>
      <c r="I261" s="433">
        <v>10836</v>
      </c>
      <c r="J261" s="433">
        <v>8253</v>
      </c>
      <c r="K261" s="433">
        <v>57771</v>
      </c>
      <c r="L261" s="433">
        <v>0</v>
      </c>
      <c r="M261" s="433">
        <v>0</v>
      </c>
      <c r="N261" s="433">
        <v>9801</v>
      </c>
      <c r="O261" s="433">
        <v>68607</v>
      </c>
      <c r="P261" s="683">
        <f>G262-G261</f>
        <v>-7</v>
      </c>
      <c r="Q261" s="683">
        <f>O262-O261</f>
        <v>-68607</v>
      </c>
      <c r="R261" s="689" t="s">
        <v>813</v>
      </c>
      <c r="AF261" s="426">
        <v>57771</v>
      </c>
    </row>
    <row r="262" spans="1:32" ht="23.1" customHeight="1">
      <c r="A262" s="412"/>
      <c r="B262" s="412"/>
      <c r="C262" s="412"/>
      <c r="D262" s="686"/>
      <c r="E262" s="686"/>
      <c r="F262" s="688"/>
      <c r="G262" s="447"/>
      <c r="H262" s="434"/>
      <c r="I262" s="434"/>
      <c r="J262" s="434"/>
      <c r="K262" s="434"/>
      <c r="L262" s="434"/>
      <c r="M262" s="434"/>
      <c r="N262" s="434"/>
      <c r="O262" s="434"/>
      <c r="P262" s="684"/>
      <c r="Q262" s="684"/>
      <c r="R262" s="690"/>
    </row>
    <row r="263" spans="1:32" s="426" customFormat="1" ht="23.1" customHeight="1">
      <c r="A263" s="423" t="s">
        <v>814</v>
      </c>
      <c r="B263" s="423" t="s">
        <v>754</v>
      </c>
      <c r="C263" s="423" t="s">
        <v>814</v>
      </c>
      <c r="D263" s="685" t="s">
        <v>811</v>
      </c>
      <c r="E263" s="685" t="s">
        <v>815</v>
      </c>
      <c r="F263" s="687" t="s">
        <v>659</v>
      </c>
      <c r="G263" s="446">
        <v>1</v>
      </c>
      <c r="H263" s="433">
        <v>2334</v>
      </c>
      <c r="I263" s="433">
        <v>2334</v>
      </c>
      <c r="J263" s="433">
        <v>8253</v>
      </c>
      <c r="K263" s="433">
        <v>8253</v>
      </c>
      <c r="L263" s="433">
        <v>0</v>
      </c>
      <c r="M263" s="433">
        <v>0</v>
      </c>
      <c r="N263" s="433">
        <v>10587</v>
      </c>
      <c r="O263" s="433">
        <v>10587</v>
      </c>
      <c r="P263" s="683">
        <f>G264-G263</f>
        <v>-1</v>
      </c>
      <c r="Q263" s="683">
        <f>O264-O263</f>
        <v>-10587</v>
      </c>
      <c r="R263" s="689" t="s">
        <v>816</v>
      </c>
      <c r="AF263" s="426">
        <v>8253</v>
      </c>
    </row>
    <row r="264" spans="1:32" ht="23.1" customHeight="1">
      <c r="A264" s="412"/>
      <c r="B264" s="412"/>
      <c r="C264" s="412"/>
      <c r="D264" s="686"/>
      <c r="E264" s="686"/>
      <c r="F264" s="688"/>
      <c r="G264" s="447"/>
      <c r="H264" s="434"/>
      <c r="I264" s="434"/>
      <c r="J264" s="434"/>
      <c r="K264" s="434"/>
      <c r="L264" s="434"/>
      <c r="M264" s="434"/>
      <c r="N264" s="434"/>
      <c r="O264" s="434"/>
      <c r="P264" s="684"/>
      <c r="Q264" s="684"/>
      <c r="R264" s="690"/>
    </row>
    <row r="265" spans="1:32" s="426" customFormat="1" ht="23.1" customHeight="1">
      <c r="A265" s="423" t="s">
        <v>817</v>
      </c>
      <c r="B265" s="423" t="s">
        <v>754</v>
      </c>
      <c r="C265" s="423" t="s">
        <v>817</v>
      </c>
      <c r="D265" s="685" t="s">
        <v>818</v>
      </c>
      <c r="E265" s="685" t="s">
        <v>819</v>
      </c>
      <c r="F265" s="687" t="s">
        <v>659</v>
      </c>
      <c r="G265" s="446">
        <v>1</v>
      </c>
      <c r="H265" s="433">
        <v>46798</v>
      </c>
      <c r="I265" s="433">
        <v>46798</v>
      </c>
      <c r="J265" s="433">
        <v>112041</v>
      </c>
      <c r="K265" s="433">
        <v>112041</v>
      </c>
      <c r="L265" s="433">
        <v>2512</v>
      </c>
      <c r="M265" s="433">
        <v>2512</v>
      </c>
      <c r="N265" s="433">
        <v>161351</v>
      </c>
      <c r="O265" s="433">
        <v>161351</v>
      </c>
      <c r="P265" s="683">
        <f>G266-G265</f>
        <v>-1</v>
      </c>
      <c r="Q265" s="683">
        <f>O266-O265</f>
        <v>-161351</v>
      </c>
      <c r="R265" s="689" t="s">
        <v>820</v>
      </c>
      <c r="AF265" s="426">
        <v>112041</v>
      </c>
    </row>
    <row r="266" spans="1:32" ht="23.1" customHeight="1">
      <c r="A266" s="412"/>
      <c r="B266" s="412"/>
      <c r="C266" s="412"/>
      <c r="D266" s="686"/>
      <c r="E266" s="686"/>
      <c r="F266" s="688"/>
      <c r="G266" s="447"/>
      <c r="H266" s="434"/>
      <c r="I266" s="434"/>
      <c r="J266" s="434"/>
      <c r="K266" s="434"/>
      <c r="L266" s="434"/>
      <c r="M266" s="434"/>
      <c r="N266" s="434"/>
      <c r="O266" s="434"/>
      <c r="P266" s="684"/>
      <c r="Q266" s="684"/>
      <c r="R266" s="690"/>
    </row>
    <row r="267" spans="1:32" s="426" customFormat="1" ht="23.1" customHeight="1">
      <c r="A267" s="423" t="s">
        <v>821</v>
      </c>
      <c r="B267" s="423" t="s">
        <v>754</v>
      </c>
      <c r="C267" s="423" t="s">
        <v>821</v>
      </c>
      <c r="D267" s="685" t="s">
        <v>822</v>
      </c>
      <c r="E267" s="685" t="s">
        <v>823</v>
      </c>
      <c r="F267" s="687" t="s">
        <v>824</v>
      </c>
      <c r="G267" s="446">
        <v>1</v>
      </c>
      <c r="H267" s="433">
        <v>3025</v>
      </c>
      <c r="I267" s="433">
        <v>3025</v>
      </c>
      <c r="J267" s="433">
        <v>151306</v>
      </c>
      <c r="K267" s="433">
        <v>151306</v>
      </c>
      <c r="L267" s="433">
        <v>0</v>
      </c>
      <c r="M267" s="433">
        <v>0</v>
      </c>
      <c r="N267" s="433">
        <v>154331</v>
      </c>
      <c r="O267" s="433">
        <v>154331</v>
      </c>
      <c r="P267" s="683">
        <f>G268-G267</f>
        <v>-1</v>
      </c>
      <c r="Q267" s="683">
        <f>O268-O267</f>
        <v>-154331</v>
      </c>
      <c r="R267" s="689" t="s">
        <v>825</v>
      </c>
      <c r="AF267" s="426">
        <v>151306</v>
      </c>
    </row>
    <row r="268" spans="1:32" ht="23.1" customHeight="1">
      <c r="A268" s="412"/>
      <c r="B268" s="412"/>
      <c r="C268" s="412"/>
      <c r="D268" s="686"/>
      <c r="E268" s="686"/>
      <c r="F268" s="688"/>
      <c r="G268" s="447"/>
      <c r="H268" s="434"/>
      <c r="I268" s="434"/>
      <c r="J268" s="434"/>
      <c r="K268" s="434"/>
      <c r="L268" s="434"/>
      <c r="M268" s="434"/>
      <c r="N268" s="434"/>
      <c r="O268" s="434"/>
      <c r="P268" s="684"/>
      <c r="Q268" s="684"/>
      <c r="R268" s="690"/>
    </row>
    <row r="269" spans="1:32" s="426" customFormat="1" ht="23.1" customHeight="1">
      <c r="A269" s="423" t="s">
        <v>826</v>
      </c>
      <c r="B269" s="423" t="s">
        <v>754</v>
      </c>
      <c r="C269" s="423" t="s">
        <v>826</v>
      </c>
      <c r="D269" s="685" t="s">
        <v>822</v>
      </c>
      <c r="E269" s="685" t="s">
        <v>827</v>
      </c>
      <c r="F269" s="687" t="s">
        <v>824</v>
      </c>
      <c r="G269" s="446">
        <v>1</v>
      </c>
      <c r="H269" s="433">
        <v>3025</v>
      </c>
      <c r="I269" s="433">
        <v>3025</v>
      </c>
      <c r="J269" s="433">
        <v>151306</v>
      </c>
      <c r="K269" s="433">
        <v>151306</v>
      </c>
      <c r="L269" s="433">
        <v>0</v>
      </c>
      <c r="M269" s="433">
        <v>0</v>
      </c>
      <c r="N269" s="433">
        <v>154331</v>
      </c>
      <c r="O269" s="433">
        <v>154331</v>
      </c>
      <c r="P269" s="683">
        <f>G270-G269</f>
        <v>-1</v>
      </c>
      <c r="Q269" s="683">
        <f>O270-O269</f>
        <v>-154331</v>
      </c>
      <c r="R269" s="689" t="s">
        <v>828</v>
      </c>
      <c r="AF269" s="426">
        <v>151306</v>
      </c>
    </row>
    <row r="270" spans="1:32" ht="23.1" customHeight="1">
      <c r="A270" s="412"/>
      <c r="B270" s="412"/>
      <c r="C270" s="412"/>
      <c r="D270" s="686"/>
      <c r="E270" s="686"/>
      <c r="F270" s="688"/>
      <c r="G270" s="447"/>
      <c r="H270" s="434"/>
      <c r="I270" s="434"/>
      <c r="J270" s="434"/>
      <c r="K270" s="434"/>
      <c r="L270" s="434"/>
      <c r="M270" s="434"/>
      <c r="N270" s="434"/>
      <c r="O270" s="434"/>
      <c r="P270" s="684"/>
      <c r="Q270" s="684"/>
      <c r="R270" s="690"/>
    </row>
    <row r="271" spans="1:32" s="426" customFormat="1" ht="23.1" customHeight="1">
      <c r="A271" s="423" t="s">
        <v>829</v>
      </c>
      <c r="B271" s="423" t="s">
        <v>754</v>
      </c>
      <c r="C271" s="423" t="s">
        <v>829</v>
      </c>
      <c r="D271" s="685" t="s">
        <v>822</v>
      </c>
      <c r="E271" s="685" t="s">
        <v>830</v>
      </c>
      <c r="F271" s="687" t="s">
        <v>824</v>
      </c>
      <c r="G271" s="446">
        <v>1</v>
      </c>
      <c r="H271" s="433">
        <v>3025</v>
      </c>
      <c r="I271" s="433">
        <v>3025</v>
      </c>
      <c r="J271" s="433">
        <v>151306</v>
      </c>
      <c r="K271" s="433">
        <v>151306</v>
      </c>
      <c r="L271" s="433">
        <v>0</v>
      </c>
      <c r="M271" s="433">
        <v>0</v>
      </c>
      <c r="N271" s="433">
        <v>154331</v>
      </c>
      <c r="O271" s="433">
        <v>154331</v>
      </c>
      <c r="P271" s="683">
        <f>G272-G271</f>
        <v>-1</v>
      </c>
      <c r="Q271" s="683">
        <f>O272-O271</f>
        <v>-154331</v>
      </c>
      <c r="R271" s="689" t="s">
        <v>831</v>
      </c>
      <c r="AF271" s="426">
        <v>151306</v>
      </c>
    </row>
    <row r="272" spans="1:32" ht="23.1" customHeight="1">
      <c r="A272" s="412"/>
      <c r="B272" s="412"/>
      <c r="C272" s="412"/>
      <c r="D272" s="686"/>
      <c r="E272" s="686"/>
      <c r="F272" s="688"/>
      <c r="G272" s="447"/>
      <c r="H272" s="434"/>
      <c r="I272" s="434"/>
      <c r="J272" s="434"/>
      <c r="K272" s="434"/>
      <c r="L272" s="434"/>
      <c r="M272" s="434"/>
      <c r="N272" s="434">
        <f t="shared" ref="N272:N308" si="7">H272+J272</f>
        <v>0</v>
      </c>
      <c r="O272" s="434"/>
      <c r="P272" s="684"/>
      <c r="Q272" s="684"/>
      <c r="R272" s="690"/>
    </row>
    <row r="273" spans="1:32" s="426" customFormat="1" ht="23.1" customHeight="1">
      <c r="A273" s="423"/>
      <c r="B273" s="423"/>
      <c r="C273" s="423"/>
      <c r="D273" s="691" t="str">
        <f>신규_공종별내역서!A101</f>
        <v>경질비닐전선관</v>
      </c>
      <c r="E273" s="691" t="str">
        <f>신규_공종별내역서!B101</f>
        <v>HI 36 mm</v>
      </c>
      <c r="F273" s="689" t="str">
        <f>신규_공종별내역서!C101</f>
        <v>M</v>
      </c>
      <c r="G273" s="448"/>
      <c r="H273" s="433"/>
      <c r="I273" s="433"/>
      <c r="J273" s="433"/>
      <c r="K273" s="433"/>
      <c r="L273" s="433"/>
      <c r="M273" s="433"/>
      <c r="N273" s="433">
        <f t="shared" si="7"/>
        <v>0</v>
      </c>
      <c r="O273" s="433"/>
      <c r="P273" s="683">
        <f>G274-G273</f>
        <v>30.7</v>
      </c>
      <c r="Q273" s="683">
        <f>O274-O273</f>
        <v>838170</v>
      </c>
      <c r="R273" s="687" t="str">
        <f>신규_공종별내역서!L101</f>
        <v>신규호표 52</v>
      </c>
      <c r="AF273" s="426">
        <v>7094713</v>
      </c>
    </row>
    <row r="274" spans="1:32" ht="23.1" customHeight="1">
      <c r="A274" s="412"/>
      <c r="B274" s="412"/>
      <c r="C274" s="412"/>
      <c r="D274" s="692"/>
      <c r="E274" s="692"/>
      <c r="F274" s="690"/>
      <c r="G274" s="448">
        <f>신규_공종별내역서!D101</f>
        <v>30.7</v>
      </c>
      <c r="H274" s="434">
        <f>신규_공종별내역서!E101</f>
        <v>1411</v>
      </c>
      <c r="I274" s="434">
        <f>신규_공종별내역서!F101</f>
        <v>43317</v>
      </c>
      <c r="J274" s="434">
        <f>신규_공종별내역서!G101</f>
        <v>25891</v>
      </c>
      <c r="K274" s="434">
        <f>신규_공종별내역서!H101</f>
        <v>794853</v>
      </c>
      <c r="L274" s="434">
        <f>신규_공종별내역서!I101</f>
        <v>0</v>
      </c>
      <c r="M274" s="434">
        <f>신규_공종별내역서!J101</f>
        <v>0</v>
      </c>
      <c r="N274" s="434">
        <f t="shared" si="7"/>
        <v>27302</v>
      </c>
      <c r="O274" s="434">
        <f>신규_공종별내역서!K101</f>
        <v>838170</v>
      </c>
      <c r="P274" s="684"/>
      <c r="Q274" s="684"/>
      <c r="R274" s="688"/>
      <c r="AF274" s="422">
        <f ca="1">TRUNC([2]!sumcol(0,AF173:AF226))</f>
        <v>0</v>
      </c>
    </row>
    <row r="275" spans="1:32" s="426" customFormat="1" ht="23.1" customHeight="1">
      <c r="A275" s="423"/>
      <c r="B275" s="423"/>
      <c r="C275" s="423"/>
      <c r="D275" s="691" t="str">
        <f>신규_공종별내역서!A102</f>
        <v>경질비닐PVC전선관-매입</v>
      </c>
      <c r="E275" s="691" t="str">
        <f>신규_공종별내역서!B102</f>
        <v>HI 54 mm</v>
      </c>
      <c r="F275" s="689" t="str">
        <f>신규_공종별내역서!C102</f>
        <v>M</v>
      </c>
      <c r="G275" s="448"/>
      <c r="H275" s="433"/>
      <c r="I275" s="433"/>
      <c r="J275" s="433"/>
      <c r="K275" s="433"/>
      <c r="L275" s="433"/>
      <c r="M275" s="433"/>
      <c r="N275" s="433">
        <f t="shared" si="7"/>
        <v>0</v>
      </c>
      <c r="O275" s="433"/>
      <c r="P275" s="683">
        <f>G276-G275</f>
        <v>29.4</v>
      </c>
      <c r="Q275" s="683">
        <f>O276-O275</f>
        <v>1382387</v>
      </c>
      <c r="R275" s="687" t="str">
        <f>신규_공종별내역서!L102</f>
        <v>신규호표 53</v>
      </c>
    </row>
    <row r="276" spans="1:32" ht="23.1" customHeight="1">
      <c r="A276" s="412"/>
      <c r="B276" s="412"/>
      <c r="C276" s="412"/>
      <c r="D276" s="692"/>
      <c r="E276" s="692"/>
      <c r="F276" s="690"/>
      <c r="G276" s="448">
        <f>신규_공종별내역서!D102</f>
        <v>29.4</v>
      </c>
      <c r="H276" s="434">
        <f>신규_공종별내역서!E102</f>
        <v>2371</v>
      </c>
      <c r="I276" s="434">
        <f>신규_공종별내역서!F102</f>
        <v>69707</v>
      </c>
      <c r="J276" s="434">
        <f>신규_공종별내역서!G102</f>
        <v>44649</v>
      </c>
      <c r="K276" s="434">
        <f>신규_공종별내역서!H102</f>
        <v>1312680</v>
      </c>
      <c r="L276" s="434">
        <f>신규_공종별내역서!I102</f>
        <v>0</v>
      </c>
      <c r="M276" s="434">
        <f>신규_공종별내역서!J102</f>
        <v>0</v>
      </c>
      <c r="N276" s="434">
        <f t="shared" si="7"/>
        <v>47020</v>
      </c>
      <c r="O276" s="434">
        <f>신규_공종별내역서!K102</f>
        <v>1382387</v>
      </c>
      <c r="P276" s="684"/>
      <c r="Q276" s="684"/>
      <c r="R276" s="688"/>
    </row>
    <row r="277" spans="1:32" s="426" customFormat="1" ht="23.1" customHeight="1">
      <c r="A277" s="423"/>
      <c r="B277" s="423"/>
      <c r="C277" s="423"/>
      <c r="D277" s="691" t="str">
        <f>신규_공종별내역서!A103</f>
        <v>경질비닐전선관</v>
      </c>
      <c r="E277" s="691" t="str">
        <f>신규_공종별내역서!B103</f>
        <v>HI 104 mm</v>
      </c>
      <c r="F277" s="689" t="str">
        <f>신규_공종별내역서!C103</f>
        <v>M</v>
      </c>
      <c r="G277" s="448"/>
      <c r="H277" s="433"/>
      <c r="I277" s="433"/>
      <c r="J277" s="433"/>
      <c r="K277" s="433"/>
      <c r="L277" s="433"/>
      <c r="M277" s="433"/>
      <c r="N277" s="433">
        <f t="shared" si="7"/>
        <v>0</v>
      </c>
      <c r="O277" s="433"/>
      <c r="P277" s="683">
        <f>G278-G277</f>
        <v>1.5</v>
      </c>
      <c r="Q277" s="683">
        <f>O278-O277</f>
        <v>188711</v>
      </c>
      <c r="R277" s="687" t="str">
        <f>신규_공종별내역서!L103</f>
        <v>신규호표 54</v>
      </c>
    </row>
    <row r="278" spans="1:32" ht="23.1" customHeight="1">
      <c r="A278" s="412"/>
      <c r="B278" s="412"/>
      <c r="C278" s="412"/>
      <c r="D278" s="692"/>
      <c r="E278" s="692"/>
      <c r="F278" s="690"/>
      <c r="G278" s="448">
        <f>신규_공종별내역서!D103</f>
        <v>1.5</v>
      </c>
      <c r="H278" s="434">
        <f>신규_공종별내역서!E103</f>
        <v>6707</v>
      </c>
      <c r="I278" s="434">
        <f>신규_공종별내역서!F103</f>
        <v>10060</v>
      </c>
      <c r="J278" s="434">
        <f>신규_공종별내역서!G103</f>
        <v>119101</v>
      </c>
      <c r="K278" s="434">
        <f>신규_공종별내역서!H103</f>
        <v>178651</v>
      </c>
      <c r="L278" s="434">
        <f>신규_공종별내역서!I103</f>
        <v>0</v>
      </c>
      <c r="M278" s="434">
        <f>신규_공종별내역서!J103</f>
        <v>0</v>
      </c>
      <c r="N278" s="434">
        <f t="shared" si="7"/>
        <v>125808</v>
      </c>
      <c r="O278" s="434">
        <f>신규_공종별내역서!K103</f>
        <v>188711</v>
      </c>
      <c r="P278" s="684"/>
      <c r="Q278" s="684"/>
      <c r="R278" s="688"/>
    </row>
    <row r="279" spans="1:32" s="426" customFormat="1" ht="23.1" customHeight="1">
      <c r="A279" s="423"/>
      <c r="B279" s="423"/>
      <c r="C279" s="423"/>
      <c r="D279" s="691" t="str">
        <f>신규_공종별내역서!A104</f>
        <v>ST 케이블 트레이-STRAIGHT</v>
      </c>
      <c r="E279" s="691" t="str">
        <f>신규_공종별내역서!B104</f>
        <v>W400x100Hx2.3t</v>
      </c>
      <c r="F279" s="689" t="str">
        <f>신규_공종별내역서!C104</f>
        <v>m</v>
      </c>
      <c r="G279" s="448"/>
      <c r="H279" s="433"/>
      <c r="I279" s="433"/>
      <c r="J279" s="433"/>
      <c r="K279" s="433"/>
      <c r="L279" s="433"/>
      <c r="M279" s="433"/>
      <c r="N279" s="433">
        <f t="shared" si="7"/>
        <v>0</v>
      </c>
      <c r="O279" s="433"/>
      <c r="P279" s="683">
        <f>G280-G279</f>
        <v>1</v>
      </c>
      <c r="Q279" s="683">
        <f>O280-O279</f>
        <v>91699</v>
      </c>
      <c r="R279" s="687" t="str">
        <f>신규_공종별내역서!L104</f>
        <v>신규호표 2</v>
      </c>
    </row>
    <row r="280" spans="1:32" ht="23.1" customHeight="1">
      <c r="A280" s="412"/>
      <c r="B280" s="412"/>
      <c r="C280" s="412"/>
      <c r="D280" s="692"/>
      <c r="E280" s="692"/>
      <c r="F280" s="690"/>
      <c r="G280" s="448">
        <f>신규_공종별내역서!D104</f>
        <v>1</v>
      </c>
      <c r="H280" s="434">
        <f>신규_공종별내역서!E104</f>
        <v>35300</v>
      </c>
      <c r="I280" s="434">
        <f>신규_공종별내역서!F104</f>
        <v>35300</v>
      </c>
      <c r="J280" s="434">
        <f>신규_공종별내역서!G104</f>
        <v>56399</v>
      </c>
      <c r="K280" s="434">
        <f>신규_공종별내역서!H104</f>
        <v>56399</v>
      </c>
      <c r="L280" s="434">
        <f>신규_공종별내역서!I104</f>
        <v>0</v>
      </c>
      <c r="M280" s="434">
        <f>신규_공종별내역서!J104</f>
        <v>0</v>
      </c>
      <c r="N280" s="434">
        <f t="shared" si="7"/>
        <v>91699</v>
      </c>
      <c r="O280" s="434">
        <f>신규_공종별내역서!K104</f>
        <v>91699</v>
      </c>
      <c r="P280" s="684"/>
      <c r="Q280" s="684"/>
      <c r="R280" s="688"/>
    </row>
    <row r="281" spans="1:32" s="426" customFormat="1" ht="23.1" customHeight="1">
      <c r="A281" s="423"/>
      <c r="B281" s="423"/>
      <c r="C281" s="423"/>
      <c r="D281" s="691" t="str">
        <f>신규_공종별내역서!A105</f>
        <v>난연 비닐 절연 접지용전선(F-GV)</v>
      </c>
      <c r="E281" s="691" t="str">
        <f>신규_공종별내역서!B105</f>
        <v>0.6/1kV  6㎟</v>
      </c>
      <c r="F281" s="689" t="str">
        <f>신규_공종별내역서!C105</f>
        <v>m</v>
      </c>
      <c r="G281" s="448"/>
      <c r="H281" s="433"/>
      <c r="I281" s="433"/>
      <c r="J281" s="433"/>
      <c r="K281" s="433"/>
      <c r="L281" s="433"/>
      <c r="M281" s="433"/>
      <c r="N281" s="433">
        <f t="shared" si="7"/>
        <v>0</v>
      </c>
      <c r="O281" s="433"/>
      <c r="P281" s="683">
        <f>G282-G281</f>
        <v>32.700000000000003</v>
      </c>
      <c r="Q281" s="683">
        <f>O282-O281</f>
        <v>103953</v>
      </c>
      <c r="R281" s="687" t="str">
        <f>신규_공종별내역서!L105</f>
        <v>신규호표 4</v>
      </c>
    </row>
    <row r="282" spans="1:32" ht="23.1" customHeight="1">
      <c r="A282" s="412"/>
      <c r="B282" s="412"/>
      <c r="C282" s="412"/>
      <c r="D282" s="692"/>
      <c r="E282" s="692"/>
      <c r="F282" s="690"/>
      <c r="G282" s="448">
        <f>신규_공종별내역서!D105</f>
        <v>32.700000000000003</v>
      </c>
      <c r="H282" s="434">
        <f>신규_공종별내역서!E105</f>
        <v>849</v>
      </c>
      <c r="I282" s="434">
        <f>신규_공종별내역서!F105</f>
        <v>27762</v>
      </c>
      <c r="J282" s="434">
        <f>신규_공종별내역서!G105</f>
        <v>2330</v>
      </c>
      <c r="K282" s="434">
        <f>신규_공종별내역서!H105</f>
        <v>76191</v>
      </c>
      <c r="L282" s="434">
        <f>신규_공종별내역서!I105</f>
        <v>0</v>
      </c>
      <c r="M282" s="434">
        <f>신규_공종별내역서!J105</f>
        <v>0</v>
      </c>
      <c r="N282" s="434">
        <f t="shared" si="7"/>
        <v>3179</v>
      </c>
      <c r="O282" s="434">
        <f>신규_공종별내역서!K105</f>
        <v>103953</v>
      </c>
      <c r="P282" s="684"/>
      <c r="Q282" s="684"/>
      <c r="R282" s="688"/>
    </row>
    <row r="283" spans="1:32" s="426" customFormat="1" ht="23.1" customHeight="1">
      <c r="A283" s="423"/>
      <c r="B283" s="423"/>
      <c r="C283" s="423"/>
      <c r="D283" s="691" t="str">
        <f>신규_공종별내역서!A106</f>
        <v>난연 비닐 절연 접지용전선(F-GV)</v>
      </c>
      <c r="E283" s="691" t="str">
        <f>신규_공종별내역서!B106</f>
        <v>0.6/1kV  16㎟</v>
      </c>
      <c r="F283" s="689" t="str">
        <f>신규_공종별내역서!C106</f>
        <v>m</v>
      </c>
      <c r="G283" s="448"/>
      <c r="H283" s="433"/>
      <c r="I283" s="433"/>
      <c r="J283" s="433"/>
      <c r="K283" s="433"/>
      <c r="L283" s="433"/>
      <c r="M283" s="433"/>
      <c r="N283" s="433">
        <f t="shared" si="7"/>
        <v>0</v>
      </c>
      <c r="O283" s="433"/>
      <c r="P283" s="683">
        <f>G284-G283</f>
        <v>31.4</v>
      </c>
      <c r="Q283" s="683">
        <f>O284-O283</f>
        <v>139101</v>
      </c>
      <c r="R283" s="687" t="str">
        <f>신규_공종별내역서!L106</f>
        <v>신규호표 5</v>
      </c>
    </row>
    <row r="284" spans="1:32" ht="23.1" customHeight="1">
      <c r="A284" s="412"/>
      <c r="B284" s="412"/>
      <c r="C284" s="412"/>
      <c r="D284" s="692"/>
      <c r="E284" s="692"/>
      <c r="F284" s="690"/>
      <c r="G284" s="448">
        <f>신규_공종별내역서!D106</f>
        <v>31.4</v>
      </c>
      <c r="H284" s="434">
        <f>신규_공종별내역서!E106</f>
        <v>1963</v>
      </c>
      <c r="I284" s="434">
        <f>신규_공종별내역서!F106</f>
        <v>61638</v>
      </c>
      <c r="J284" s="434">
        <f>신규_공종별내역서!G106</f>
        <v>2467</v>
      </c>
      <c r="K284" s="434">
        <f>신규_공종별내역서!H106</f>
        <v>77463</v>
      </c>
      <c r="L284" s="434">
        <f>신규_공종별내역서!I106</f>
        <v>0</v>
      </c>
      <c r="M284" s="434">
        <f>신규_공종별내역서!J106</f>
        <v>0</v>
      </c>
      <c r="N284" s="434">
        <f t="shared" si="7"/>
        <v>4430</v>
      </c>
      <c r="O284" s="434">
        <f>신규_공종별내역서!K106</f>
        <v>139101</v>
      </c>
      <c r="P284" s="684"/>
      <c r="Q284" s="684"/>
      <c r="R284" s="688"/>
    </row>
    <row r="285" spans="1:32" s="426" customFormat="1" ht="23.1" customHeight="1">
      <c r="A285" s="423"/>
      <c r="B285" s="423"/>
      <c r="C285" s="423"/>
      <c r="D285" s="691" t="str">
        <f>신규_공종별내역서!A107</f>
        <v>난연 비닐 절연 접지용전선(F-GV)-옥외</v>
      </c>
      <c r="E285" s="691" t="str">
        <f>신규_공종별내역서!B107</f>
        <v>0.6/1kV  95㎟</v>
      </c>
      <c r="F285" s="689" t="str">
        <f>신규_공종별내역서!C107</f>
        <v>m</v>
      </c>
      <c r="G285" s="448"/>
      <c r="H285" s="433"/>
      <c r="I285" s="433"/>
      <c r="J285" s="433"/>
      <c r="K285" s="433"/>
      <c r="L285" s="433"/>
      <c r="M285" s="433"/>
      <c r="N285" s="433">
        <f t="shared" si="7"/>
        <v>0</v>
      </c>
      <c r="O285" s="433"/>
      <c r="P285" s="683">
        <f>G286-G285</f>
        <v>4.5</v>
      </c>
      <c r="Q285" s="683">
        <f>O286-O285</f>
        <v>55808</v>
      </c>
      <c r="R285" s="687" t="str">
        <f>신규_공종별내역서!L107</f>
        <v>신규호표 55</v>
      </c>
    </row>
    <row r="286" spans="1:32" ht="23.1" customHeight="1">
      <c r="A286" s="412"/>
      <c r="B286" s="412"/>
      <c r="C286" s="412"/>
      <c r="D286" s="692"/>
      <c r="E286" s="692"/>
      <c r="F286" s="690"/>
      <c r="G286" s="448">
        <f>신규_공종별내역서!D107</f>
        <v>4.5</v>
      </c>
      <c r="H286" s="434">
        <f>신규_공종별내역서!E107</f>
        <v>9583</v>
      </c>
      <c r="I286" s="434">
        <f>신규_공종별내역서!F107</f>
        <v>43123</v>
      </c>
      <c r="J286" s="434">
        <f>신규_공종별내역서!G107</f>
        <v>2819</v>
      </c>
      <c r="K286" s="434">
        <f>신규_공종별내역서!H107</f>
        <v>12685</v>
      </c>
      <c r="L286" s="434">
        <f>신규_공종별내역서!I107</f>
        <v>0</v>
      </c>
      <c r="M286" s="434">
        <f>신규_공종별내역서!J107</f>
        <v>0</v>
      </c>
      <c r="N286" s="434">
        <f t="shared" si="7"/>
        <v>12402</v>
      </c>
      <c r="O286" s="434">
        <f>신규_공종별내역서!K107</f>
        <v>55808</v>
      </c>
      <c r="P286" s="684"/>
      <c r="Q286" s="684"/>
      <c r="R286" s="688"/>
    </row>
    <row r="287" spans="1:32" s="426" customFormat="1" ht="23.1" customHeight="1">
      <c r="A287" s="423"/>
      <c r="B287" s="423"/>
      <c r="C287" s="423"/>
      <c r="D287" s="691" t="str">
        <f>신규_공종별내역서!A108</f>
        <v>0.6/1kV 난연 전력 케이블(F-CV)</v>
      </c>
      <c r="E287" s="691" t="str">
        <f>신규_공종별내역서!B108</f>
        <v>1C 150㎟-4열동시</v>
      </c>
      <c r="F287" s="689" t="str">
        <f>신규_공종별내역서!C108</f>
        <v>m</v>
      </c>
      <c r="G287" s="448"/>
      <c r="H287" s="433"/>
      <c r="I287" s="433"/>
      <c r="J287" s="433"/>
      <c r="K287" s="433"/>
      <c r="L287" s="433"/>
      <c r="M287" s="433"/>
      <c r="N287" s="433">
        <f t="shared" si="7"/>
        <v>0</v>
      </c>
      <c r="O287" s="433"/>
      <c r="P287" s="683">
        <f>G288-G287</f>
        <v>18</v>
      </c>
      <c r="Q287" s="683">
        <f>O288-O287</f>
        <v>681120</v>
      </c>
      <c r="R287" s="687" t="str">
        <f>신규_공종별내역서!L108</f>
        <v>신규호표 56</v>
      </c>
    </row>
    <row r="288" spans="1:32" ht="23.1" customHeight="1">
      <c r="A288" s="412"/>
      <c r="B288" s="412"/>
      <c r="C288" s="412"/>
      <c r="D288" s="692"/>
      <c r="E288" s="692"/>
      <c r="F288" s="690"/>
      <c r="G288" s="448">
        <f>신규_공종별내역서!D108</f>
        <v>18</v>
      </c>
      <c r="H288" s="434">
        <f>신규_공종별내역서!E108</f>
        <v>16796</v>
      </c>
      <c r="I288" s="434">
        <f>신규_공종별내역서!F108</f>
        <v>302328</v>
      </c>
      <c r="J288" s="434">
        <f>신규_공종별내역서!G108</f>
        <v>21044</v>
      </c>
      <c r="K288" s="434">
        <f>신규_공종별내역서!H108</f>
        <v>378792</v>
      </c>
      <c r="L288" s="434">
        <f>신규_공종별내역서!I108</f>
        <v>0</v>
      </c>
      <c r="M288" s="434">
        <f>신규_공종별내역서!J108</f>
        <v>0</v>
      </c>
      <c r="N288" s="434">
        <f t="shared" si="7"/>
        <v>37840</v>
      </c>
      <c r="O288" s="434">
        <f>신규_공종별내역서!K108</f>
        <v>681120</v>
      </c>
      <c r="P288" s="684"/>
      <c r="Q288" s="684"/>
      <c r="R288" s="688"/>
    </row>
    <row r="289" spans="1:18" s="426" customFormat="1" ht="23.1" customHeight="1">
      <c r="A289" s="423"/>
      <c r="B289" s="423"/>
      <c r="C289" s="423"/>
      <c r="D289" s="691" t="str">
        <f>신규_공종별내역서!A109</f>
        <v>0.6/1kV 난연 전력 케이블(F-CV)</v>
      </c>
      <c r="E289" s="691" t="str">
        <f>신규_공종별내역서!B109</f>
        <v>2C 6㎟</v>
      </c>
      <c r="F289" s="689" t="str">
        <f>신규_공종별내역서!C109</f>
        <v>m</v>
      </c>
      <c r="G289" s="448"/>
      <c r="H289" s="433"/>
      <c r="I289" s="433"/>
      <c r="J289" s="433"/>
      <c r="K289" s="433"/>
      <c r="L289" s="433"/>
      <c r="M289" s="433"/>
      <c r="N289" s="433">
        <f t="shared" si="7"/>
        <v>0</v>
      </c>
      <c r="O289" s="433"/>
      <c r="P289" s="683">
        <f>G290-G289</f>
        <v>20.399999999999999</v>
      </c>
      <c r="Q289" s="683">
        <f>O290-O289</f>
        <v>121584</v>
      </c>
      <c r="R289" s="687" t="str">
        <f>신규_공종별내역서!L109</f>
        <v>신규호표 36</v>
      </c>
    </row>
    <row r="290" spans="1:18" ht="23.1" customHeight="1">
      <c r="A290" s="412"/>
      <c r="B290" s="412"/>
      <c r="C290" s="412"/>
      <c r="D290" s="692"/>
      <c r="E290" s="692"/>
      <c r="F290" s="690"/>
      <c r="G290" s="448">
        <f>신규_공종별내역서!D109</f>
        <v>20.399999999999999</v>
      </c>
      <c r="H290" s="434">
        <f>신규_공종별내역서!E109</f>
        <v>2275</v>
      </c>
      <c r="I290" s="434">
        <f>신규_공종별내역서!F109</f>
        <v>46410</v>
      </c>
      <c r="J290" s="434">
        <f>신규_공종별내역서!G109</f>
        <v>3685</v>
      </c>
      <c r="K290" s="434">
        <f>신규_공종별내역서!H109</f>
        <v>75174</v>
      </c>
      <c r="L290" s="434">
        <f>신규_공종별내역서!I109</f>
        <v>0</v>
      </c>
      <c r="M290" s="434">
        <f>신규_공종별내역서!J109</f>
        <v>0</v>
      </c>
      <c r="N290" s="434">
        <f t="shared" si="7"/>
        <v>5960</v>
      </c>
      <c r="O290" s="434">
        <f>신규_공종별내역서!K109</f>
        <v>121584</v>
      </c>
      <c r="P290" s="684"/>
      <c r="Q290" s="684"/>
      <c r="R290" s="688"/>
    </row>
    <row r="291" spans="1:18" s="426" customFormat="1" ht="23.1" customHeight="1">
      <c r="A291" s="423"/>
      <c r="B291" s="423"/>
      <c r="C291" s="423"/>
      <c r="D291" s="691" t="str">
        <f>신규_공종별내역서!A110</f>
        <v>0.6/1kV 난연 전력 케이블(F-CV)</v>
      </c>
      <c r="E291" s="691" t="str">
        <f>신규_공종별내역서!B110</f>
        <v>4C 6㎟</v>
      </c>
      <c r="F291" s="689" t="str">
        <f>신규_공종별내역서!C110</f>
        <v>m</v>
      </c>
      <c r="G291" s="448"/>
      <c r="H291" s="433"/>
      <c r="I291" s="433"/>
      <c r="J291" s="433"/>
      <c r="K291" s="433"/>
      <c r="L291" s="433"/>
      <c r="M291" s="433"/>
      <c r="N291" s="433">
        <f t="shared" si="7"/>
        <v>0</v>
      </c>
      <c r="O291" s="433"/>
      <c r="P291" s="683">
        <f>G292-G291</f>
        <v>12.3</v>
      </c>
      <c r="Q291" s="683">
        <f>O292-O291</f>
        <v>163392</v>
      </c>
      <c r="R291" s="687" t="str">
        <f>신규_공종별내역서!L110</f>
        <v>신규호표 11</v>
      </c>
    </row>
    <row r="292" spans="1:18" ht="23.1" customHeight="1">
      <c r="A292" s="412"/>
      <c r="B292" s="412"/>
      <c r="C292" s="412"/>
      <c r="D292" s="692"/>
      <c r="E292" s="692"/>
      <c r="F292" s="690"/>
      <c r="G292" s="448">
        <f>신규_공종별내역서!D110</f>
        <v>12.3</v>
      </c>
      <c r="H292" s="434">
        <f>신규_공종별내역서!E110</f>
        <v>4046</v>
      </c>
      <c r="I292" s="434">
        <f>신규_공종별내역서!F110</f>
        <v>49765</v>
      </c>
      <c r="J292" s="434">
        <f>신규_공종별내역서!G110</f>
        <v>9238</v>
      </c>
      <c r="K292" s="434">
        <f>신규_공종별내역서!H110</f>
        <v>113627</v>
      </c>
      <c r="L292" s="434">
        <f>신규_공종별내역서!I110</f>
        <v>0</v>
      </c>
      <c r="M292" s="434">
        <f>신규_공종별내역서!J110</f>
        <v>0</v>
      </c>
      <c r="N292" s="434">
        <f t="shared" si="7"/>
        <v>13284</v>
      </c>
      <c r="O292" s="434">
        <f>신규_공종별내역서!K110</f>
        <v>163392</v>
      </c>
      <c r="P292" s="684"/>
      <c r="Q292" s="684"/>
      <c r="R292" s="688"/>
    </row>
    <row r="293" spans="1:18" s="426" customFormat="1" ht="23.1" customHeight="1">
      <c r="A293" s="423"/>
      <c r="B293" s="423"/>
      <c r="C293" s="423"/>
      <c r="D293" s="691" t="str">
        <f>신규_공종별내역서!A111</f>
        <v>0.6/1kV 난연 전력 케이블(F-CV)</v>
      </c>
      <c r="E293" s="691" t="str">
        <f>신규_공종별내역서!B111</f>
        <v>4C 16㎟</v>
      </c>
      <c r="F293" s="689" t="str">
        <f>신규_공종별내역서!C111</f>
        <v>m</v>
      </c>
      <c r="G293" s="448"/>
      <c r="H293" s="433"/>
      <c r="I293" s="433"/>
      <c r="J293" s="433"/>
      <c r="K293" s="433"/>
      <c r="L293" s="433"/>
      <c r="M293" s="433"/>
      <c r="N293" s="433">
        <f t="shared" si="7"/>
        <v>0</v>
      </c>
      <c r="O293" s="433"/>
      <c r="P293" s="683">
        <f>G294-G293</f>
        <v>22.2</v>
      </c>
      <c r="Q293" s="683">
        <f>O294-O293</f>
        <v>582882</v>
      </c>
      <c r="R293" s="687" t="str">
        <f>신규_공종별내역서!L111</f>
        <v>신규호표 12</v>
      </c>
    </row>
    <row r="294" spans="1:18" ht="23.1" customHeight="1">
      <c r="A294" s="412"/>
      <c r="B294" s="412"/>
      <c r="C294" s="412"/>
      <c r="D294" s="692"/>
      <c r="E294" s="692"/>
      <c r="F294" s="690"/>
      <c r="G294" s="448">
        <f>신규_공종별내역서!D111</f>
        <v>22.2</v>
      </c>
      <c r="H294" s="434">
        <f>신규_공종별내역서!E111</f>
        <v>10984</v>
      </c>
      <c r="I294" s="434">
        <f>신규_공종별내역서!F111</f>
        <v>243844</v>
      </c>
      <c r="J294" s="434">
        <f>신규_공종별내역서!G111</f>
        <v>15272</v>
      </c>
      <c r="K294" s="434">
        <f>신규_공종별내역서!H111</f>
        <v>339038</v>
      </c>
      <c r="L294" s="434">
        <f>신규_공종별내역서!I111</f>
        <v>0</v>
      </c>
      <c r="M294" s="434">
        <f>신규_공종별내역서!J111</f>
        <v>0</v>
      </c>
      <c r="N294" s="434">
        <f t="shared" si="7"/>
        <v>26256</v>
      </c>
      <c r="O294" s="434">
        <f>신규_공종별내역서!K111</f>
        <v>582882</v>
      </c>
      <c r="P294" s="684"/>
      <c r="Q294" s="684"/>
      <c r="R294" s="688"/>
    </row>
    <row r="295" spans="1:18" s="426" customFormat="1" ht="23.1" customHeight="1">
      <c r="A295" s="423"/>
      <c r="B295" s="423"/>
      <c r="C295" s="423"/>
      <c r="D295" s="691" t="str">
        <f>신규_공종별내역서!A112</f>
        <v>0.6/1kV 난연 전력 케이블(F-CV)</v>
      </c>
      <c r="E295" s="691" t="str">
        <f>신규_공종별내역서!B112</f>
        <v>4C 25㎟</v>
      </c>
      <c r="F295" s="689" t="str">
        <f>신규_공종별내역서!C112</f>
        <v>m</v>
      </c>
      <c r="G295" s="448"/>
      <c r="H295" s="433"/>
      <c r="I295" s="433"/>
      <c r="J295" s="433"/>
      <c r="K295" s="433"/>
      <c r="L295" s="433"/>
      <c r="M295" s="433"/>
      <c r="N295" s="433">
        <f t="shared" si="7"/>
        <v>0</v>
      </c>
      <c r="O295" s="433"/>
      <c r="P295" s="683">
        <f>G296-G295</f>
        <v>9.1999999999999993</v>
      </c>
      <c r="Q295" s="683">
        <f>O296-O295</f>
        <v>341356</v>
      </c>
      <c r="R295" s="687" t="str">
        <f>신규_공종별내역서!L112</f>
        <v>신규호표 57</v>
      </c>
    </row>
    <row r="296" spans="1:18" ht="23.1" customHeight="1">
      <c r="A296" s="412"/>
      <c r="B296" s="412"/>
      <c r="C296" s="412"/>
      <c r="D296" s="692"/>
      <c r="E296" s="692"/>
      <c r="F296" s="690"/>
      <c r="G296" s="448">
        <f>신규_공종별내역서!D112</f>
        <v>9.1999999999999993</v>
      </c>
      <c r="H296" s="434">
        <f>신규_공종별내역서!E112</f>
        <v>17184</v>
      </c>
      <c r="I296" s="434">
        <f>신규_공종별내역서!F112</f>
        <v>158092</v>
      </c>
      <c r="J296" s="434">
        <f>신규_공종별내역서!G112</f>
        <v>19920</v>
      </c>
      <c r="K296" s="434">
        <f>신규_공종별내역서!H112</f>
        <v>183264</v>
      </c>
      <c r="L296" s="434">
        <f>신규_공종별내역서!I112</f>
        <v>0</v>
      </c>
      <c r="M296" s="434">
        <f>신규_공종별내역서!J112</f>
        <v>0</v>
      </c>
      <c r="N296" s="434">
        <f t="shared" si="7"/>
        <v>37104</v>
      </c>
      <c r="O296" s="434">
        <f>신규_공종별내역서!K112</f>
        <v>341356</v>
      </c>
      <c r="P296" s="684"/>
      <c r="Q296" s="684"/>
      <c r="R296" s="688"/>
    </row>
    <row r="297" spans="1:18" s="426" customFormat="1" ht="23.1" customHeight="1">
      <c r="A297" s="423"/>
      <c r="B297" s="423"/>
      <c r="C297" s="423"/>
      <c r="D297" s="691" t="str">
        <f>신규_공종별내역서!A113</f>
        <v>러그단자</v>
      </c>
      <c r="E297" s="691" t="str">
        <f>신규_공종별내역서!B113</f>
        <v>동관단자 1H 16㎟</v>
      </c>
      <c r="F297" s="689" t="str">
        <f>신규_공종별내역서!C113</f>
        <v>개</v>
      </c>
      <c r="G297" s="448"/>
      <c r="H297" s="433"/>
      <c r="I297" s="433"/>
      <c r="J297" s="433"/>
      <c r="K297" s="433"/>
      <c r="L297" s="433"/>
      <c r="M297" s="433"/>
      <c r="N297" s="433">
        <f t="shared" si="7"/>
        <v>0</v>
      </c>
      <c r="O297" s="433"/>
      <c r="P297" s="683">
        <f>G298-G297</f>
        <v>12</v>
      </c>
      <c r="Q297" s="683">
        <f>O298-O297</f>
        <v>258132</v>
      </c>
      <c r="R297" s="687" t="str">
        <f>신규_공종별내역서!L113</f>
        <v>신규호표 14</v>
      </c>
    </row>
    <row r="298" spans="1:18" ht="23.1" customHeight="1">
      <c r="A298" s="412"/>
      <c r="B298" s="412"/>
      <c r="C298" s="412"/>
      <c r="D298" s="692"/>
      <c r="E298" s="692"/>
      <c r="F298" s="690"/>
      <c r="G298" s="448">
        <f>신규_공종별내역서!D113</f>
        <v>12</v>
      </c>
      <c r="H298" s="434">
        <f>신규_공종별내역서!E113</f>
        <v>824</v>
      </c>
      <c r="I298" s="434">
        <f>신규_공종별내역서!F113</f>
        <v>9888</v>
      </c>
      <c r="J298" s="434">
        <f>신규_공종별내역서!G113</f>
        <v>20687</v>
      </c>
      <c r="K298" s="434">
        <f>신규_공종별내역서!H113</f>
        <v>248244</v>
      </c>
      <c r="L298" s="434">
        <f>신규_공종별내역서!I113</f>
        <v>0</v>
      </c>
      <c r="M298" s="434">
        <f>신규_공종별내역서!J113</f>
        <v>0</v>
      </c>
      <c r="N298" s="434">
        <f t="shared" si="7"/>
        <v>21511</v>
      </c>
      <c r="O298" s="434">
        <f>신규_공종별내역서!K113</f>
        <v>258132</v>
      </c>
      <c r="P298" s="684"/>
      <c r="Q298" s="684"/>
      <c r="R298" s="688"/>
    </row>
    <row r="299" spans="1:18" s="426" customFormat="1" ht="23.1" customHeight="1">
      <c r="A299" s="423"/>
      <c r="B299" s="423"/>
      <c r="C299" s="423"/>
      <c r="D299" s="691" t="str">
        <f>신규_공종별내역서!A114</f>
        <v>러그단자</v>
      </c>
      <c r="E299" s="691" t="str">
        <f>신규_공종별내역서!B114</f>
        <v>동관단자 1H 25㎟</v>
      </c>
      <c r="F299" s="689" t="str">
        <f>신규_공종별내역서!C114</f>
        <v>개</v>
      </c>
      <c r="G299" s="448"/>
      <c r="H299" s="433"/>
      <c r="I299" s="433"/>
      <c r="J299" s="433"/>
      <c r="K299" s="433"/>
      <c r="L299" s="433"/>
      <c r="M299" s="433"/>
      <c r="N299" s="433">
        <f t="shared" si="7"/>
        <v>0</v>
      </c>
      <c r="O299" s="433"/>
      <c r="P299" s="683">
        <f>G300-G299</f>
        <v>8</v>
      </c>
      <c r="Q299" s="683">
        <f>O300-O299</f>
        <v>128664</v>
      </c>
      <c r="R299" s="687" t="str">
        <f>신규_공종별내역서!L114</f>
        <v>신규호표 15</v>
      </c>
    </row>
    <row r="300" spans="1:18" ht="23.1" customHeight="1">
      <c r="A300" s="412"/>
      <c r="B300" s="412"/>
      <c r="C300" s="412"/>
      <c r="D300" s="692"/>
      <c r="E300" s="692"/>
      <c r="F300" s="690"/>
      <c r="G300" s="448">
        <f>신규_공종별내역서!D114</f>
        <v>8</v>
      </c>
      <c r="H300" s="434">
        <f>신규_공종별내역서!E114</f>
        <v>760</v>
      </c>
      <c r="I300" s="434">
        <f>신규_공종별내역서!F114</f>
        <v>6080</v>
      </c>
      <c r="J300" s="434">
        <f>신규_공종별내역서!G114</f>
        <v>15323</v>
      </c>
      <c r="K300" s="434">
        <f>신규_공종별내역서!H114</f>
        <v>122584</v>
      </c>
      <c r="L300" s="434">
        <f>신규_공종별내역서!I114</f>
        <v>0</v>
      </c>
      <c r="M300" s="434">
        <f>신규_공종별내역서!J114</f>
        <v>0</v>
      </c>
      <c r="N300" s="434">
        <f t="shared" si="7"/>
        <v>16083</v>
      </c>
      <c r="O300" s="434">
        <f>신규_공종별내역서!K114</f>
        <v>128664</v>
      </c>
      <c r="P300" s="684"/>
      <c r="Q300" s="684"/>
      <c r="R300" s="688"/>
    </row>
    <row r="301" spans="1:18" s="426" customFormat="1" ht="23.1" customHeight="1">
      <c r="A301" s="423"/>
      <c r="B301" s="423"/>
      <c r="C301" s="423"/>
      <c r="D301" s="691" t="str">
        <f>신규_공종별내역서!A115</f>
        <v>러그단자</v>
      </c>
      <c r="E301" s="691" t="str">
        <f>신규_공종별내역서!B115</f>
        <v>동관단자 1H 95㎟</v>
      </c>
      <c r="F301" s="689" t="str">
        <f>신규_공종별내역서!C115</f>
        <v>개</v>
      </c>
      <c r="G301" s="448"/>
      <c r="H301" s="433"/>
      <c r="I301" s="433"/>
      <c r="J301" s="433"/>
      <c r="K301" s="433"/>
      <c r="L301" s="433"/>
      <c r="M301" s="433"/>
      <c r="N301" s="433">
        <f t="shared" si="7"/>
        <v>0</v>
      </c>
      <c r="O301" s="433"/>
      <c r="P301" s="683">
        <f>G302-G301</f>
        <v>2</v>
      </c>
      <c r="Q301" s="683">
        <f>O302-O301</f>
        <v>81660</v>
      </c>
      <c r="R301" s="687" t="str">
        <f>신규_공종별내역서!L115</f>
        <v>신규호표 58</v>
      </c>
    </row>
    <row r="302" spans="1:18" ht="23.1" customHeight="1">
      <c r="A302" s="412"/>
      <c r="B302" s="412"/>
      <c r="C302" s="412"/>
      <c r="D302" s="692"/>
      <c r="E302" s="692"/>
      <c r="F302" s="690"/>
      <c r="G302" s="448">
        <f>신규_공종별내역서!D115</f>
        <v>2</v>
      </c>
      <c r="H302" s="434">
        <f>신규_공종별내역서!E115</f>
        <v>2521</v>
      </c>
      <c r="I302" s="434">
        <f>신규_공종별내역서!F115</f>
        <v>5042</v>
      </c>
      <c r="J302" s="434">
        <f>신규_공종별내역서!G115</f>
        <v>38309</v>
      </c>
      <c r="K302" s="434">
        <f>신규_공종별내역서!H115</f>
        <v>76618</v>
      </c>
      <c r="L302" s="434">
        <f>신규_공종별내역서!I115</f>
        <v>0</v>
      </c>
      <c r="M302" s="434">
        <f>신규_공종별내역서!J115</f>
        <v>0</v>
      </c>
      <c r="N302" s="434">
        <f t="shared" si="7"/>
        <v>40830</v>
      </c>
      <c r="O302" s="434">
        <f>신규_공종별내역서!K115</f>
        <v>81660</v>
      </c>
      <c r="P302" s="684"/>
      <c r="Q302" s="684"/>
      <c r="R302" s="688"/>
    </row>
    <row r="303" spans="1:18" s="426" customFormat="1" ht="23.1" customHeight="1">
      <c r="A303" s="423"/>
      <c r="B303" s="423"/>
      <c r="C303" s="423"/>
      <c r="D303" s="691" t="str">
        <f>신규_공종별내역서!A116</f>
        <v>러그단자</v>
      </c>
      <c r="E303" s="691" t="str">
        <f>신규_공종별내역서!B116</f>
        <v>동관단자 2H 150㎟</v>
      </c>
      <c r="F303" s="689" t="str">
        <f>신규_공종별내역서!C116</f>
        <v>개</v>
      </c>
      <c r="G303" s="448"/>
      <c r="H303" s="433"/>
      <c r="I303" s="433"/>
      <c r="J303" s="433"/>
      <c r="K303" s="433"/>
      <c r="L303" s="433"/>
      <c r="M303" s="433"/>
      <c r="N303" s="433">
        <f t="shared" si="7"/>
        <v>0</v>
      </c>
      <c r="O303" s="433"/>
      <c r="P303" s="683">
        <f>G304-G303</f>
        <v>8</v>
      </c>
      <c r="Q303" s="683">
        <f>O304-O303</f>
        <v>451376</v>
      </c>
      <c r="R303" s="687" t="str">
        <f>신규_공종별내역서!L116</f>
        <v>신규호표 59</v>
      </c>
    </row>
    <row r="304" spans="1:18" ht="23.1" customHeight="1">
      <c r="A304" s="412"/>
      <c r="B304" s="412"/>
      <c r="C304" s="412"/>
      <c r="D304" s="692"/>
      <c r="E304" s="692"/>
      <c r="F304" s="690"/>
      <c r="G304" s="448">
        <f>신규_공종별내역서!D116</f>
        <v>8</v>
      </c>
      <c r="H304" s="434">
        <f>신규_공종별내역서!E116</f>
        <v>4253</v>
      </c>
      <c r="I304" s="434">
        <f>신규_공종별내역서!F116</f>
        <v>34024</v>
      </c>
      <c r="J304" s="434">
        <f>신규_공종별내역서!G116</f>
        <v>52169</v>
      </c>
      <c r="K304" s="434">
        <f>신규_공종별내역서!H116</f>
        <v>417352</v>
      </c>
      <c r="L304" s="434">
        <f>신규_공종별내역서!I116</f>
        <v>0</v>
      </c>
      <c r="M304" s="434">
        <f>신규_공종별내역서!J116</f>
        <v>0</v>
      </c>
      <c r="N304" s="434">
        <f t="shared" si="7"/>
        <v>56422</v>
      </c>
      <c r="O304" s="434">
        <f>신규_공종별내역서!K116</f>
        <v>451376</v>
      </c>
      <c r="P304" s="684"/>
      <c r="Q304" s="684"/>
      <c r="R304" s="688"/>
    </row>
    <row r="305" spans="1:32" s="426" customFormat="1" ht="23.1" customHeight="1">
      <c r="A305" s="423"/>
      <c r="B305" s="423"/>
      <c r="C305" s="423"/>
      <c r="D305" s="691" t="str">
        <f>신규_공종별내역서!A117</f>
        <v>분전반 설치(신설)</v>
      </c>
      <c r="E305" s="691" t="str">
        <f>신규_공종별내역서!B117</f>
        <v>LP-1</v>
      </c>
      <c r="F305" s="689" t="str">
        <f>신규_공종별내역서!C117</f>
        <v>면</v>
      </c>
      <c r="G305" s="448"/>
      <c r="H305" s="433"/>
      <c r="I305" s="433"/>
      <c r="J305" s="433"/>
      <c r="K305" s="433"/>
      <c r="L305" s="433"/>
      <c r="M305" s="433"/>
      <c r="N305" s="433">
        <f t="shared" si="7"/>
        <v>0</v>
      </c>
      <c r="O305" s="433"/>
      <c r="P305" s="683">
        <f>G306-G305</f>
        <v>1</v>
      </c>
      <c r="Q305" s="683">
        <f>O306-O305</f>
        <v>297719</v>
      </c>
      <c r="R305" s="687" t="str">
        <f>신규_공종별내역서!L117</f>
        <v>신규호표 60</v>
      </c>
    </row>
    <row r="306" spans="1:32" ht="23.1" customHeight="1">
      <c r="A306" s="412"/>
      <c r="B306" s="412"/>
      <c r="C306" s="412"/>
      <c r="D306" s="692"/>
      <c r="E306" s="692"/>
      <c r="F306" s="690"/>
      <c r="G306" s="448">
        <f>신규_공종별내역서!D117</f>
        <v>1</v>
      </c>
      <c r="H306" s="434">
        <f>신규_공종별내역서!E117</f>
        <v>8671</v>
      </c>
      <c r="I306" s="434">
        <f>신규_공종별내역서!F117</f>
        <v>8671</v>
      </c>
      <c r="J306" s="434">
        <f>신규_공종별내역서!G117</f>
        <v>289048</v>
      </c>
      <c r="K306" s="434">
        <f>신규_공종별내역서!H117</f>
        <v>289048</v>
      </c>
      <c r="L306" s="434">
        <f>신규_공종별내역서!I117</f>
        <v>0</v>
      </c>
      <c r="M306" s="434">
        <f>신규_공종별내역서!J117</f>
        <v>0</v>
      </c>
      <c r="N306" s="434">
        <f t="shared" si="7"/>
        <v>297719</v>
      </c>
      <c r="O306" s="434">
        <f>신규_공종별내역서!K117</f>
        <v>297719</v>
      </c>
      <c r="P306" s="684"/>
      <c r="Q306" s="684"/>
      <c r="R306" s="688"/>
    </row>
    <row r="307" spans="1:32" s="426" customFormat="1" ht="23.1" customHeight="1">
      <c r="A307" s="423"/>
      <c r="B307" s="423"/>
      <c r="C307" s="423"/>
      <c r="D307" s="691" t="str">
        <f>신규_공종별내역서!A118</f>
        <v>분전반 설치(신설)</v>
      </c>
      <c r="E307" s="691" t="str">
        <f>신규_공종별내역서!B118</f>
        <v>LP-2</v>
      </c>
      <c r="F307" s="689" t="str">
        <f>신규_공종별내역서!C118</f>
        <v>면</v>
      </c>
      <c r="G307" s="448"/>
      <c r="H307" s="433"/>
      <c r="I307" s="433"/>
      <c r="J307" s="433"/>
      <c r="K307" s="433"/>
      <c r="L307" s="433"/>
      <c r="M307" s="433"/>
      <c r="N307" s="433">
        <f t="shared" si="7"/>
        <v>0</v>
      </c>
      <c r="O307" s="433"/>
      <c r="P307" s="683">
        <f>G308-G307</f>
        <v>1</v>
      </c>
      <c r="Q307" s="683">
        <f>O308-O307</f>
        <v>297719</v>
      </c>
      <c r="R307" s="687" t="str">
        <f>신규_공종별내역서!L118</f>
        <v>신규호표 61</v>
      </c>
    </row>
    <row r="308" spans="1:32" ht="23.1" customHeight="1">
      <c r="A308" s="412"/>
      <c r="B308" s="412"/>
      <c r="C308" s="412"/>
      <c r="D308" s="692"/>
      <c r="E308" s="692"/>
      <c r="F308" s="690"/>
      <c r="G308" s="448">
        <f>신규_공종별내역서!D118</f>
        <v>1</v>
      </c>
      <c r="H308" s="434">
        <f>신규_공종별내역서!E118</f>
        <v>8671</v>
      </c>
      <c r="I308" s="434">
        <f>신규_공종별내역서!F118</f>
        <v>8671</v>
      </c>
      <c r="J308" s="434">
        <f>신규_공종별내역서!G118</f>
        <v>289048</v>
      </c>
      <c r="K308" s="434">
        <f>신규_공종별내역서!H118</f>
        <v>289048</v>
      </c>
      <c r="L308" s="434">
        <f>신규_공종별내역서!I118</f>
        <v>0</v>
      </c>
      <c r="M308" s="434">
        <f>신규_공종별내역서!J118</f>
        <v>0</v>
      </c>
      <c r="N308" s="434">
        <f t="shared" si="7"/>
        <v>297719</v>
      </c>
      <c r="O308" s="434">
        <f>신규_공종별내역서!K118</f>
        <v>297719</v>
      </c>
      <c r="P308" s="684"/>
      <c r="Q308" s="684"/>
      <c r="R308" s="688"/>
    </row>
    <row r="309" spans="1:32" s="426" customFormat="1" ht="23.1" customHeight="1">
      <c r="A309" s="423"/>
      <c r="B309" s="423"/>
      <c r="C309" s="423"/>
      <c r="D309" s="691" t="str">
        <f>신규_공종별내역서!A119</f>
        <v>분전반 설치(신설)</v>
      </c>
      <c r="E309" s="691" t="str">
        <f>신규_공종별내역서!B119</f>
        <v>LP-3</v>
      </c>
      <c r="F309" s="689" t="str">
        <f>신규_공종별내역서!C119</f>
        <v>면</v>
      </c>
      <c r="G309" s="448"/>
      <c r="H309" s="433"/>
      <c r="I309" s="433"/>
      <c r="J309" s="433"/>
      <c r="K309" s="433"/>
      <c r="L309" s="433"/>
      <c r="M309" s="433"/>
      <c r="N309" s="433">
        <f t="shared" ref="N309:N350" si="8">H309+J309</f>
        <v>0</v>
      </c>
      <c r="O309" s="433"/>
      <c r="P309" s="683">
        <f>G310-G309</f>
        <v>1</v>
      </c>
      <c r="Q309" s="683">
        <f>O310-O309</f>
        <v>297719</v>
      </c>
      <c r="R309" s="687" t="str">
        <f>신규_공종별내역서!L119</f>
        <v>신규호표 62</v>
      </c>
    </row>
    <row r="310" spans="1:32" ht="23.1" customHeight="1">
      <c r="A310" s="412"/>
      <c r="B310" s="412"/>
      <c r="C310" s="412"/>
      <c r="D310" s="692"/>
      <c r="E310" s="692"/>
      <c r="F310" s="690"/>
      <c r="G310" s="448">
        <f>신규_공종별내역서!D119</f>
        <v>1</v>
      </c>
      <c r="H310" s="434">
        <f>신규_공종별내역서!E119</f>
        <v>8671</v>
      </c>
      <c r="I310" s="434">
        <f>신규_공종별내역서!F119</f>
        <v>8671</v>
      </c>
      <c r="J310" s="434">
        <f>신규_공종별내역서!G119</f>
        <v>289048</v>
      </c>
      <c r="K310" s="434">
        <f>신규_공종별내역서!H119</f>
        <v>289048</v>
      </c>
      <c r="L310" s="434">
        <f>신규_공종별내역서!I119</f>
        <v>0</v>
      </c>
      <c r="M310" s="434">
        <f>신규_공종별내역서!J119</f>
        <v>0</v>
      </c>
      <c r="N310" s="434">
        <f t="shared" si="8"/>
        <v>297719</v>
      </c>
      <c r="O310" s="434">
        <f>신규_공종별내역서!K119</f>
        <v>297719</v>
      </c>
      <c r="P310" s="684"/>
      <c r="Q310" s="684"/>
      <c r="R310" s="688"/>
    </row>
    <row r="311" spans="1:32" s="426" customFormat="1" ht="23.1" customHeight="1">
      <c r="A311" s="423"/>
      <c r="B311" s="423"/>
      <c r="C311" s="423"/>
      <c r="D311" s="691" t="str">
        <f>신규_공종별내역서!A120</f>
        <v>분전반 설치(신설)</v>
      </c>
      <c r="E311" s="691" t="str">
        <f>신규_공종별내역서!B120</f>
        <v>PP-ELEV</v>
      </c>
      <c r="F311" s="689" t="str">
        <f>신규_공종별내역서!C120</f>
        <v>면</v>
      </c>
      <c r="G311" s="448"/>
      <c r="H311" s="433"/>
      <c r="I311" s="433"/>
      <c r="J311" s="433"/>
      <c r="K311" s="433"/>
      <c r="L311" s="433"/>
      <c r="M311" s="433"/>
      <c r="N311" s="433">
        <f t="shared" si="8"/>
        <v>0</v>
      </c>
      <c r="O311" s="433"/>
      <c r="P311" s="683">
        <f>G312-G311</f>
        <v>1</v>
      </c>
      <c r="Q311" s="683">
        <f>O312-O311</f>
        <v>229945</v>
      </c>
      <c r="R311" s="687" t="str">
        <f>신규_공종별내역서!L120</f>
        <v>신규호표 63</v>
      </c>
    </row>
    <row r="312" spans="1:32" ht="23.1" customHeight="1">
      <c r="A312" s="412"/>
      <c r="B312" s="412"/>
      <c r="C312" s="412"/>
      <c r="D312" s="692"/>
      <c r="E312" s="692"/>
      <c r="F312" s="690"/>
      <c r="G312" s="448">
        <f>신규_공종별내역서!D120</f>
        <v>1</v>
      </c>
      <c r="H312" s="434">
        <f>신규_공종별내역서!E120</f>
        <v>6697</v>
      </c>
      <c r="I312" s="434">
        <f>신규_공종별내역서!F120</f>
        <v>6697</v>
      </c>
      <c r="J312" s="434">
        <f>신규_공종별내역서!G120</f>
        <v>223248</v>
      </c>
      <c r="K312" s="434">
        <f>신규_공종별내역서!H120</f>
        <v>223248</v>
      </c>
      <c r="L312" s="434">
        <f>신규_공종별내역서!I120</f>
        <v>0</v>
      </c>
      <c r="M312" s="434">
        <f>신규_공종별내역서!J120</f>
        <v>0</v>
      </c>
      <c r="N312" s="434">
        <f t="shared" si="8"/>
        <v>229945</v>
      </c>
      <c r="O312" s="434">
        <f>신규_공종별내역서!K120</f>
        <v>229945</v>
      </c>
      <c r="P312" s="684"/>
      <c r="Q312" s="684"/>
      <c r="R312" s="688"/>
    </row>
    <row r="313" spans="1:32" s="426" customFormat="1" ht="23.1" customHeight="1">
      <c r="A313" s="423"/>
      <c r="B313" s="423"/>
      <c r="C313" s="423"/>
      <c r="D313" s="691" t="str">
        <f>신규_공종별내역서!A121</f>
        <v>분전반 설치(신설)</v>
      </c>
      <c r="E313" s="691" t="str">
        <f>신규_공종별내역서!B121</f>
        <v>PP-OAC</v>
      </c>
      <c r="F313" s="689" t="str">
        <f>신규_공종별내역서!C121</f>
        <v>면</v>
      </c>
      <c r="G313" s="448"/>
      <c r="H313" s="433"/>
      <c r="I313" s="433"/>
      <c r="J313" s="433"/>
      <c r="K313" s="433"/>
      <c r="L313" s="433"/>
      <c r="M313" s="433"/>
      <c r="N313" s="433">
        <f t="shared" si="8"/>
        <v>0</v>
      </c>
      <c r="O313" s="433"/>
      <c r="P313" s="683">
        <f>G314-G313</f>
        <v>1</v>
      </c>
      <c r="Q313" s="683">
        <f>O314-O313</f>
        <v>297719</v>
      </c>
      <c r="R313" s="687" t="str">
        <f>신규_공종별내역서!L121</f>
        <v>신규호표 64</v>
      </c>
    </row>
    <row r="314" spans="1:32" ht="23.1" customHeight="1">
      <c r="A314" s="412"/>
      <c r="B314" s="412"/>
      <c r="C314" s="412"/>
      <c r="D314" s="692"/>
      <c r="E314" s="692"/>
      <c r="F314" s="690"/>
      <c r="G314" s="448">
        <f>신규_공종별내역서!D121</f>
        <v>1</v>
      </c>
      <c r="H314" s="434">
        <f>신규_공종별내역서!E121</f>
        <v>8671</v>
      </c>
      <c r="I314" s="434">
        <f>신규_공종별내역서!F121</f>
        <v>8671</v>
      </c>
      <c r="J314" s="434">
        <f>신규_공종별내역서!G121</f>
        <v>289048</v>
      </c>
      <c r="K314" s="434">
        <f>신규_공종별내역서!H121</f>
        <v>289048</v>
      </c>
      <c r="L314" s="434">
        <f>신규_공종별내역서!I121</f>
        <v>0</v>
      </c>
      <c r="M314" s="434">
        <f>신규_공종별내역서!J121</f>
        <v>0</v>
      </c>
      <c r="N314" s="434">
        <f t="shared" si="8"/>
        <v>297719</v>
      </c>
      <c r="O314" s="434">
        <f>신규_공종별내역서!K121</f>
        <v>297719</v>
      </c>
      <c r="P314" s="684"/>
      <c r="Q314" s="684"/>
      <c r="R314" s="688"/>
    </row>
    <row r="315" spans="1:32" s="426" customFormat="1" ht="23.1" customHeight="1">
      <c r="D315" s="436"/>
      <c r="E315" s="436"/>
      <c r="F315" s="429"/>
      <c r="G315" s="433"/>
      <c r="H315" s="433"/>
      <c r="I315" s="433"/>
      <c r="J315" s="433"/>
      <c r="K315" s="433"/>
      <c r="L315" s="433"/>
      <c r="M315" s="433"/>
      <c r="N315" s="433">
        <f t="shared" si="8"/>
        <v>0</v>
      </c>
      <c r="O315" s="433"/>
      <c r="P315" s="433"/>
      <c r="Q315" s="433"/>
      <c r="R315" s="429"/>
    </row>
    <row r="316" spans="1:32" ht="23.1" customHeight="1">
      <c r="D316" s="435"/>
      <c r="E316" s="435"/>
      <c r="F316" s="428"/>
      <c r="G316" s="434"/>
      <c r="H316" s="434"/>
      <c r="I316" s="434"/>
      <c r="J316" s="434"/>
      <c r="K316" s="434"/>
      <c r="L316" s="434"/>
      <c r="M316" s="434"/>
      <c r="N316" s="434">
        <f t="shared" si="8"/>
        <v>0</v>
      </c>
      <c r="O316" s="434"/>
      <c r="P316" s="434"/>
      <c r="Q316" s="434"/>
      <c r="R316" s="428"/>
    </row>
    <row r="317" spans="1:32" s="426" customFormat="1" ht="23.1" hidden="1" customHeight="1">
      <c r="D317" s="436"/>
      <c r="E317" s="436"/>
      <c r="F317" s="429"/>
      <c r="G317" s="433"/>
      <c r="H317" s="433"/>
      <c r="I317" s="433"/>
      <c r="J317" s="433"/>
      <c r="K317" s="433"/>
      <c r="L317" s="433"/>
      <c r="M317" s="433"/>
      <c r="N317" s="433">
        <f t="shared" si="8"/>
        <v>0</v>
      </c>
      <c r="O317" s="433"/>
      <c r="P317" s="433"/>
      <c r="Q317" s="433"/>
      <c r="R317" s="429"/>
    </row>
    <row r="318" spans="1:32" ht="23.1" hidden="1" customHeight="1">
      <c r="D318" s="435"/>
      <c r="E318" s="435"/>
      <c r="F318" s="428"/>
      <c r="G318" s="434"/>
      <c r="H318" s="434"/>
      <c r="I318" s="434"/>
      <c r="J318" s="434"/>
      <c r="K318" s="434"/>
      <c r="L318" s="434"/>
      <c r="M318" s="434"/>
      <c r="N318" s="434">
        <f t="shared" si="8"/>
        <v>0</v>
      </c>
      <c r="O318" s="434"/>
      <c r="P318" s="434"/>
      <c r="Q318" s="434"/>
      <c r="R318" s="428"/>
    </row>
    <row r="319" spans="1:32" s="426" customFormat="1" ht="23.1" hidden="1" customHeight="1">
      <c r="D319" s="436"/>
      <c r="E319" s="436"/>
      <c r="F319" s="429"/>
      <c r="G319" s="433"/>
      <c r="H319" s="433"/>
      <c r="I319" s="433"/>
      <c r="J319" s="433"/>
      <c r="K319" s="433"/>
      <c r="L319" s="433"/>
      <c r="M319" s="433"/>
      <c r="N319" s="433">
        <f t="shared" si="8"/>
        <v>0</v>
      </c>
      <c r="O319" s="433"/>
      <c r="P319" s="433"/>
      <c r="Q319" s="433"/>
      <c r="R319" s="429"/>
      <c r="AF319" s="426">
        <v>7094713</v>
      </c>
    </row>
    <row r="320" spans="1:32" ht="23.1" hidden="1" customHeight="1">
      <c r="D320" s="435"/>
      <c r="E320" s="435"/>
      <c r="F320" s="428"/>
      <c r="G320" s="434"/>
      <c r="H320" s="434"/>
      <c r="I320" s="434"/>
      <c r="J320" s="434"/>
      <c r="K320" s="434"/>
      <c r="L320" s="434"/>
      <c r="M320" s="434"/>
      <c r="N320" s="434">
        <f t="shared" si="8"/>
        <v>0</v>
      </c>
      <c r="O320" s="434"/>
      <c r="P320" s="434"/>
      <c r="Q320" s="434"/>
      <c r="R320" s="428"/>
      <c r="AF320" s="422">
        <f ca="1">TRUNC([2]!sumcol(0,AF218:AF272))</f>
        <v>0</v>
      </c>
    </row>
    <row r="321" spans="1:32" s="426" customFormat="1" ht="23.1" hidden="1" customHeight="1">
      <c r="D321" s="436"/>
      <c r="E321" s="436"/>
      <c r="F321" s="429"/>
      <c r="G321" s="433"/>
      <c r="H321" s="433"/>
      <c r="I321" s="433"/>
      <c r="J321" s="433"/>
      <c r="K321" s="433"/>
      <c r="L321" s="433"/>
      <c r="M321" s="433"/>
      <c r="N321" s="433">
        <f t="shared" si="8"/>
        <v>0</v>
      </c>
      <c r="O321" s="433"/>
      <c r="P321" s="433"/>
      <c r="Q321" s="433"/>
      <c r="R321" s="429"/>
    </row>
    <row r="322" spans="1:32" ht="23.1" hidden="1" customHeight="1">
      <c r="D322" s="435"/>
      <c r="E322" s="435"/>
      <c r="F322" s="428"/>
      <c r="G322" s="434"/>
      <c r="H322" s="434"/>
      <c r="I322" s="434"/>
      <c r="J322" s="434"/>
      <c r="K322" s="434"/>
      <c r="L322" s="434"/>
      <c r="M322" s="434"/>
      <c r="N322" s="434">
        <f t="shared" si="8"/>
        <v>0</v>
      </c>
      <c r="O322" s="434"/>
      <c r="P322" s="434"/>
      <c r="Q322" s="434"/>
      <c r="R322" s="428"/>
    </row>
    <row r="323" spans="1:32" s="426" customFormat="1" ht="23.1" customHeight="1">
      <c r="D323" s="436"/>
      <c r="E323" s="436"/>
      <c r="F323" s="429"/>
      <c r="G323" s="433"/>
      <c r="H323" s="433"/>
      <c r="I323" s="433"/>
      <c r="J323" s="433"/>
      <c r="K323" s="433"/>
      <c r="L323" s="433"/>
      <c r="M323" s="433"/>
      <c r="N323" s="433">
        <f t="shared" si="8"/>
        <v>0</v>
      </c>
      <c r="O323" s="433"/>
      <c r="P323" s="433"/>
      <c r="Q323" s="433"/>
      <c r="R323" s="429"/>
    </row>
    <row r="324" spans="1:32" ht="23.1" customHeight="1">
      <c r="D324" s="435"/>
      <c r="E324" s="435"/>
      <c r="F324" s="428"/>
      <c r="G324" s="434"/>
      <c r="H324" s="434"/>
      <c r="I324" s="434"/>
      <c r="J324" s="434"/>
      <c r="K324" s="434"/>
      <c r="L324" s="434"/>
      <c r="M324" s="434"/>
      <c r="N324" s="434">
        <f t="shared" si="8"/>
        <v>0</v>
      </c>
      <c r="O324" s="434"/>
      <c r="P324" s="434"/>
      <c r="Q324" s="434"/>
      <c r="R324" s="428"/>
    </row>
    <row r="325" spans="1:32" s="426" customFormat="1" ht="23.1" customHeight="1">
      <c r="B325" s="426" t="s">
        <v>715</v>
      </c>
      <c r="D325" s="436" t="s">
        <v>216</v>
      </c>
      <c r="E325" s="436"/>
      <c r="F325" s="429"/>
      <c r="G325" s="433"/>
      <c r="H325" s="433"/>
      <c r="I325" s="443">
        <f>I219+I221+I223+I225+I227+I229+I231+I233+I235+I237+I239+I241+I243+I245+I247+I249+I251+I253+I255+I257+I259+I261+I263+I265+I267+I269+I271+I273+I275+I277+I279+I281+I283+I285+I287+I289+I291+I293+I295+I297+I299+I301+I303+I305+I307+I309+I311+I313+I315+I317+I319+I321+I323</f>
        <v>2755691</v>
      </c>
      <c r="J325" s="443"/>
      <c r="K325" s="443">
        <f>K219+K221+K223+K225+K227+K229+K231+K233+K235+K237+K239+K241+K243+K245+K247+K249+K251+K253+K255+K257+K259+K261+K263+K265+K267+K269+K271+K273+K275+K277+K279+K281+K283+K285+K287+K289+K291+K293+K295+K297+K299+K301+K303+K305+K307+K309+K311+K313+K315+K317+K319+K321+K323</f>
        <v>7094670</v>
      </c>
      <c r="L325" s="443"/>
      <c r="M325" s="443">
        <f>M219+M221+M223+M225+M227+M229+M231+M233+M235+M237+M239+M241+M243+M245+M247+M249+M251+M253+M255+M257+M259+M261+M263+M265+M267+M269+M271+M273+M275+M277+M279+M281+M283+M285+M287+M289+M291+M293+M295+M297+M299+M301+M303+M305+M307+M309+M311+M313+M315+M317+M319+M321+M323</f>
        <v>2512</v>
      </c>
      <c r="N325" s="443">
        <f t="shared" si="8"/>
        <v>0</v>
      </c>
      <c r="O325" s="443">
        <f>O219+O221+O223+O225+O227+O229+O231+O233+O235+O237+O239+O241+O243+O245+O247+O249+O251+O253+O255+O257+O259+O261+O263+O265+O267+O269+O271+O273+O275+O277+O279+O281+O283+O285+O287+O289+O291+O293+O295+O297+O299+O301+O303+O305+O307+O309+O311+O313+O315+O317+O319+O321+O323</f>
        <v>9852873</v>
      </c>
      <c r="P325" s="443"/>
      <c r="Q325" s="683">
        <f>O326-O325</f>
        <v>-2822057</v>
      </c>
      <c r="R325" s="429"/>
    </row>
    <row r="326" spans="1:32" ht="23.1" customHeight="1">
      <c r="B326" s="422" t="s">
        <v>715</v>
      </c>
      <c r="D326" s="435" t="s">
        <v>216</v>
      </c>
      <c r="E326" s="435"/>
      <c r="F326" s="428"/>
      <c r="G326" s="434"/>
      <c r="H326" s="434"/>
      <c r="I326" s="444">
        <f>I220+I222+I224+I226+I228+I230+I232+I234+I236+I238+I240+I242+I244+I246+I248+I250+I252+I254+I256+I258+I260+I262+I264+I266+I268+I270+I272+I274+I276+I278+I280+I282+I284+I286+I288+I290+I292+I294+I296+I298+I300+I302+I304+I306+I308+I310+I312+I314+I316+I318+I320+I322+I324</f>
        <v>1187761</v>
      </c>
      <c r="J326" s="444"/>
      <c r="K326" s="444">
        <f>K220+K222+K224+K226+K228+K230+K232+K234+K236+K238+K240+K242+K244+K246+K248+K250+K252+K254+K256+K258+K260+K262+K264+K266+K268+K270+K272+K274+K276+K278+K280+K282+K284+K286+K288+K290+K292+K294+K296+K298+K300+K302+K304+K306+K308+K310+K312+K314+K316+K318+K320+K322+K324</f>
        <v>5843055</v>
      </c>
      <c r="L326" s="444"/>
      <c r="M326" s="444">
        <f>M220+M222+M224+M226+M228+M230+M232+M234+M236+M238+M240+M242+M244+M246+M248+M250+M252+M254+M256+M258+M260+M262+M264+M266+M268+M270+M272+M274+M276+M278+M280+M282+M284+M286+M288+M290+M292+M294+M296+M298+M300+M302+M304+M306+M308+M310+M312+M314+M316+M318+M320+M322+M324</f>
        <v>0</v>
      </c>
      <c r="N326" s="444">
        <f t="shared" si="8"/>
        <v>0</v>
      </c>
      <c r="O326" s="444">
        <f>O220+O222+O224+O226+O228+O230+O232+O234+O236+O238+O240+O242+O244+O246+O248+O250+O252+O254+O256+O258+O260+O262+O264+O266+O268+O270+O272+O274+O276+O278+O280+O282+O284+O286+O288+O290+O292+O294+O296+O298+O300+O302+O304+O306+O308+O310+O312+O314+O316+O318+O320+O322+O324</f>
        <v>7030816</v>
      </c>
      <c r="P326" s="445"/>
      <c r="Q326" s="684"/>
      <c r="R326" s="428"/>
    </row>
    <row r="327" spans="1:32" ht="23.1" customHeight="1">
      <c r="B327" s="422" t="s">
        <v>208</v>
      </c>
      <c r="D327" s="449" t="s">
        <v>3745</v>
      </c>
      <c r="E327" s="450"/>
      <c r="F327" s="451"/>
      <c r="G327" s="452"/>
      <c r="H327" s="452"/>
      <c r="I327" s="452"/>
      <c r="J327" s="452"/>
      <c r="K327" s="452"/>
      <c r="L327" s="452"/>
      <c r="M327" s="452"/>
      <c r="N327" s="452">
        <f t="shared" si="8"/>
        <v>0</v>
      </c>
      <c r="O327" s="452"/>
      <c r="P327" s="452"/>
      <c r="Q327" s="452"/>
      <c r="R327" s="421"/>
    </row>
    <row r="328" spans="1:32" s="426" customFormat="1" ht="23.1" customHeight="1">
      <c r="A328" s="426" t="s">
        <v>832</v>
      </c>
      <c r="B328" s="426" t="s">
        <v>833</v>
      </c>
      <c r="C328" s="426" t="s">
        <v>832</v>
      </c>
      <c r="D328" s="685" t="s">
        <v>755</v>
      </c>
      <c r="E328" s="685" t="s">
        <v>834</v>
      </c>
      <c r="F328" s="687" t="s">
        <v>592</v>
      </c>
      <c r="G328" s="439">
        <v>149</v>
      </c>
      <c r="H328" s="439">
        <v>3352</v>
      </c>
      <c r="I328" s="439">
        <v>499448</v>
      </c>
      <c r="J328" s="439">
        <v>25217</v>
      </c>
      <c r="K328" s="439">
        <v>3757333</v>
      </c>
      <c r="L328" s="439">
        <v>0</v>
      </c>
      <c r="M328" s="439">
        <v>0</v>
      </c>
      <c r="N328" s="439">
        <v>28569</v>
      </c>
      <c r="O328" s="439">
        <v>4256781</v>
      </c>
      <c r="P328" s="683">
        <f>G329-G328</f>
        <v>-149</v>
      </c>
      <c r="Q328" s="683">
        <f>O329-O328</f>
        <v>-4256781</v>
      </c>
      <c r="R328" s="689" t="s">
        <v>835</v>
      </c>
      <c r="AC328" s="426">
        <v>442232</v>
      </c>
      <c r="AD328" s="426">
        <v>442232</v>
      </c>
      <c r="AF328" s="426">
        <v>3757333</v>
      </c>
    </row>
    <row r="329" spans="1:32" ht="23.1" customHeight="1">
      <c r="A329" s="422" t="s">
        <v>836</v>
      </c>
      <c r="B329" s="422" t="s">
        <v>227</v>
      </c>
      <c r="C329" s="422" t="s">
        <v>836</v>
      </c>
      <c r="D329" s="686"/>
      <c r="E329" s="686"/>
      <c r="F329" s="688"/>
      <c r="G329" s="442"/>
      <c r="H329" s="442"/>
      <c r="I329" s="442"/>
      <c r="J329" s="442"/>
      <c r="K329" s="442"/>
      <c r="L329" s="442"/>
      <c r="M329" s="442"/>
      <c r="N329" s="442"/>
      <c r="O329" s="442"/>
      <c r="P329" s="684"/>
      <c r="Q329" s="684"/>
      <c r="R329" s="690"/>
      <c r="AC329" s="422">
        <f>I329</f>
        <v>0</v>
      </c>
      <c r="AD329" s="422">
        <f>G329*H329</f>
        <v>0</v>
      </c>
      <c r="AF329" s="422">
        <f>K329</f>
        <v>0</v>
      </c>
    </row>
    <row r="330" spans="1:32" s="426" customFormat="1" ht="23.1" customHeight="1">
      <c r="A330" s="426" t="s">
        <v>837</v>
      </c>
      <c r="B330" s="426" t="s">
        <v>833</v>
      </c>
      <c r="C330" s="426" t="s">
        <v>837</v>
      </c>
      <c r="D330" s="685" t="s">
        <v>838</v>
      </c>
      <c r="E330" s="685" t="s">
        <v>839</v>
      </c>
      <c r="F330" s="687" t="s">
        <v>592</v>
      </c>
      <c r="G330" s="439">
        <v>73</v>
      </c>
      <c r="H330" s="439">
        <v>528</v>
      </c>
      <c r="I330" s="439">
        <v>38544</v>
      </c>
      <c r="J330" s="439">
        <v>11004</v>
      </c>
      <c r="K330" s="439">
        <v>803292</v>
      </c>
      <c r="L330" s="439">
        <v>0</v>
      </c>
      <c r="M330" s="439">
        <v>0</v>
      </c>
      <c r="N330" s="439">
        <v>11532</v>
      </c>
      <c r="O330" s="439">
        <v>841836</v>
      </c>
      <c r="P330" s="683">
        <f>G331-G330</f>
        <v>-73</v>
      </c>
      <c r="Q330" s="683">
        <f>O331-O330</f>
        <v>-841836</v>
      </c>
      <c r="R330" s="689" t="s">
        <v>840</v>
      </c>
      <c r="AB330" s="426">
        <v>38544</v>
      </c>
      <c r="AD330" s="426">
        <v>38544</v>
      </c>
      <c r="AF330" s="426">
        <v>803292</v>
      </c>
    </row>
    <row r="331" spans="1:32" ht="23.1" customHeight="1">
      <c r="A331" s="422" t="s">
        <v>841</v>
      </c>
      <c r="B331" s="422" t="s">
        <v>227</v>
      </c>
      <c r="C331" s="422" t="s">
        <v>841</v>
      </c>
      <c r="D331" s="686"/>
      <c r="E331" s="686"/>
      <c r="F331" s="688"/>
      <c r="G331" s="442"/>
      <c r="H331" s="442"/>
      <c r="I331" s="442"/>
      <c r="J331" s="442"/>
      <c r="K331" s="442"/>
      <c r="L331" s="442"/>
      <c r="M331" s="442"/>
      <c r="N331" s="442"/>
      <c r="O331" s="442"/>
      <c r="P331" s="684"/>
      <c r="Q331" s="684"/>
      <c r="R331" s="690"/>
      <c r="AB331" s="422">
        <f>I331</f>
        <v>0</v>
      </c>
      <c r="AD331" s="422">
        <f>G331*H331</f>
        <v>0</v>
      </c>
      <c r="AF331" s="422">
        <f>K331</f>
        <v>0</v>
      </c>
    </row>
    <row r="332" spans="1:32" s="426" customFormat="1" ht="23.1" customHeight="1">
      <c r="A332" s="426" t="s">
        <v>842</v>
      </c>
      <c r="B332" s="426" t="s">
        <v>833</v>
      </c>
      <c r="C332" s="426" t="s">
        <v>842</v>
      </c>
      <c r="D332" s="685" t="s">
        <v>843</v>
      </c>
      <c r="E332" s="685" t="s">
        <v>844</v>
      </c>
      <c r="F332" s="687" t="s">
        <v>679</v>
      </c>
      <c r="G332" s="439">
        <v>11</v>
      </c>
      <c r="H332" s="439">
        <v>2003</v>
      </c>
      <c r="I332" s="439">
        <v>22033</v>
      </c>
      <c r="J332" s="439">
        <v>9169</v>
      </c>
      <c r="K332" s="439">
        <v>100859</v>
      </c>
      <c r="L332" s="439">
        <v>0</v>
      </c>
      <c r="M332" s="439">
        <v>0</v>
      </c>
      <c r="N332" s="439">
        <v>11172</v>
      </c>
      <c r="O332" s="439">
        <v>122892</v>
      </c>
      <c r="P332" s="683">
        <f>G333-G332</f>
        <v>-11</v>
      </c>
      <c r="Q332" s="683">
        <f>O333-O332</f>
        <v>-122892</v>
      </c>
      <c r="R332" s="689" t="s">
        <v>845</v>
      </c>
      <c r="AF332" s="426">
        <v>100870</v>
      </c>
    </row>
    <row r="333" spans="1:32" ht="23.1" customHeight="1">
      <c r="A333" s="422" t="s">
        <v>846</v>
      </c>
      <c r="B333" s="422" t="s">
        <v>227</v>
      </c>
      <c r="C333" s="422" t="s">
        <v>846</v>
      </c>
      <c r="D333" s="686"/>
      <c r="E333" s="686"/>
      <c r="F333" s="688"/>
      <c r="G333" s="442"/>
      <c r="H333" s="442"/>
      <c r="I333" s="442"/>
      <c r="J333" s="442"/>
      <c r="K333" s="442"/>
      <c r="L333" s="442"/>
      <c r="M333" s="442"/>
      <c r="N333" s="442"/>
      <c r="O333" s="442"/>
      <c r="P333" s="684"/>
      <c r="Q333" s="684"/>
      <c r="R333" s="690"/>
      <c r="AF333" s="422">
        <f>K333</f>
        <v>0</v>
      </c>
    </row>
    <row r="334" spans="1:32" s="426" customFormat="1" ht="23.1" customHeight="1">
      <c r="A334" s="426" t="s">
        <v>847</v>
      </c>
      <c r="B334" s="426" t="s">
        <v>833</v>
      </c>
      <c r="C334" s="426" t="s">
        <v>847</v>
      </c>
      <c r="D334" s="685" t="s">
        <v>848</v>
      </c>
      <c r="E334" s="685" t="s">
        <v>849</v>
      </c>
      <c r="F334" s="687" t="s">
        <v>592</v>
      </c>
      <c r="G334" s="439">
        <v>710</v>
      </c>
      <c r="H334" s="439">
        <v>676</v>
      </c>
      <c r="I334" s="439">
        <v>479960</v>
      </c>
      <c r="J334" s="439">
        <v>2292</v>
      </c>
      <c r="K334" s="439">
        <v>1627320</v>
      </c>
      <c r="L334" s="439">
        <v>0</v>
      </c>
      <c r="M334" s="439">
        <v>0</v>
      </c>
      <c r="N334" s="439">
        <v>2968</v>
      </c>
      <c r="O334" s="439">
        <v>2107280</v>
      </c>
      <c r="P334" s="683">
        <f>G335-G334</f>
        <v>-710</v>
      </c>
      <c r="Q334" s="683">
        <f>O335-O334</f>
        <v>-2107280</v>
      </c>
      <c r="R334" s="689" t="s">
        <v>850</v>
      </c>
      <c r="AD334" s="426">
        <v>480670</v>
      </c>
      <c r="AF334" s="426">
        <v>1627320</v>
      </c>
    </row>
    <row r="335" spans="1:32" ht="23.1" customHeight="1">
      <c r="A335" s="422" t="s">
        <v>851</v>
      </c>
      <c r="B335" s="422" t="s">
        <v>227</v>
      </c>
      <c r="C335" s="422" t="s">
        <v>851</v>
      </c>
      <c r="D335" s="686"/>
      <c r="E335" s="686"/>
      <c r="F335" s="688"/>
      <c r="G335" s="442"/>
      <c r="H335" s="442"/>
      <c r="I335" s="442"/>
      <c r="J335" s="442"/>
      <c r="K335" s="442"/>
      <c r="L335" s="442"/>
      <c r="M335" s="442"/>
      <c r="N335" s="442"/>
      <c r="O335" s="442"/>
      <c r="P335" s="684"/>
      <c r="Q335" s="684"/>
      <c r="R335" s="690"/>
      <c r="AD335" s="422">
        <f>G335*H335</f>
        <v>0</v>
      </c>
      <c r="AF335" s="422">
        <f>K335</f>
        <v>0</v>
      </c>
    </row>
    <row r="336" spans="1:32" s="426" customFormat="1" ht="23.1" customHeight="1">
      <c r="A336" s="426" t="s">
        <v>852</v>
      </c>
      <c r="B336" s="426" t="s">
        <v>833</v>
      </c>
      <c r="C336" s="426" t="s">
        <v>852</v>
      </c>
      <c r="D336" s="685" t="s">
        <v>811</v>
      </c>
      <c r="E336" s="685" t="s">
        <v>853</v>
      </c>
      <c r="F336" s="687" t="s">
        <v>659</v>
      </c>
      <c r="G336" s="439">
        <v>100</v>
      </c>
      <c r="H336" s="439">
        <v>1514</v>
      </c>
      <c r="I336" s="439">
        <v>151400</v>
      </c>
      <c r="J336" s="439">
        <v>8253</v>
      </c>
      <c r="K336" s="439">
        <v>825300</v>
      </c>
      <c r="L336" s="439">
        <v>0</v>
      </c>
      <c r="M336" s="439">
        <v>0</v>
      </c>
      <c r="N336" s="439">
        <v>9767</v>
      </c>
      <c r="O336" s="439">
        <v>976700</v>
      </c>
      <c r="P336" s="683">
        <f>G337-G336</f>
        <v>-100</v>
      </c>
      <c r="Q336" s="683">
        <f>O337-O336</f>
        <v>-976700</v>
      </c>
      <c r="R336" s="689" t="s">
        <v>854</v>
      </c>
      <c r="AF336" s="426">
        <v>825300</v>
      </c>
    </row>
    <row r="337" spans="1:32" ht="23.1" customHeight="1">
      <c r="A337" s="422" t="s">
        <v>855</v>
      </c>
      <c r="B337" s="422" t="s">
        <v>227</v>
      </c>
      <c r="C337" s="422" t="s">
        <v>855</v>
      </c>
      <c r="D337" s="686"/>
      <c r="E337" s="686"/>
      <c r="F337" s="688"/>
      <c r="G337" s="442"/>
      <c r="H337" s="442"/>
      <c r="I337" s="442"/>
      <c r="J337" s="442"/>
      <c r="K337" s="442"/>
      <c r="L337" s="442"/>
      <c r="M337" s="442"/>
      <c r="N337" s="442">
        <f t="shared" si="8"/>
        <v>0</v>
      </c>
      <c r="O337" s="442"/>
      <c r="P337" s="684"/>
      <c r="Q337" s="684"/>
      <c r="R337" s="690"/>
      <c r="AF337" s="422">
        <f>K337</f>
        <v>0</v>
      </c>
    </row>
    <row r="338" spans="1:32" s="426" customFormat="1" ht="23.1" customHeight="1">
      <c r="D338" s="437"/>
      <c r="E338" s="437"/>
      <c r="F338" s="438"/>
      <c r="G338" s="439"/>
      <c r="H338" s="439"/>
      <c r="I338" s="439"/>
      <c r="J338" s="439"/>
      <c r="K338" s="439"/>
      <c r="L338" s="439"/>
      <c r="M338" s="439"/>
      <c r="N338" s="439">
        <f t="shared" si="8"/>
        <v>0</v>
      </c>
      <c r="O338" s="439"/>
      <c r="P338" s="439"/>
      <c r="Q338" s="439"/>
      <c r="R338" s="429"/>
    </row>
    <row r="339" spans="1:32" ht="23.1" customHeight="1">
      <c r="D339" s="440"/>
      <c r="E339" s="440"/>
      <c r="F339" s="441"/>
      <c r="G339" s="442"/>
      <c r="H339" s="442"/>
      <c r="I339" s="442"/>
      <c r="J339" s="442"/>
      <c r="K339" s="442"/>
      <c r="L339" s="442"/>
      <c r="M339" s="442"/>
      <c r="N339" s="442">
        <f t="shared" si="8"/>
        <v>0</v>
      </c>
      <c r="O339" s="442"/>
      <c r="P339" s="442"/>
      <c r="Q339" s="442"/>
      <c r="R339" s="428"/>
    </row>
    <row r="340" spans="1:32" s="426" customFormat="1" ht="23.1" customHeight="1">
      <c r="D340" s="437"/>
      <c r="E340" s="437"/>
      <c r="F340" s="438"/>
      <c r="G340" s="439"/>
      <c r="H340" s="439"/>
      <c r="I340" s="439"/>
      <c r="J340" s="439"/>
      <c r="K340" s="439"/>
      <c r="L340" s="439"/>
      <c r="M340" s="439"/>
      <c r="N340" s="439">
        <f t="shared" si="8"/>
        <v>0</v>
      </c>
      <c r="O340" s="439"/>
      <c r="P340" s="439"/>
      <c r="Q340" s="439"/>
      <c r="R340" s="429"/>
    </row>
    <row r="341" spans="1:32" ht="23.1" customHeight="1">
      <c r="D341" s="440"/>
      <c r="E341" s="440"/>
      <c r="F341" s="441"/>
      <c r="G341" s="442"/>
      <c r="H341" s="442"/>
      <c r="I341" s="442"/>
      <c r="J341" s="442"/>
      <c r="K341" s="442"/>
      <c r="L341" s="442"/>
      <c r="M341" s="442"/>
      <c r="N341" s="442">
        <f t="shared" si="8"/>
        <v>0</v>
      </c>
      <c r="O341" s="442"/>
      <c r="P341" s="442"/>
      <c r="Q341" s="442"/>
      <c r="R341" s="428"/>
    </row>
    <row r="342" spans="1:32" s="426" customFormat="1" ht="23.1" customHeight="1">
      <c r="D342" s="437"/>
      <c r="E342" s="437"/>
      <c r="F342" s="438"/>
      <c r="G342" s="439"/>
      <c r="H342" s="439"/>
      <c r="I342" s="439"/>
      <c r="J342" s="439"/>
      <c r="K342" s="439"/>
      <c r="L342" s="439"/>
      <c r="M342" s="439"/>
      <c r="N342" s="439">
        <f t="shared" si="8"/>
        <v>0</v>
      </c>
      <c r="O342" s="439"/>
      <c r="P342" s="439"/>
      <c r="Q342" s="439"/>
      <c r="R342" s="429"/>
    </row>
    <row r="343" spans="1:32" ht="23.1" customHeight="1">
      <c r="D343" s="440"/>
      <c r="E343" s="440"/>
      <c r="F343" s="441"/>
      <c r="G343" s="442"/>
      <c r="H343" s="442"/>
      <c r="I343" s="442"/>
      <c r="J343" s="442"/>
      <c r="K343" s="442"/>
      <c r="L343" s="442"/>
      <c r="M343" s="442"/>
      <c r="N343" s="442">
        <f t="shared" si="8"/>
        <v>0</v>
      </c>
      <c r="O343" s="442"/>
      <c r="P343" s="442"/>
      <c r="Q343" s="442"/>
      <c r="R343" s="428"/>
    </row>
    <row r="344" spans="1:32" s="426" customFormat="1" ht="23.1" customHeight="1">
      <c r="D344" s="437"/>
      <c r="E344" s="437"/>
      <c r="F344" s="438"/>
      <c r="G344" s="439"/>
      <c r="H344" s="439"/>
      <c r="I344" s="439"/>
      <c r="J344" s="439"/>
      <c r="K344" s="439"/>
      <c r="L344" s="439"/>
      <c r="M344" s="439"/>
      <c r="N344" s="439">
        <f t="shared" si="8"/>
        <v>0</v>
      </c>
      <c r="O344" s="439"/>
      <c r="P344" s="439"/>
      <c r="Q344" s="439"/>
      <c r="R344" s="429"/>
    </row>
    <row r="345" spans="1:32" ht="23.1" customHeight="1">
      <c r="D345" s="440"/>
      <c r="E345" s="440"/>
      <c r="F345" s="441"/>
      <c r="G345" s="442"/>
      <c r="H345" s="442"/>
      <c r="I345" s="442"/>
      <c r="J345" s="442"/>
      <c r="K345" s="442"/>
      <c r="L345" s="442"/>
      <c r="M345" s="442"/>
      <c r="N345" s="442">
        <f t="shared" si="8"/>
        <v>0</v>
      </c>
      <c r="O345" s="442"/>
      <c r="P345" s="442"/>
      <c r="Q345" s="442"/>
      <c r="R345" s="428"/>
    </row>
    <row r="346" spans="1:32" s="426" customFormat="1" ht="23.1" customHeight="1">
      <c r="D346" s="437"/>
      <c r="E346" s="437"/>
      <c r="F346" s="438"/>
      <c r="G346" s="439"/>
      <c r="H346" s="439"/>
      <c r="I346" s="439"/>
      <c r="J346" s="439"/>
      <c r="K346" s="439"/>
      <c r="L346" s="439"/>
      <c r="M346" s="439"/>
      <c r="N346" s="439">
        <f t="shared" si="8"/>
        <v>0</v>
      </c>
      <c r="O346" s="439"/>
      <c r="P346" s="439"/>
      <c r="Q346" s="439"/>
      <c r="R346" s="429"/>
    </row>
    <row r="347" spans="1:32" ht="23.1" customHeight="1">
      <c r="D347" s="440"/>
      <c r="E347" s="440"/>
      <c r="F347" s="441"/>
      <c r="G347" s="442"/>
      <c r="H347" s="442"/>
      <c r="I347" s="442"/>
      <c r="J347" s="442"/>
      <c r="K347" s="442"/>
      <c r="L347" s="442"/>
      <c r="M347" s="442"/>
      <c r="N347" s="442">
        <f t="shared" si="8"/>
        <v>0</v>
      </c>
      <c r="O347" s="442"/>
      <c r="P347" s="442"/>
      <c r="Q347" s="442"/>
      <c r="R347" s="428"/>
    </row>
    <row r="348" spans="1:32" s="426" customFormat="1" ht="23.1" customHeight="1">
      <c r="A348" s="423"/>
      <c r="B348" s="423" t="s">
        <v>715</v>
      </c>
      <c r="C348" s="423"/>
      <c r="D348" s="436" t="s">
        <v>216</v>
      </c>
      <c r="E348" s="436"/>
      <c r="F348" s="429"/>
      <c r="G348" s="433"/>
      <c r="H348" s="433"/>
      <c r="I348" s="433">
        <f>I328+I330+I332+I334+I336</f>
        <v>1191385</v>
      </c>
      <c r="J348" s="433"/>
      <c r="K348" s="433">
        <f>K328+K330+K332+K334+K336</f>
        <v>7114104</v>
      </c>
      <c r="L348" s="433"/>
      <c r="M348" s="433">
        <v>0</v>
      </c>
      <c r="N348" s="433">
        <f t="shared" si="8"/>
        <v>0</v>
      </c>
      <c r="O348" s="433">
        <f>O328+O330+O332+O334+O336</f>
        <v>8305489</v>
      </c>
      <c r="P348" s="433"/>
      <c r="Q348" s="683">
        <f ca="1">O349-O348</f>
        <v>-8305489</v>
      </c>
      <c r="R348" s="429"/>
    </row>
    <row r="349" spans="1:32" ht="23.1" customHeight="1">
      <c r="A349" s="412"/>
      <c r="B349" s="412" t="s">
        <v>715</v>
      </c>
      <c r="C349" s="412"/>
      <c r="D349" s="435" t="s">
        <v>216</v>
      </c>
      <c r="E349" s="435"/>
      <c r="F349" s="428"/>
      <c r="G349" s="434"/>
      <c r="H349" s="434"/>
      <c r="I349" s="434">
        <f ca="1">TRUNC([2]!sumcol(0,I327:I347))</f>
        <v>0</v>
      </c>
      <c r="J349" s="434"/>
      <c r="K349" s="434">
        <f ca="1">TRUNC([2]!sumcol(0,K327:K347))</f>
        <v>0</v>
      </c>
      <c r="L349" s="434"/>
      <c r="M349" s="434">
        <f ca="1">TRUNC([2]!sumcol(0,M327:M347))</f>
        <v>0</v>
      </c>
      <c r="N349" s="434">
        <f t="shared" si="8"/>
        <v>0</v>
      </c>
      <c r="O349" s="434">
        <f ca="1">TRUNC([2]!sumcol(0,O327:O347))</f>
        <v>0</v>
      </c>
      <c r="P349" s="434"/>
      <c r="Q349" s="684"/>
      <c r="R349" s="428"/>
    </row>
    <row r="350" spans="1:32" ht="23.1" customHeight="1">
      <c r="A350" s="412"/>
      <c r="B350" s="412" t="s">
        <v>208</v>
      </c>
      <c r="C350" s="412"/>
      <c r="D350" s="453" t="s">
        <v>444</v>
      </c>
      <c r="E350" s="418"/>
      <c r="F350" s="419"/>
      <c r="G350" s="420"/>
      <c r="H350" s="420"/>
      <c r="I350" s="420"/>
      <c r="J350" s="420"/>
      <c r="K350" s="420"/>
      <c r="L350" s="420"/>
      <c r="M350" s="420"/>
      <c r="N350" s="420">
        <f t="shared" si="8"/>
        <v>0</v>
      </c>
      <c r="O350" s="420"/>
      <c r="P350" s="420"/>
      <c r="Q350" s="420"/>
      <c r="R350" s="421"/>
    </row>
    <row r="351" spans="1:32" s="426" customFormat="1" ht="23.1" customHeight="1">
      <c r="A351" s="423" t="s">
        <v>856</v>
      </c>
      <c r="B351" s="423" t="s">
        <v>857</v>
      </c>
      <c r="C351" s="423" t="s">
        <v>856</v>
      </c>
      <c r="D351" s="691" t="s">
        <v>858</v>
      </c>
      <c r="E351" s="691" t="s">
        <v>834</v>
      </c>
      <c r="F351" s="689" t="s">
        <v>592</v>
      </c>
      <c r="G351" s="433">
        <v>407</v>
      </c>
      <c r="H351" s="433">
        <v>3068</v>
      </c>
      <c r="I351" s="433">
        <v>1248676</v>
      </c>
      <c r="J351" s="433">
        <v>30261</v>
      </c>
      <c r="K351" s="433">
        <v>12316227</v>
      </c>
      <c r="L351" s="433">
        <v>0</v>
      </c>
      <c r="M351" s="433">
        <v>0</v>
      </c>
      <c r="N351" s="433">
        <v>33329</v>
      </c>
      <c r="O351" s="433">
        <v>13564903</v>
      </c>
      <c r="P351" s="683">
        <f>G352-G351</f>
        <v>-407</v>
      </c>
      <c r="Q351" s="683">
        <f>O352-O351</f>
        <v>-13564903</v>
      </c>
      <c r="R351" s="689" t="s">
        <v>859</v>
      </c>
      <c r="AC351" s="426">
        <v>1249083</v>
      </c>
      <c r="AD351" s="426">
        <v>1249083</v>
      </c>
      <c r="AF351" s="426">
        <v>12316227</v>
      </c>
    </row>
    <row r="352" spans="1:32" ht="23.1" customHeight="1">
      <c r="A352" s="412"/>
      <c r="B352" s="412"/>
      <c r="C352" s="412"/>
      <c r="D352" s="692"/>
      <c r="E352" s="692"/>
      <c r="F352" s="690"/>
      <c r="G352" s="434"/>
      <c r="H352" s="434"/>
      <c r="I352" s="434"/>
      <c r="J352" s="434"/>
      <c r="K352" s="434"/>
      <c r="L352" s="434"/>
      <c r="M352" s="434"/>
      <c r="N352" s="434"/>
      <c r="O352" s="434"/>
      <c r="P352" s="684"/>
      <c r="Q352" s="684"/>
      <c r="R352" s="690"/>
    </row>
    <row r="353" spans="1:32" s="426" customFormat="1" ht="23.1" customHeight="1">
      <c r="A353" s="423" t="s">
        <v>837</v>
      </c>
      <c r="B353" s="423" t="s">
        <v>857</v>
      </c>
      <c r="C353" s="423" t="s">
        <v>837</v>
      </c>
      <c r="D353" s="691" t="s">
        <v>838</v>
      </c>
      <c r="E353" s="691" t="s">
        <v>839</v>
      </c>
      <c r="F353" s="689" t="s">
        <v>592</v>
      </c>
      <c r="G353" s="433">
        <v>153</v>
      </c>
      <c r="H353" s="433">
        <v>528</v>
      </c>
      <c r="I353" s="433">
        <v>80784</v>
      </c>
      <c r="J353" s="433">
        <v>11004</v>
      </c>
      <c r="K353" s="433">
        <v>1683612</v>
      </c>
      <c r="L353" s="433">
        <v>0</v>
      </c>
      <c r="M353" s="433">
        <v>0</v>
      </c>
      <c r="N353" s="433">
        <v>11532</v>
      </c>
      <c r="O353" s="433">
        <v>1764396</v>
      </c>
      <c r="P353" s="683">
        <f>G354-G353</f>
        <v>-153</v>
      </c>
      <c r="Q353" s="683">
        <f>O354-O353</f>
        <v>-1764396</v>
      </c>
      <c r="R353" s="689" t="s">
        <v>840</v>
      </c>
      <c r="AB353" s="426">
        <v>80784</v>
      </c>
      <c r="AD353" s="426">
        <v>80784</v>
      </c>
      <c r="AF353" s="426">
        <v>1683612</v>
      </c>
    </row>
    <row r="354" spans="1:32" ht="23.1" customHeight="1">
      <c r="A354" s="412"/>
      <c r="B354" s="412"/>
      <c r="C354" s="412"/>
      <c r="D354" s="692"/>
      <c r="E354" s="692"/>
      <c r="F354" s="690"/>
      <c r="G354" s="434"/>
      <c r="H354" s="434"/>
      <c r="I354" s="434"/>
      <c r="J354" s="434"/>
      <c r="K354" s="434"/>
      <c r="L354" s="434"/>
      <c r="M354" s="434"/>
      <c r="N354" s="434"/>
      <c r="O354" s="434"/>
      <c r="P354" s="684"/>
      <c r="Q354" s="684"/>
      <c r="R354" s="690"/>
    </row>
    <row r="355" spans="1:32" s="426" customFormat="1" ht="23.1" customHeight="1">
      <c r="A355" s="423" t="s">
        <v>860</v>
      </c>
      <c r="B355" s="423" t="s">
        <v>857</v>
      </c>
      <c r="C355" s="423" t="s">
        <v>860</v>
      </c>
      <c r="D355" s="691" t="s">
        <v>838</v>
      </c>
      <c r="E355" s="691" t="s">
        <v>861</v>
      </c>
      <c r="F355" s="689" t="s">
        <v>592</v>
      </c>
      <c r="G355" s="433">
        <v>3</v>
      </c>
      <c r="H355" s="433">
        <v>676</v>
      </c>
      <c r="I355" s="433">
        <v>2028</v>
      </c>
      <c r="J355" s="433">
        <v>14671</v>
      </c>
      <c r="K355" s="433">
        <v>44013</v>
      </c>
      <c r="L355" s="433">
        <v>0</v>
      </c>
      <c r="M355" s="433">
        <v>0</v>
      </c>
      <c r="N355" s="433">
        <v>15347</v>
      </c>
      <c r="O355" s="433">
        <v>46041</v>
      </c>
      <c r="P355" s="683">
        <f>G356-G355</f>
        <v>-3</v>
      </c>
      <c r="Q355" s="683">
        <f>O356-O355</f>
        <v>-46041</v>
      </c>
      <c r="R355" s="689" t="s">
        <v>862</v>
      </c>
      <c r="AB355" s="426">
        <v>2028</v>
      </c>
      <c r="AD355" s="426">
        <v>2028</v>
      </c>
      <c r="AF355" s="426">
        <v>44016</v>
      </c>
    </row>
    <row r="356" spans="1:32" ht="23.1" customHeight="1">
      <c r="A356" s="412"/>
      <c r="B356" s="412"/>
      <c r="C356" s="412"/>
      <c r="D356" s="692"/>
      <c r="E356" s="692"/>
      <c r="F356" s="690"/>
      <c r="G356" s="434"/>
      <c r="H356" s="434"/>
      <c r="I356" s="434"/>
      <c r="J356" s="434"/>
      <c r="K356" s="434"/>
      <c r="L356" s="434"/>
      <c r="M356" s="434"/>
      <c r="N356" s="434"/>
      <c r="O356" s="434"/>
      <c r="P356" s="684"/>
      <c r="Q356" s="684"/>
      <c r="R356" s="690"/>
    </row>
    <row r="357" spans="1:32" s="426" customFormat="1" ht="23.1" customHeight="1">
      <c r="A357" s="423" t="s">
        <v>863</v>
      </c>
      <c r="B357" s="423" t="s">
        <v>857</v>
      </c>
      <c r="C357" s="423" t="s">
        <v>863</v>
      </c>
      <c r="D357" s="691" t="s">
        <v>864</v>
      </c>
      <c r="E357" s="691" t="s">
        <v>865</v>
      </c>
      <c r="F357" s="689" t="s">
        <v>592</v>
      </c>
      <c r="G357" s="433">
        <v>33</v>
      </c>
      <c r="H357" s="433">
        <v>574</v>
      </c>
      <c r="I357" s="433">
        <v>18942</v>
      </c>
      <c r="J357" s="433">
        <v>10086</v>
      </c>
      <c r="K357" s="433">
        <v>332838</v>
      </c>
      <c r="L357" s="433">
        <v>0</v>
      </c>
      <c r="M357" s="433">
        <v>0</v>
      </c>
      <c r="N357" s="433">
        <v>10660</v>
      </c>
      <c r="O357" s="433">
        <v>351780</v>
      </c>
      <c r="P357" s="683">
        <f>G358-G357</f>
        <v>-33</v>
      </c>
      <c r="Q357" s="683">
        <f>O358-O357</f>
        <v>-351780</v>
      </c>
      <c r="R357" s="689" t="s">
        <v>866</v>
      </c>
      <c r="AC357" s="426">
        <v>18955</v>
      </c>
      <c r="AD357" s="426">
        <v>18955.200000000026</v>
      </c>
      <c r="AF357" s="426">
        <v>332871</v>
      </c>
    </row>
    <row r="358" spans="1:32" ht="23.1" customHeight="1">
      <c r="A358" s="412"/>
      <c r="B358" s="412"/>
      <c r="C358" s="412"/>
      <c r="D358" s="692"/>
      <c r="E358" s="692"/>
      <c r="F358" s="690"/>
      <c r="G358" s="434"/>
      <c r="H358" s="434"/>
      <c r="I358" s="434"/>
      <c r="J358" s="434"/>
      <c r="K358" s="434"/>
      <c r="L358" s="434"/>
      <c r="M358" s="434"/>
      <c r="N358" s="434"/>
      <c r="O358" s="434"/>
      <c r="P358" s="684"/>
      <c r="Q358" s="684"/>
      <c r="R358" s="690"/>
    </row>
    <row r="359" spans="1:32" s="426" customFormat="1" ht="23.1" customHeight="1">
      <c r="A359" s="423" t="s">
        <v>867</v>
      </c>
      <c r="B359" s="423" t="s">
        <v>857</v>
      </c>
      <c r="C359" s="423" t="s">
        <v>867</v>
      </c>
      <c r="D359" s="691" t="s">
        <v>868</v>
      </c>
      <c r="E359" s="691" t="s">
        <v>869</v>
      </c>
      <c r="F359" s="689" t="s">
        <v>617</v>
      </c>
      <c r="G359" s="433">
        <v>45</v>
      </c>
      <c r="H359" s="433">
        <v>1043</v>
      </c>
      <c r="I359" s="433">
        <v>46935</v>
      </c>
      <c r="J359" s="433">
        <v>27510</v>
      </c>
      <c r="K359" s="433">
        <v>1237950</v>
      </c>
      <c r="L359" s="433">
        <v>0</v>
      </c>
      <c r="M359" s="433">
        <v>0</v>
      </c>
      <c r="N359" s="433">
        <v>28553</v>
      </c>
      <c r="O359" s="433">
        <v>1284885</v>
      </c>
      <c r="P359" s="683">
        <f>G360-G359</f>
        <v>-45</v>
      </c>
      <c r="Q359" s="683">
        <f>O360-O359</f>
        <v>-1284885</v>
      </c>
      <c r="R359" s="689" t="s">
        <v>870</v>
      </c>
      <c r="AF359" s="426">
        <v>1237950</v>
      </c>
    </row>
    <row r="360" spans="1:32" ht="23.1" customHeight="1">
      <c r="A360" s="412"/>
      <c r="B360" s="412"/>
      <c r="C360" s="412"/>
      <c r="D360" s="692"/>
      <c r="E360" s="692"/>
      <c r="F360" s="690"/>
      <c r="G360" s="434"/>
      <c r="H360" s="434"/>
      <c r="I360" s="434"/>
      <c r="J360" s="434"/>
      <c r="K360" s="434"/>
      <c r="L360" s="434"/>
      <c r="M360" s="434"/>
      <c r="N360" s="434"/>
      <c r="O360" s="434"/>
      <c r="P360" s="684"/>
      <c r="Q360" s="684"/>
      <c r="R360" s="690"/>
    </row>
    <row r="361" spans="1:32" s="426" customFormat="1" ht="23.1" customHeight="1">
      <c r="A361" s="423" t="s">
        <v>871</v>
      </c>
      <c r="B361" s="423" t="s">
        <v>857</v>
      </c>
      <c r="C361" s="423" t="s">
        <v>871</v>
      </c>
      <c r="D361" s="691" t="s">
        <v>868</v>
      </c>
      <c r="E361" s="691" t="s">
        <v>872</v>
      </c>
      <c r="F361" s="689" t="s">
        <v>617</v>
      </c>
      <c r="G361" s="433">
        <v>11</v>
      </c>
      <c r="H361" s="433">
        <v>1267</v>
      </c>
      <c r="I361" s="433">
        <v>13937</v>
      </c>
      <c r="J361" s="433">
        <v>27510</v>
      </c>
      <c r="K361" s="433">
        <v>302610</v>
      </c>
      <c r="L361" s="433">
        <v>0</v>
      </c>
      <c r="M361" s="433">
        <v>0</v>
      </c>
      <c r="N361" s="433">
        <v>28777</v>
      </c>
      <c r="O361" s="433">
        <v>316547</v>
      </c>
      <c r="P361" s="683">
        <f>G362-G361</f>
        <v>-11</v>
      </c>
      <c r="Q361" s="683">
        <f>O362-O361</f>
        <v>-316547</v>
      </c>
      <c r="R361" s="689" t="s">
        <v>873</v>
      </c>
      <c r="AF361" s="426">
        <v>302610</v>
      </c>
    </row>
    <row r="362" spans="1:32" ht="23.1" customHeight="1">
      <c r="A362" s="412"/>
      <c r="B362" s="412"/>
      <c r="C362" s="412"/>
      <c r="D362" s="692"/>
      <c r="E362" s="692"/>
      <c r="F362" s="690"/>
      <c r="G362" s="434"/>
      <c r="H362" s="434"/>
      <c r="I362" s="434"/>
      <c r="J362" s="434"/>
      <c r="K362" s="434"/>
      <c r="L362" s="434"/>
      <c r="M362" s="434"/>
      <c r="N362" s="434"/>
      <c r="O362" s="434"/>
      <c r="P362" s="684"/>
      <c r="Q362" s="684"/>
      <c r="R362" s="690"/>
    </row>
    <row r="363" spans="1:32" s="426" customFormat="1" ht="23.1" customHeight="1">
      <c r="A363" s="423" t="s">
        <v>874</v>
      </c>
      <c r="B363" s="423" t="s">
        <v>857</v>
      </c>
      <c r="C363" s="423" t="s">
        <v>874</v>
      </c>
      <c r="D363" s="691" t="s">
        <v>875</v>
      </c>
      <c r="E363" s="691" t="s">
        <v>876</v>
      </c>
      <c r="F363" s="689" t="s">
        <v>617</v>
      </c>
      <c r="G363" s="433">
        <v>12</v>
      </c>
      <c r="H363" s="433">
        <v>1432</v>
      </c>
      <c r="I363" s="433">
        <v>17184</v>
      </c>
      <c r="J363" s="433">
        <v>45850</v>
      </c>
      <c r="K363" s="433">
        <v>550200</v>
      </c>
      <c r="L363" s="433">
        <v>0</v>
      </c>
      <c r="M363" s="433">
        <v>0</v>
      </c>
      <c r="N363" s="433">
        <v>47282</v>
      </c>
      <c r="O363" s="433">
        <v>567384</v>
      </c>
      <c r="P363" s="683">
        <f>G364-G363</f>
        <v>-12</v>
      </c>
      <c r="Q363" s="683">
        <f>O364-O363</f>
        <v>-567384</v>
      </c>
      <c r="R363" s="689" t="s">
        <v>877</v>
      </c>
      <c r="AF363" s="426">
        <v>550200</v>
      </c>
    </row>
    <row r="364" spans="1:32" ht="23.1" customHeight="1">
      <c r="A364" s="412"/>
      <c r="B364" s="412"/>
      <c r="C364" s="412"/>
      <c r="D364" s="692"/>
      <c r="E364" s="692"/>
      <c r="F364" s="690"/>
      <c r="G364" s="434"/>
      <c r="H364" s="434"/>
      <c r="I364" s="434"/>
      <c r="J364" s="434"/>
      <c r="K364" s="434"/>
      <c r="L364" s="434"/>
      <c r="M364" s="434"/>
      <c r="N364" s="434"/>
      <c r="O364" s="434"/>
      <c r="P364" s="684"/>
      <c r="Q364" s="684"/>
      <c r="R364" s="690"/>
    </row>
    <row r="365" spans="1:32" s="426" customFormat="1" ht="23.1" customHeight="1">
      <c r="A365" s="423" t="s">
        <v>878</v>
      </c>
      <c r="B365" s="423" t="s">
        <v>857</v>
      </c>
      <c r="C365" s="423" t="s">
        <v>878</v>
      </c>
      <c r="D365" s="691" t="s">
        <v>875</v>
      </c>
      <c r="E365" s="691" t="s">
        <v>879</v>
      </c>
      <c r="F365" s="689" t="s">
        <v>617</v>
      </c>
      <c r="G365" s="433">
        <v>18</v>
      </c>
      <c r="H365" s="433">
        <v>1452</v>
      </c>
      <c r="I365" s="433">
        <v>26136</v>
      </c>
      <c r="J365" s="433">
        <v>45850</v>
      </c>
      <c r="K365" s="433">
        <v>825300</v>
      </c>
      <c r="L365" s="433">
        <v>0</v>
      </c>
      <c r="M365" s="433">
        <v>0</v>
      </c>
      <c r="N365" s="433">
        <v>47302</v>
      </c>
      <c r="O365" s="433">
        <v>851436</v>
      </c>
      <c r="P365" s="683">
        <f>G366-G365</f>
        <v>-18</v>
      </c>
      <c r="Q365" s="683">
        <f>O366-O365</f>
        <v>-851436</v>
      </c>
      <c r="R365" s="689" t="s">
        <v>880</v>
      </c>
      <c r="AF365" s="426">
        <v>825300</v>
      </c>
    </row>
    <row r="366" spans="1:32" ht="23.1" customHeight="1">
      <c r="A366" s="412"/>
      <c r="B366" s="412"/>
      <c r="C366" s="412"/>
      <c r="D366" s="692"/>
      <c r="E366" s="692"/>
      <c r="F366" s="690"/>
      <c r="G366" s="434"/>
      <c r="H366" s="434"/>
      <c r="I366" s="434"/>
      <c r="J366" s="434"/>
      <c r="K366" s="434"/>
      <c r="L366" s="434"/>
      <c r="M366" s="434"/>
      <c r="N366" s="434"/>
      <c r="O366" s="434"/>
      <c r="P366" s="684"/>
      <c r="Q366" s="684"/>
      <c r="R366" s="690"/>
    </row>
    <row r="367" spans="1:32" s="426" customFormat="1" ht="23.1" customHeight="1">
      <c r="A367" s="423" t="s">
        <v>881</v>
      </c>
      <c r="B367" s="423" t="s">
        <v>857</v>
      </c>
      <c r="C367" s="423" t="s">
        <v>881</v>
      </c>
      <c r="D367" s="691" t="s">
        <v>882</v>
      </c>
      <c r="E367" s="691" t="s">
        <v>883</v>
      </c>
      <c r="F367" s="689" t="s">
        <v>617</v>
      </c>
      <c r="G367" s="433">
        <v>45</v>
      </c>
      <c r="H367" s="433">
        <v>249</v>
      </c>
      <c r="I367" s="433">
        <v>11205</v>
      </c>
      <c r="J367" s="433">
        <v>0</v>
      </c>
      <c r="K367" s="433">
        <v>0</v>
      </c>
      <c r="L367" s="433">
        <v>0</v>
      </c>
      <c r="M367" s="433">
        <v>0</v>
      </c>
      <c r="N367" s="433">
        <v>249</v>
      </c>
      <c r="O367" s="433">
        <v>11205</v>
      </c>
      <c r="P367" s="683">
        <f>G368-G367</f>
        <v>-45</v>
      </c>
      <c r="Q367" s="683">
        <f>O368-O367</f>
        <v>-11205</v>
      </c>
      <c r="R367" s="689" t="s">
        <v>884</v>
      </c>
    </row>
    <row r="368" spans="1:32" ht="23.1" customHeight="1">
      <c r="A368" s="412"/>
      <c r="B368" s="412"/>
      <c r="C368" s="412"/>
      <c r="D368" s="692"/>
      <c r="E368" s="692"/>
      <c r="F368" s="690"/>
      <c r="G368" s="434"/>
      <c r="H368" s="434"/>
      <c r="I368" s="434"/>
      <c r="J368" s="434"/>
      <c r="K368" s="434"/>
      <c r="L368" s="434"/>
      <c r="M368" s="434"/>
      <c r="N368" s="434"/>
      <c r="O368" s="434"/>
      <c r="P368" s="684"/>
      <c r="Q368" s="684"/>
      <c r="R368" s="690"/>
    </row>
    <row r="369" spans="1:32" s="426" customFormat="1" ht="23.1" customHeight="1">
      <c r="A369" s="423" t="s">
        <v>885</v>
      </c>
      <c r="B369" s="423" t="s">
        <v>857</v>
      </c>
      <c r="C369" s="423" t="s">
        <v>885</v>
      </c>
      <c r="D369" s="691" t="s">
        <v>882</v>
      </c>
      <c r="E369" s="691" t="s">
        <v>886</v>
      </c>
      <c r="F369" s="689" t="s">
        <v>617</v>
      </c>
      <c r="G369" s="433">
        <v>11</v>
      </c>
      <c r="H369" s="433">
        <v>253</v>
      </c>
      <c r="I369" s="433">
        <v>2783</v>
      </c>
      <c r="J369" s="433">
        <v>0</v>
      </c>
      <c r="K369" s="433">
        <v>0</v>
      </c>
      <c r="L369" s="433">
        <v>0</v>
      </c>
      <c r="M369" s="433">
        <v>0</v>
      </c>
      <c r="N369" s="433">
        <v>253</v>
      </c>
      <c r="O369" s="433">
        <v>2783</v>
      </c>
      <c r="P369" s="683">
        <f>G370-G369</f>
        <v>-11</v>
      </c>
      <c r="Q369" s="683">
        <f>O370-O369</f>
        <v>-2783</v>
      </c>
      <c r="R369" s="689" t="s">
        <v>887</v>
      </c>
    </row>
    <row r="370" spans="1:32" ht="23.1" customHeight="1">
      <c r="A370" s="412"/>
      <c r="B370" s="412"/>
      <c r="C370" s="412"/>
      <c r="D370" s="692"/>
      <c r="E370" s="692"/>
      <c r="F370" s="690"/>
      <c r="G370" s="434"/>
      <c r="H370" s="434"/>
      <c r="I370" s="434"/>
      <c r="J370" s="434"/>
      <c r="K370" s="434"/>
      <c r="L370" s="434"/>
      <c r="M370" s="434"/>
      <c r="N370" s="434"/>
      <c r="O370" s="434"/>
      <c r="P370" s="684"/>
      <c r="Q370" s="684"/>
      <c r="R370" s="690"/>
    </row>
    <row r="371" spans="1:32" s="426" customFormat="1" ht="23.1" customHeight="1">
      <c r="A371" s="423" t="s">
        <v>888</v>
      </c>
      <c r="B371" s="423" t="s">
        <v>857</v>
      </c>
      <c r="C371" s="423" t="s">
        <v>888</v>
      </c>
      <c r="D371" s="691" t="s">
        <v>882</v>
      </c>
      <c r="E371" s="691" t="s">
        <v>889</v>
      </c>
      <c r="F371" s="689" t="s">
        <v>617</v>
      </c>
      <c r="G371" s="433">
        <v>18</v>
      </c>
      <c r="H371" s="433">
        <v>250</v>
      </c>
      <c r="I371" s="433">
        <v>4500</v>
      </c>
      <c r="J371" s="433">
        <v>0</v>
      </c>
      <c r="K371" s="433">
        <v>0</v>
      </c>
      <c r="L371" s="433">
        <v>0</v>
      </c>
      <c r="M371" s="433">
        <v>0</v>
      </c>
      <c r="N371" s="433">
        <v>250</v>
      </c>
      <c r="O371" s="433">
        <v>4500</v>
      </c>
      <c r="P371" s="683">
        <f>G372-G371</f>
        <v>-18</v>
      </c>
      <c r="Q371" s="683">
        <f>O372-O371</f>
        <v>-4500</v>
      </c>
      <c r="R371" s="689" t="s">
        <v>890</v>
      </c>
    </row>
    <row r="372" spans="1:32" ht="23.1" customHeight="1">
      <c r="A372" s="412"/>
      <c r="B372" s="412"/>
      <c r="C372" s="412"/>
      <c r="D372" s="692"/>
      <c r="E372" s="692"/>
      <c r="F372" s="690"/>
      <c r="G372" s="434"/>
      <c r="H372" s="434"/>
      <c r="I372" s="434"/>
      <c r="J372" s="434"/>
      <c r="K372" s="434"/>
      <c r="L372" s="434"/>
      <c r="M372" s="434"/>
      <c r="N372" s="434"/>
      <c r="O372" s="434"/>
      <c r="P372" s="684"/>
      <c r="Q372" s="684"/>
      <c r="R372" s="690"/>
    </row>
    <row r="373" spans="1:32" s="426" customFormat="1" ht="23.1" customHeight="1">
      <c r="A373" s="423" t="s">
        <v>842</v>
      </c>
      <c r="B373" s="423" t="s">
        <v>857</v>
      </c>
      <c r="C373" s="423" t="s">
        <v>842</v>
      </c>
      <c r="D373" s="691" t="s">
        <v>843</v>
      </c>
      <c r="E373" s="691" t="s">
        <v>844</v>
      </c>
      <c r="F373" s="689" t="s">
        <v>679</v>
      </c>
      <c r="G373" s="433">
        <v>26</v>
      </c>
      <c r="H373" s="433">
        <v>2003</v>
      </c>
      <c r="I373" s="433">
        <v>52078</v>
      </c>
      <c r="J373" s="433">
        <v>9169</v>
      </c>
      <c r="K373" s="433">
        <v>238394</v>
      </c>
      <c r="L373" s="433">
        <v>0</v>
      </c>
      <c r="M373" s="433">
        <v>0</v>
      </c>
      <c r="N373" s="433">
        <v>11172</v>
      </c>
      <c r="O373" s="433">
        <v>290472</v>
      </c>
      <c r="P373" s="683">
        <f>G374-G373</f>
        <v>-26</v>
      </c>
      <c r="Q373" s="683">
        <f>O374-O373</f>
        <v>-290472</v>
      </c>
      <c r="R373" s="689" t="s">
        <v>845</v>
      </c>
      <c r="AF373" s="426">
        <v>238420</v>
      </c>
    </row>
    <row r="374" spans="1:32" ht="23.1" customHeight="1">
      <c r="A374" s="412"/>
      <c r="B374" s="412"/>
      <c r="C374" s="412"/>
      <c r="D374" s="692"/>
      <c r="E374" s="692"/>
      <c r="F374" s="690"/>
      <c r="G374" s="434"/>
      <c r="H374" s="434"/>
      <c r="I374" s="434"/>
      <c r="J374" s="434"/>
      <c r="K374" s="434"/>
      <c r="L374" s="434"/>
      <c r="M374" s="434"/>
      <c r="N374" s="434"/>
      <c r="O374" s="434"/>
      <c r="P374" s="684"/>
      <c r="Q374" s="684"/>
      <c r="R374" s="690"/>
    </row>
    <row r="375" spans="1:32" s="426" customFormat="1" ht="23.1" customHeight="1">
      <c r="A375" s="423" t="s">
        <v>891</v>
      </c>
      <c r="B375" s="423" t="s">
        <v>857</v>
      </c>
      <c r="C375" s="423" t="s">
        <v>891</v>
      </c>
      <c r="D375" s="691" t="s">
        <v>848</v>
      </c>
      <c r="E375" s="691" t="s">
        <v>892</v>
      </c>
      <c r="F375" s="689" t="s">
        <v>592</v>
      </c>
      <c r="G375" s="433">
        <v>1943</v>
      </c>
      <c r="H375" s="433">
        <v>455</v>
      </c>
      <c r="I375" s="433">
        <v>884065</v>
      </c>
      <c r="J375" s="433">
        <v>2292</v>
      </c>
      <c r="K375" s="433">
        <v>4453356</v>
      </c>
      <c r="L375" s="433">
        <v>0</v>
      </c>
      <c r="M375" s="433">
        <v>0</v>
      </c>
      <c r="N375" s="433">
        <v>2747</v>
      </c>
      <c r="O375" s="433">
        <v>5337421</v>
      </c>
      <c r="P375" s="683">
        <f>G376-G375</f>
        <v>-1943</v>
      </c>
      <c r="Q375" s="683">
        <f>O376-O375</f>
        <v>-5337421</v>
      </c>
      <c r="R375" s="689" t="s">
        <v>893</v>
      </c>
      <c r="AD375" s="426">
        <v>884065</v>
      </c>
      <c r="AF375" s="426">
        <v>4453356</v>
      </c>
    </row>
    <row r="376" spans="1:32" ht="23.1" customHeight="1">
      <c r="A376" s="412"/>
      <c r="B376" s="412"/>
      <c r="C376" s="412"/>
      <c r="D376" s="692"/>
      <c r="E376" s="692"/>
      <c r="F376" s="690"/>
      <c r="G376" s="434"/>
      <c r="H376" s="434"/>
      <c r="I376" s="434"/>
      <c r="J376" s="434"/>
      <c r="K376" s="434"/>
      <c r="L376" s="434"/>
      <c r="M376" s="434"/>
      <c r="N376" s="434"/>
      <c r="O376" s="434"/>
      <c r="P376" s="684"/>
      <c r="Q376" s="684"/>
      <c r="R376" s="690"/>
    </row>
    <row r="377" spans="1:32" s="426" customFormat="1" ht="23.1" customHeight="1">
      <c r="A377" s="423" t="s">
        <v>894</v>
      </c>
      <c r="B377" s="423" t="s">
        <v>857</v>
      </c>
      <c r="C377" s="423" t="s">
        <v>894</v>
      </c>
      <c r="D377" s="691" t="s">
        <v>895</v>
      </c>
      <c r="E377" s="691" t="s">
        <v>896</v>
      </c>
      <c r="F377" s="689" t="s">
        <v>617</v>
      </c>
      <c r="G377" s="433">
        <v>4</v>
      </c>
      <c r="H377" s="433">
        <v>1868</v>
      </c>
      <c r="I377" s="433">
        <v>7472</v>
      </c>
      <c r="J377" s="433">
        <v>19485</v>
      </c>
      <c r="K377" s="433">
        <v>77940</v>
      </c>
      <c r="L377" s="433">
        <v>0</v>
      </c>
      <c r="M377" s="433">
        <v>0</v>
      </c>
      <c r="N377" s="433">
        <v>21353</v>
      </c>
      <c r="O377" s="433">
        <v>85412</v>
      </c>
      <c r="P377" s="683">
        <f>G378-G377</f>
        <v>-4</v>
      </c>
      <c r="Q377" s="683">
        <f>O378-O377</f>
        <v>-85412</v>
      </c>
      <c r="R377" s="689" t="s">
        <v>897</v>
      </c>
      <c r="AF377" s="426">
        <v>77944</v>
      </c>
    </row>
    <row r="378" spans="1:32" ht="23.1" customHeight="1">
      <c r="A378" s="412"/>
      <c r="B378" s="412"/>
      <c r="C378" s="412"/>
      <c r="D378" s="692"/>
      <c r="E378" s="692"/>
      <c r="F378" s="690"/>
      <c r="G378" s="434"/>
      <c r="H378" s="434"/>
      <c r="I378" s="434"/>
      <c r="J378" s="434"/>
      <c r="K378" s="434"/>
      <c r="L378" s="434"/>
      <c r="M378" s="434"/>
      <c r="N378" s="434"/>
      <c r="O378" s="434"/>
      <c r="P378" s="684"/>
      <c r="Q378" s="684"/>
      <c r="R378" s="690"/>
    </row>
    <row r="379" spans="1:32" s="426" customFormat="1" ht="23.1" customHeight="1">
      <c r="A379" s="423" t="s">
        <v>898</v>
      </c>
      <c r="B379" s="423" t="s">
        <v>857</v>
      </c>
      <c r="C379" s="423" t="s">
        <v>898</v>
      </c>
      <c r="D379" s="691" t="s">
        <v>895</v>
      </c>
      <c r="E379" s="691" t="s">
        <v>899</v>
      </c>
      <c r="F379" s="689" t="s">
        <v>617</v>
      </c>
      <c r="G379" s="433">
        <v>6</v>
      </c>
      <c r="H379" s="433">
        <v>2585</v>
      </c>
      <c r="I379" s="433">
        <v>15510</v>
      </c>
      <c r="J379" s="433">
        <v>19485</v>
      </c>
      <c r="K379" s="433">
        <v>116910</v>
      </c>
      <c r="L379" s="433">
        <v>0</v>
      </c>
      <c r="M379" s="433">
        <v>0</v>
      </c>
      <c r="N379" s="433">
        <v>22070</v>
      </c>
      <c r="O379" s="433">
        <v>132420</v>
      </c>
      <c r="P379" s="683">
        <f>G380-G379</f>
        <v>-6</v>
      </c>
      <c r="Q379" s="683">
        <f>O380-O379</f>
        <v>-132420</v>
      </c>
      <c r="R379" s="689" t="s">
        <v>900</v>
      </c>
      <c r="AF379" s="426">
        <v>116916</v>
      </c>
    </row>
    <row r="380" spans="1:32" ht="23.1" customHeight="1">
      <c r="A380" s="412"/>
      <c r="B380" s="412"/>
      <c r="C380" s="412"/>
      <c r="D380" s="692"/>
      <c r="E380" s="692"/>
      <c r="F380" s="690"/>
      <c r="G380" s="434"/>
      <c r="H380" s="434"/>
      <c r="I380" s="434"/>
      <c r="J380" s="434"/>
      <c r="K380" s="434"/>
      <c r="L380" s="434"/>
      <c r="M380" s="434"/>
      <c r="N380" s="434"/>
      <c r="O380" s="434"/>
      <c r="P380" s="684"/>
      <c r="Q380" s="684"/>
      <c r="R380" s="690"/>
    </row>
    <row r="381" spans="1:32" s="426" customFormat="1" ht="23.1" customHeight="1">
      <c r="A381" s="423" t="s">
        <v>901</v>
      </c>
      <c r="B381" s="423" t="s">
        <v>857</v>
      </c>
      <c r="C381" s="423" t="s">
        <v>901</v>
      </c>
      <c r="D381" s="691" t="s">
        <v>895</v>
      </c>
      <c r="E381" s="691" t="s">
        <v>902</v>
      </c>
      <c r="F381" s="689" t="s">
        <v>617</v>
      </c>
      <c r="G381" s="433">
        <v>2</v>
      </c>
      <c r="H381" s="433">
        <v>3222</v>
      </c>
      <c r="I381" s="433">
        <v>6444</v>
      </c>
      <c r="J381" s="433">
        <v>19485</v>
      </c>
      <c r="K381" s="433">
        <v>38970</v>
      </c>
      <c r="L381" s="433">
        <v>0</v>
      </c>
      <c r="M381" s="433">
        <v>0</v>
      </c>
      <c r="N381" s="433">
        <v>22707</v>
      </c>
      <c r="O381" s="433">
        <v>45414</v>
      </c>
      <c r="P381" s="683">
        <f>G382-G381</f>
        <v>-2</v>
      </c>
      <c r="Q381" s="683">
        <f>O382-O381</f>
        <v>-45414</v>
      </c>
      <c r="R381" s="689" t="s">
        <v>903</v>
      </c>
      <c r="AF381" s="426">
        <v>38972</v>
      </c>
    </row>
    <row r="382" spans="1:32" ht="23.1" customHeight="1">
      <c r="A382" s="412"/>
      <c r="B382" s="412"/>
      <c r="C382" s="412"/>
      <c r="D382" s="692"/>
      <c r="E382" s="692"/>
      <c r="F382" s="690"/>
      <c r="G382" s="434"/>
      <c r="H382" s="434"/>
      <c r="I382" s="434"/>
      <c r="J382" s="434"/>
      <c r="K382" s="434"/>
      <c r="L382" s="434"/>
      <c r="M382" s="434"/>
      <c r="N382" s="434"/>
      <c r="O382" s="434"/>
      <c r="P382" s="684"/>
      <c r="Q382" s="684"/>
      <c r="R382" s="690"/>
    </row>
    <row r="383" spans="1:32" s="426" customFormat="1" ht="23.1" customHeight="1">
      <c r="A383" s="423" t="s">
        <v>904</v>
      </c>
      <c r="B383" s="423" t="s">
        <v>857</v>
      </c>
      <c r="C383" s="423" t="s">
        <v>904</v>
      </c>
      <c r="D383" s="691" t="s">
        <v>905</v>
      </c>
      <c r="E383" s="691" t="s">
        <v>906</v>
      </c>
      <c r="F383" s="689" t="s">
        <v>659</v>
      </c>
      <c r="G383" s="433">
        <v>16</v>
      </c>
      <c r="H383" s="433">
        <v>457</v>
      </c>
      <c r="I383" s="433">
        <v>7312</v>
      </c>
      <c r="J383" s="433">
        <v>22924</v>
      </c>
      <c r="K383" s="433">
        <v>366784</v>
      </c>
      <c r="L383" s="433">
        <v>0</v>
      </c>
      <c r="M383" s="433">
        <v>0</v>
      </c>
      <c r="N383" s="433">
        <v>23381</v>
      </c>
      <c r="O383" s="433">
        <v>374096</v>
      </c>
      <c r="P383" s="683">
        <f>G384-G383</f>
        <v>-16</v>
      </c>
      <c r="Q383" s="683">
        <f>O384-O383</f>
        <v>-374096</v>
      </c>
      <c r="R383" s="689" t="s">
        <v>907</v>
      </c>
      <c r="AF383" s="426">
        <v>366800</v>
      </c>
    </row>
    <row r="384" spans="1:32" ht="23.1" customHeight="1">
      <c r="A384" s="412"/>
      <c r="B384" s="412"/>
      <c r="C384" s="412"/>
      <c r="D384" s="692"/>
      <c r="E384" s="692"/>
      <c r="F384" s="690"/>
      <c r="G384" s="434"/>
      <c r="H384" s="434"/>
      <c r="I384" s="434"/>
      <c r="J384" s="434"/>
      <c r="K384" s="434"/>
      <c r="L384" s="434"/>
      <c r="M384" s="434"/>
      <c r="N384" s="434"/>
      <c r="O384" s="434"/>
      <c r="P384" s="684"/>
      <c r="Q384" s="684"/>
      <c r="R384" s="690"/>
    </row>
    <row r="385" spans="1:32" s="426" customFormat="1" ht="23.1" customHeight="1">
      <c r="A385" s="423" t="s">
        <v>666</v>
      </c>
      <c r="B385" s="423" t="s">
        <v>857</v>
      </c>
      <c r="C385" s="423" t="s">
        <v>666</v>
      </c>
      <c r="D385" s="691" t="s">
        <v>667</v>
      </c>
      <c r="E385" s="691" t="s">
        <v>668</v>
      </c>
      <c r="F385" s="689" t="s">
        <v>659</v>
      </c>
      <c r="G385" s="433">
        <v>8</v>
      </c>
      <c r="H385" s="433">
        <v>90884</v>
      </c>
      <c r="I385" s="433">
        <v>727072</v>
      </c>
      <c r="J385" s="433">
        <v>33485</v>
      </c>
      <c r="K385" s="433">
        <v>267880</v>
      </c>
      <c r="L385" s="433">
        <v>4817</v>
      </c>
      <c r="M385" s="433">
        <v>38536</v>
      </c>
      <c r="N385" s="433">
        <v>129186</v>
      </c>
      <c r="O385" s="433">
        <v>1033488</v>
      </c>
      <c r="P385" s="683">
        <f>G386-G385</f>
        <v>-8</v>
      </c>
      <c r="Q385" s="683">
        <f>O386-O385</f>
        <v>-1033488</v>
      </c>
      <c r="R385" s="689" t="s">
        <v>669</v>
      </c>
      <c r="AF385" s="426">
        <v>267880</v>
      </c>
    </row>
    <row r="386" spans="1:32" ht="23.1" customHeight="1">
      <c r="A386" s="412"/>
      <c r="B386" s="412"/>
      <c r="C386" s="412"/>
      <c r="D386" s="692"/>
      <c r="E386" s="692"/>
      <c r="F386" s="690"/>
      <c r="G386" s="434"/>
      <c r="H386" s="434"/>
      <c r="I386" s="434"/>
      <c r="J386" s="434"/>
      <c r="K386" s="434"/>
      <c r="L386" s="434"/>
      <c r="M386" s="434"/>
      <c r="N386" s="434"/>
      <c r="O386" s="434"/>
      <c r="P386" s="684"/>
      <c r="Q386" s="684"/>
      <c r="R386" s="690"/>
    </row>
    <row r="387" spans="1:32" s="426" customFormat="1" ht="23.1" customHeight="1">
      <c r="A387" s="423" t="s">
        <v>908</v>
      </c>
      <c r="B387" s="423" t="s">
        <v>857</v>
      </c>
      <c r="C387" s="423" t="s">
        <v>908</v>
      </c>
      <c r="D387" s="691" t="s">
        <v>909</v>
      </c>
      <c r="E387" s="691" t="s">
        <v>910</v>
      </c>
      <c r="F387" s="689" t="s">
        <v>684</v>
      </c>
      <c r="G387" s="433">
        <v>6</v>
      </c>
      <c r="H387" s="433">
        <v>1084</v>
      </c>
      <c r="I387" s="433">
        <v>6504</v>
      </c>
      <c r="J387" s="433">
        <v>54263</v>
      </c>
      <c r="K387" s="433">
        <v>325578</v>
      </c>
      <c r="L387" s="433">
        <v>0</v>
      </c>
      <c r="M387" s="433">
        <v>0</v>
      </c>
      <c r="N387" s="433">
        <v>55347</v>
      </c>
      <c r="O387" s="433">
        <v>332082</v>
      </c>
      <c r="P387" s="683">
        <f>G388-G387</f>
        <v>-6</v>
      </c>
      <c r="Q387" s="683">
        <f>O388-O387</f>
        <v>-332082</v>
      </c>
      <c r="R387" s="689" t="s">
        <v>911</v>
      </c>
      <c r="AF387" s="426">
        <v>325584</v>
      </c>
    </row>
    <row r="388" spans="1:32" ht="23.1" customHeight="1">
      <c r="A388" s="412"/>
      <c r="B388" s="412"/>
      <c r="C388" s="412"/>
      <c r="D388" s="692"/>
      <c r="E388" s="692"/>
      <c r="F388" s="690"/>
      <c r="G388" s="434"/>
      <c r="H388" s="434"/>
      <c r="I388" s="434"/>
      <c r="J388" s="434"/>
      <c r="K388" s="434"/>
      <c r="L388" s="434"/>
      <c r="M388" s="434"/>
      <c r="N388" s="434"/>
      <c r="O388" s="434"/>
      <c r="P388" s="684"/>
      <c r="Q388" s="684"/>
      <c r="R388" s="690"/>
    </row>
    <row r="389" spans="1:32" s="426" customFormat="1" ht="23.1" customHeight="1">
      <c r="A389" s="423" t="s">
        <v>912</v>
      </c>
      <c r="B389" s="423" t="s">
        <v>857</v>
      </c>
      <c r="C389" s="423" t="s">
        <v>912</v>
      </c>
      <c r="D389" s="691" t="s">
        <v>913</v>
      </c>
      <c r="E389" s="691" t="s">
        <v>914</v>
      </c>
      <c r="F389" s="689" t="s">
        <v>684</v>
      </c>
      <c r="G389" s="433">
        <v>4</v>
      </c>
      <c r="H389" s="433">
        <v>911</v>
      </c>
      <c r="I389" s="433">
        <v>3644</v>
      </c>
      <c r="J389" s="433">
        <v>45597</v>
      </c>
      <c r="K389" s="433">
        <v>182388</v>
      </c>
      <c r="L389" s="433">
        <v>0</v>
      </c>
      <c r="M389" s="433">
        <v>0</v>
      </c>
      <c r="N389" s="433">
        <v>46508</v>
      </c>
      <c r="O389" s="433">
        <v>186032</v>
      </c>
      <c r="P389" s="683">
        <f>G390-G389</f>
        <v>-4</v>
      </c>
      <c r="Q389" s="683">
        <f>O390-O389</f>
        <v>-186032</v>
      </c>
      <c r="R389" s="689" t="s">
        <v>915</v>
      </c>
      <c r="AF389" s="426">
        <v>182392</v>
      </c>
    </row>
    <row r="390" spans="1:32" ht="23.1" customHeight="1">
      <c r="A390" s="412"/>
      <c r="B390" s="412"/>
      <c r="C390" s="412"/>
      <c r="D390" s="692"/>
      <c r="E390" s="692"/>
      <c r="F390" s="690"/>
      <c r="G390" s="434"/>
      <c r="H390" s="434"/>
      <c r="I390" s="434"/>
      <c r="J390" s="434"/>
      <c r="K390" s="434"/>
      <c r="L390" s="434"/>
      <c r="M390" s="434"/>
      <c r="N390" s="434"/>
      <c r="O390" s="434"/>
      <c r="P390" s="684"/>
      <c r="Q390" s="684"/>
      <c r="R390" s="690"/>
    </row>
    <row r="391" spans="1:32" s="426" customFormat="1" ht="23.1" customHeight="1">
      <c r="A391" s="423" t="s">
        <v>916</v>
      </c>
      <c r="B391" s="423" t="s">
        <v>857</v>
      </c>
      <c r="C391" s="423" t="s">
        <v>916</v>
      </c>
      <c r="D391" s="691" t="s">
        <v>917</v>
      </c>
      <c r="E391" s="691" t="s">
        <v>918</v>
      </c>
      <c r="F391" s="689" t="s">
        <v>684</v>
      </c>
      <c r="G391" s="433">
        <v>24</v>
      </c>
      <c r="H391" s="433">
        <v>1232</v>
      </c>
      <c r="I391" s="433">
        <v>29568</v>
      </c>
      <c r="J391" s="433">
        <v>61668</v>
      </c>
      <c r="K391" s="433">
        <v>1480032</v>
      </c>
      <c r="L391" s="433">
        <v>0</v>
      </c>
      <c r="M391" s="433">
        <v>0</v>
      </c>
      <c r="N391" s="433">
        <v>62900</v>
      </c>
      <c r="O391" s="433">
        <v>1509600</v>
      </c>
      <c r="P391" s="683">
        <f>G392-G391</f>
        <v>-24</v>
      </c>
      <c r="Q391" s="683">
        <f>O392-O391</f>
        <v>-1509600</v>
      </c>
      <c r="R391" s="689" t="s">
        <v>919</v>
      </c>
      <c r="AF391" s="426">
        <v>1480056</v>
      </c>
    </row>
    <row r="392" spans="1:32" ht="23.1" customHeight="1">
      <c r="A392" s="412"/>
      <c r="B392" s="412"/>
      <c r="C392" s="412"/>
      <c r="D392" s="692"/>
      <c r="E392" s="692"/>
      <c r="F392" s="690"/>
      <c r="G392" s="434"/>
      <c r="H392" s="434"/>
      <c r="I392" s="434"/>
      <c r="J392" s="434"/>
      <c r="K392" s="434"/>
      <c r="L392" s="434"/>
      <c r="M392" s="434"/>
      <c r="N392" s="434"/>
      <c r="O392" s="434"/>
      <c r="P392" s="684"/>
      <c r="Q392" s="684"/>
      <c r="R392" s="690"/>
    </row>
    <row r="393" spans="1:32" s="426" customFormat="1" ht="23.1" customHeight="1">
      <c r="A393" s="423" t="s">
        <v>920</v>
      </c>
      <c r="B393" s="423" t="s">
        <v>857</v>
      </c>
      <c r="C393" s="423" t="s">
        <v>920</v>
      </c>
      <c r="D393" s="691" t="s">
        <v>921</v>
      </c>
      <c r="E393" s="691" t="s">
        <v>922</v>
      </c>
      <c r="F393" s="689" t="s">
        <v>684</v>
      </c>
      <c r="G393" s="433">
        <v>18</v>
      </c>
      <c r="H393" s="433">
        <v>687</v>
      </c>
      <c r="I393" s="433">
        <v>12366</v>
      </c>
      <c r="J393" s="433">
        <v>34387</v>
      </c>
      <c r="K393" s="433">
        <v>618966</v>
      </c>
      <c r="L393" s="433">
        <v>0</v>
      </c>
      <c r="M393" s="433">
        <v>0</v>
      </c>
      <c r="N393" s="433">
        <v>35074</v>
      </c>
      <c r="O393" s="433">
        <v>631332</v>
      </c>
      <c r="P393" s="683">
        <f>G394-G393</f>
        <v>-18</v>
      </c>
      <c r="Q393" s="683">
        <f>O394-O393</f>
        <v>-631332</v>
      </c>
      <c r="R393" s="689" t="s">
        <v>923</v>
      </c>
      <c r="AF393" s="426">
        <v>618966</v>
      </c>
    </row>
    <row r="394" spans="1:32" ht="23.1" customHeight="1">
      <c r="A394" s="412"/>
      <c r="B394" s="412"/>
      <c r="C394" s="412"/>
      <c r="D394" s="692"/>
      <c r="E394" s="692"/>
      <c r="F394" s="690"/>
      <c r="G394" s="434"/>
      <c r="H394" s="434"/>
      <c r="I394" s="434"/>
      <c r="J394" s="434"/>
      <c r="K394" s="434"/>
      <c r="L394" s="434"/>
      <c r="M394" s="434"/>
      <c r="N394" s="434"/>
      <c r="O394" s="434"/>
      <c r="P394" s="684"/>
      <c r="Q394" s="684"/>
      <c r="R394" s="690"/>
    </row>
    <row r="395" spans="1:32" s="426" customFormat="1" ht="23.1" customHeight="1">
      <c r="A395" s="423" t="s">
        <v>924</v>
      </c>
      <c r="B395" s="423" t="s">
        <v>857</v>
      </c>
      <c r="C395" s="423" t="s">
        <v>924</v>
      </c>
      <c r="D395" s="691" t="s">
        <v>925</v>
      </c>
      <c r="E395" s="691" t="s">
        <v>926</v>
      </c>
      <c r="F395" s="689" t="s">
        <v>684</v>
      </c>
      <c r="G395" s="433">
        <v>16</v>
      </c>
      <c r="H395" s="433">
        <v>639</v>
      </c>
      <c r="I395" s="433">
        <v>10224</v>
      </c>
      <c r="J395" s="433">
        <v>31979</v>
      </c>
      <c r="K395" s="433">
        <v>511664</v>
      </c>
      <c r="L395" s="433">
        <v>0</v>
      </c>
      <c r="M395" s="433">
        <v>0</v>
      </c>
      <c r="N395" s="433">
        <v>32618</v>
      </c>
      <c r="O395" s="433">
        <v>521888</v>
      </c>
      <c r="P395" s="683">
        <f>G396-G395</f>
        <v>-16</v>
      </c>
      <c r="Q395" s="683">
        <f>O396-O395</f>
        <v>-521888</v>
      </c>
      <c r="R395" s="689" t="s">
        <v>927</v>
      </c>
      <c r="AF395" s="426">
        <v>511680</v>
      </c>
    </row>
    <row r="396" spans="1:32" ht="23.1" customHeight="1">
      <c r="A396" s="412"/>
      <c r="B396" s="412"/>
      <c r="C396" s="412"/>
      <c r="D396" s="692"/>
      <c r="E396" s="692"/>
      <c r="F396" s="690"/>
      <c r="G396" s="434"/>
      <c r="H396" s="434"/>
      <c r="I396" s="434"/>
      <c r="J396" s="434"/>
      <c r="K396" s="434"/>
      <c r="L396" s="434"/>
      <c r="M396" s="434"/>
      <c r="N396" s="434"/>
      <c r="O396" s="434"/>
      <c r="P396" s="684"/>
      <c r="Q396" s="684"/>
      <c r="R396" s="690"/>
    </row>
    <row r="397" spans="1:32" s="426" customFormat="1" ht="23.1" customHeight="1">
      <c r="A397" s="423" t="s">
        <v>928</v>
      </c>
      <c r="B397" s="423" t="s">
        <v>857</v>
      </c>
      <c r="C397" s="423" t="s">
        <v>928</v>
      </c>
      <c r="D397" s="691" t="s">
        <v>929</v>
      </c>
      <c r="E397" s="691" t="s">
        <v>930</v>
      </c>
      <c r="F397" s="689" t="s">
        <v>684</v>
      </c>
      <c r="G397" s="433">
        <v>6</v>
      </c>
      <c r="H397" s="433">
        <v>482</v>
      </c>
      <c r="I397" s="433">
        <v>2892</v>
      </c>
      <c r="J397" s="433">
        <v>24139</v>
      </c>
      <c r="K397" s="433">
        <v>144834</v>
      </c>
      <c r="L397" s="433">
        <v>0</v>
      </c>
      <c r="M397" s="433">
        <v>0</v>
      </c>
      <c r="N397" s="433">
        <v>24621</v>
      </c>
      <c r="O397" s="433">
        <v>147726</v>
      </c>
      <c r="P397" s="683">
        <f>G398-G397</f>
        <v>-6</v>
      </c>
      <c r="Q397" s="683">
        <f>O398-O397</f>
        <v>-147726</v>
      </c>
      <c r="R397" s="689" t="s">
        <v>931</v>
      </c>
      <c r="AF397" s="426">
        <v>144840</v>
      </c>
    </row>
    <row r="398" spans="1:32" ht="23.1" customHeight="1">
      <c r="A398" s="412"/>
      <c r="B398" s="412"/>
      <c r="C398" s="412"/>
      <c r="D398" s="692"/>
      <c r="E398" s="692"/>
      <c r="F398" s="690"/>
      <c r="G398" s="434"/>
      <c r="H398" s="434"/>
      <c r="I398" s="434"/>
      <c r="J398" s="434"/>
      <c r="K398" s="434"/>
      <c r="L398" s="434"/>
      <c r="M398" s="434"/>
      <c r="N398" s="434"/>
      <c r="O398" s="434"/>
      <c r="P398" s="684"/>
      <c r="Q398" s="684"/>
      <c r="R398" s="690"/>
    </row>
    <row r="399" spans="1:32" s="426" customFormat="1" ht="23.1" customHeight="1">
      <c r="A399" s="423" t="s">
        <v>686</v>
      </c>
      <c r="B399" s="423" t="s">
        <v>857</v>
      </c>
      <c r="C399" s="423" t="s">
        <v>686</v>
      </c>
      <c r="D399" s="691" t="s">
        <v>687</v>
      </c>
      <c r="E399" s="691" t="s">
        <v>688</v>
      </c>
      <c r="F399" s="689" t="s">
        <v>684</v>
      </c>
      <c r="G399" s="433">
        <v>8</v>
      </c>
      <c r="H399" s="433">
        <v>723</v>
      </c>
      <c r="I399" s="433">
        <v>5784</v>
      </c>
      <c r="J399" s="433">
        <v>36209</v>
      </c>
      <c r="K399" s="433">
        <v>289672</v>
      </c>
      <c r="L399" s="433">
        <v>0</v>
      </c>
      <c r="M399" s="433">
        <v>0</v>
      </c>
      <c r="N399" s="433">
        <v>36932</v>
      </c>
      <c r="O399" s="433">
        <v>295456</v>
      </c>
      <c r="P399" s="683">
        <f>G400-G399</f>
        <v>-8</v>
      </c>
      <c r="Q399" s="683">
        <f>O400-O399</f>
        <v>-295456</v>
      </c>
      <c r="R399" s="689" t="s">
        <v>689</v>
      </c>
      <c r="AF399" s="426">
        <v>289680</v>
      </c>
    </row>
    <row r="400" spans="1:32" ht="23.1" customHeight="1">
      <c r="A400" s="412"/>
      <c r="B400" s="412"/>
      <c r="C400" s="412"/>
      <c r="D400" s="692"/>
      <c r="E400" s="692"/>
      <c r="F400" s="690"/>
      <c r="G400" s="434"/>
      <c r="H400" s="434"/>
      <c r="I400" s="434"/>
      <c r="J400" s="434"/>
      <c r="K400" s="434"/>
      <c r="L400" s="434"/>
      <c r="M400" s="434"/>
      <c r="N400" s="434">
        <f t="shared" ref="N400:N436" si="9">H400+J400</f>
        <v>0</v>
      </c>
      <c r="O400" s="434"/>
      <c r="P400" s="684"/>
      <c r="Q400" s="684"/>
      <c r="R400" s="690"/>
    </row>
    <row r="401" spans="1:32" s="426" customFormat="1" ht="23.1" customHeight="1">
      <c r="A401" s="423"/>
      <c r="B401" s="423"/>
      <c r="C401" s="423"/>
      <c r="D401" s="691" t="str">
        <f>신규_공종별내역서!A149</f>
        <v>합성수지제 가요전선관-매입</v>
      </c>
      <c r="E401" s="691" t="str">
        <f>신규_공종별내역서!B149</f>
        <v>(난연성), 16㎜</v>
      </c>
      <c r="F401" s="689" t="str">
        <f>신규_공종별내역서!C149</f>
        <v>M</v>
      </c>
      <c r="G401" s="433"/>
      <c r="H401" s="433"/>
      <c r="I401" s="433"/>
      <c r="J401" s="433"/>
      <c r="K401" s="433"/>
      <c r="L401" s="433"/>
      <c r="M401" s="433"/>
      <c r="N401" s="433">
        <f t="shared" si="9"/>
        <v>0</v>
      </c>
      <c r="O401" s="433"/>
      <c r="P401" s="683">
        <f>G402-G401</f>
        <v>451.7</v>
      </c>
      <c r="Q401" s="683">
        <f>O402-O401</f>
        <v>4478605</v>
      </c>
      <c r="R401" s="687" t="str">
        <f>신규_공종별내역서!L149</f>
        <v>신규호표 65</v>
      </c>
      <c r="AF401" s="426">
        <v>26406272</v>
      </c>
    </row>
    <row r="402" spans="1:32" ht="23.1" customHeight="1">
      <c r="A402" s="412"/>
      <c r="B402" s="412"/>
      <c r="C402" s="412"/>
      <c r="D402" s="692"/>
      <c r="E402" s="692"/>
      <c r="F402" s="690"/>
      <c r="G402" s="434">
        <f>신규_공종별내역서!D149</f>
        <v>451.7</v>
      </c>
      <c r="H402" s="434">
        <f>신규_공종별내역서!E149</f>
        <v>516</v>
      </c>
      <c r="I402" s="434">
        <f>신규_공종별내역서!F149</f>
        <v>233077</v>
      </c>
      <c r="J402" s="434">
        <f>신규_공종별내역서!G149</f>
        <v>9399</v>
      </c>
      <c r="K402" s="434">
        <f>신규_공종별내역서!H149</f>
        <v>4245528</v>
      </c>
      <c r="L402" s="434">
        <f>신규_공종별내역서!I149</f>
        <v>0</v>
      </c>
      <c r="M402" s="434">
        <f>신규_공종별내역서!J149</f>
        <v>0</v>
      </c>
      <c r="N402" s="434">
        <f t="shared" si="9"/>
        <v>9915</v>
      </c>
      <c r="O402" s="434">
        <f>신규_공종별내역서!K149</f>
        <v>4478605</v>
      </c>
      <c r="P402" s="684"/>
      <c r="Q402" s="684"/>
      <c r="R402" s="688"/>
      <c r="AF402" s="422">
        <f ca="1">TRUNC([2]!sumcol(0,AF302:AF350))</f>
        <v>0</v>
      </c>
    </row>
    <row r="403" spans="1:32" s="426" customFormat="1" ht="23.1" customHeight="1">
      <c r="A403" s="423"/>
      <c r="B403" s="423"/>
      <c r="C403" s="423"/>
      <c r="D403" s="691" t="str">
        <f>신규_공종별내역서!A150</f>
        <v>1종금속제가요전선관</v>
      </c>
      <c r="E403" s="691" t="str">
        <f>신규_공종별내역서!B150</f>
        <v xml:space="preserve"> 16 mm 비방수</v>
      </c>
      <c r="F403" s="689" t="str">
        <f>신규_공종별내역서!C150</f>
        <v>M</v>
      </c>
      <c r="G403" s="433"/>
      <c r="H403" s="433"/>
      <c r="I403" s="433"/>
      <c r="J403" s="433"/>
      <c r="K403" s="433"/>
      <c r="L403" s="433"/>
      <c r="M403" s="433"/>
      <c r="N403" s="433">
        <f t="shared" si="9"/>
        <v>0</v>
      </c>
      <c r="O403" s="433"/>
      <c r="P403" s="683">
        <f>G404-G403</f>
        <v>45.3</v>
      </c>
      <c r="Q403" s="683">
        <f>O404-O403</f>
        <v>545456</v>
      </c>
      <c r="R403" s="687" t="str">
        <f>신규_공종별내역서!L150</f>
        <v>신규호표 72</v>
      </c>
    </row>
    <row r="404" spans="1:32" ht="23.1" customHeight="1">
      <c r="A404" s="412"/>
      <c r="B404" s="412"/>
      <c r="C404" s="412"/>
      <c r="D404" s="692"/>
      <c r="E404" s="692"/>
      <c r="F404" s="690"/>
      <c r="G404" s="434">
        <f>신규_공종별내역서!D150</f>
        <v>45.3</v>
      </c>
      <c r="H404" s="434">
        <f>신규_공종별내역서!E150</f>
        <v>649</v>
      </c>
      <c r="I404" s="434">
        <f>신규_공종별내역서!F150</f>
        <v>29399</v>
      </c>
      <c r="J404" s="434">
        <f>신규_공종별내역서!G150</f>
        <v>11392</v>
      </c>
      <c r="K404" s="434">
        <f>신규_공종별내역서!H150</f>
        <v>516057</v>
      </c>
      <c r="L404" s="434">
        <f>신규_공종별내역서!I150</f>
        <v>0</v>
      </c>
      <c r="M404" s="434">
        <f>신규_공종별내역서!J150</f>
        <v>0</v>
      </c>
      <c r="N404" s="434">
        <f t="shared" si="9"/>
        <v>12041</v>
      </c>
      <c r="O404" s="434">
        <f>신규_공종별내역서!K150</f>
        <v>545456</v>
      </c>
      <c r="P404" s="684"/>
      <c r="Q404" s="684"/>
      <c r="R404" s="688"/>
    </row>
    <row r="405" spans="1:32" s="426" customFormat="1" ht="23.1" customHeight="1">
      <c r="A405" s="423"/>
      <c r="B405" s="423"/>
      <c r="C405" s="423"/>
      <c r="D405" s="691" t="str">
        <f>신규_공종별내역서!A151</f>
        <v>1종금속제가요전선관</v>
      </c>
      <c r="E405" s="691" t="str">
        <f>신규_공종별내역서!B151</f>
        <v>박스커넥터, 16mm, 비방수</v>
      </c>
      <c r="F405" s="689" t="str">
        <f>신규_공종별내역서!C151</f>
        <v>개</v>
      </c>
      <c r="G405" s="433"/>
      <c r="H405" s="433"/>
      <c r="I405" s="433"/>
      <c r="J405" s="433"/>
      <c r="K405" s="433"/>
      <c r="L405" s="433"/>
      <c r="M405" s="433"/>
      <c r="N405" s="433">
        <f t="shared" si="9"/>
        <v>0</v>
      </c>
      <c r="O405" s="433"/>
      <c r="P405" s="683">
        <f>G406-G405</f>
        <v>56</v>
      </c>
      <c r="Q405" s="683">
        <f>O406-O405</f>
        <v>54488</v>
      </c>
      <c r="R405" s="687" t="str">
        <f>신규_공종별내역서!L151</f>
        <v/>
      </c>
    </row>
    <row r="406" spans="1:32" ht="23.1" customHeight="1">
      <c r="A406" s="412"/>
      <c r="B406" s="412"/>
      <c r="C406" s="412"/>
      <c r="D406" s="692"/>
      <c r="E406" s="692"/>
      <c r="F406" s="690"/>
      <c r="G406" s="434">
        <f>신규_공종별내역서!D151</f>
        <v>56</v>
      </c>
      <c r="H406" s="434">
        <f>신규_공종별내역서!E151</f>
        <v>973</v>
      </c>
      <c r="I406" s="434">
        <f>신규_공종별내역서!F151</f>
        <v>54488</v>
      </c>
      <c r="J406" s="434">
        <f>신규_공종별내역서!G151</f>
        <v>0</v>
      </c>
      <c r="K406" s="434">
        <f>신규_공종별내역서!H151</f>
        <v>0</v>
      </c>
      <c r="L406" s="434">
        <f>신규_공종별내역서!I151</f>
        <v>0</v>
      </c>
      <c r="M406" s="434">
        <f>신규_공종별내역서!J151</f>
        <v>0</v>
      </c>
      <c r="N406" s="434">
        <f t="shared" si="9"/>
        <v>973</v>
      </c>
      <c r="O406" s="434">
        <f>신규_공종별내역서!K151</f>
        <v>54488</v>
      </c>
      <c r="P406" s="684"/>
      <c r="Q406" s="684"/>
      <c r="R406" s="688"/>
    </row>
    <row r="407" spans="1:32" s="426" customFormat="1" ht="23.1" customHeight="1">
      <c r="A407" s="423"/>
      <c r="B407" s="423"/>
      <c r="C407" s="423"/>
      <c r="D407" s="691" t="str">
        <f>신규_공종별내역서!A152</f>
        <v>아우트렛박스</v>
      </c>
      <c r="E407" s="691" t="str">
        <f>신규_공종별내역서!B152</f>
        <v>8각  54mm</v>
      </c>
      <c r="F407" s="689" t="str">
        <f>신규_공종별내역서!C152</f>
        <v>개</v>
      </c>
      <c r="G407" s="433"/>
      <c r="H407" s="433"/>
      <c r="I407" s="433"/>
      <c r="J407" s="433"/>
      <c r="K407" s="433"/>
      <c r="L407" s="433"/>
      <c r="M407" s="433"/>
      <c r="N407" s="433">
        <f t="shared" si="9"/>
        <v>0</v>
      </c>
      <c r="O407" s="433"/>
      <c r="P407" s="683">
        <f>G408-G407</f>
        <v>104</v>
      </c>
      <c r="Q407" s="683">
        <f>O408-O407</f>
        <v>3373240</v>
      </c>
      <c r="R407" s="687" t="str">
        <f>신규_공종별내역서!L152</f>
        <v>신규호표 73</v>
      </c>
    </row>
    <row r="408" spans="1:32" ht="23.1" customHeight="1">
      <c r="A408" s="412"/>
      <c r="B408" s="412"/>
      <c r="C408" s="412"/>
      <c r="D408" s="692"/>
      <c r="E408" s="692"/>
      <c r="F408" s="690"/>
      <c r="G408" s="434">
        <f>신규_공종별내역서!D152</f>
        <v>104</v>
      </c>
      <c r="H408" s="434">
        <f>신규_공종별내역서!E152</f>
        <v>1365</v>
      </c>
      <c r="I408" s="434">
        <f>신규_공종별내역서!F152</f>
        <v>141960</v>
      </c>
      <c r="J408" s="434">
        <f>신규_공종별내역서!G152</f>
        <v>31070</v>
      </c>
      <c r="K408" s="434">
        <f>신규_공종별내역서!H152</f>
        <v>3231280</v>
      </c>
      <c r="L408" s="434">
        <f>신규_공종별내역서!I152</f>
        <v>0</v>
      </c>
      <c r="M408" s="434">
        <f>신규_공종별내역서!J152</f>
        <v>0</v>
      </c>
      <c r="N408" s="434">
        <f t="shared" si="9"/>
        <v>32435</v>
      </c>
      <c r="O408" s="434">
        <f>신규_공종별내역서!K152</f>
        <v>3373240</v>
      </c>
      <c r="P408" s="684"/>
      <c r="Q408" s="684"/>
      <c r="R408" s="688"/>
    </row>
    <row r="409" spans="1:32" s="426" customFormat="1" ht="23.1" customHeight="1">
      <c r="A409" s="423"/>
      <c r="B409" s="423"/>
      <c r="C409" s="423"/>
      <c r="D409" s="691" t="str">
        <f>신규_공종별내역서!A153</f>
        <v>아우트렛박스</v>
      </c>
      <c r="E409" s="691" t="str">
        <f>신규_공종별내역서!B153</f>
        <v>중형4각 54㎜</v>
      </c>
      <c r="F409" s="689" t="str">
        <f>신규_공종별내역서!C153</f>
        <v>개</v>
      </c>
      <c r="G409" s="433"/>
      <c r="H409" s="433"/>
      <c r="I409" s="433"/>
      <c r="J409" s="433"/>
      <c r="K409" s="433"/>
      <c r="L409" s="433"/>
      <c r="M409" s="433"/>
      <c r="N409" s="433">
        <f t="shared" si="9"/>
        <v>0</v>
      </c>
      <c r="O409" s="433"/>
      <c r="P409" s="683">
        <f>G410-G409</f>
        <v>12</v>
      </c>
      <c r="Q409" s="683">
        <f>O410-O409</f>
        <v>391944</v>
      </c>
      <c r="R409" s="687" t="str">
        <f>신규_공종별내역서!L153</f>
        <v>신규호표 74</v>
      </c>
    </row>
    <row r="410" spans="1:32" ht="23.1" customHeight="1">
      <c r="A410" s="412"/>
      <c r="B410" s="412"/>
      <c r="C410" s="412"/>
      <c r="D410" s="692"/>
      <c r="E410" s="692"/>
      <c r="F410" s="690"/>
      <c r="G410" s="434">
        <f>신규_공종별내역서!D153</f>
        <v>12</v>
      </c>
      <c r="H410" s="434">
        <f>신규_공종별내역서!E153</f>
        <v>1592</v>
      </c>
      <c r="I410" s="434">
        <f>신규_공종별내역서!F153</f>
        <v>19104</v>
      </c>
      <c r="J410" s="434">
        <f>신규_공종별내역서!G153</f>
        <v>31070</v>
      </c>
      <c r="K410" s="434">
        <f>신규_공종별내역서!H153</f>
        <v>372840</v>
      </c>
      <c r="L410" s="434">
        <f>신규_공종별내역서!I153</f>
        <v>0</v>
      </c>
      <c r="M410" s="434">
        <f>신규_공종별내역서!J153</f>
        <v>0</v>
      </c>
      <c r="N410" s="434">
        <f t="shared" si="9"/>
        <v>32662</v>
      </c>
      <c r="O410" s="434">
        <f>신규_공종별내역서!K153</f>
        <v>391944</v>
      </c>
      <c r="P410" s="684"/>
      <c r="Q410" s="684"/>
      <c r="R410" s="688"/>
    </row>
    <row r="411" spans="1:32" s="426" customFormat="1" ht="23.1" customHeight="1">
      <c r="A411" s="423"/>
      <c r="B411" s="423"/>
      <c r="C411" s="423"/>
      <c r="D411" s="691" t="str">
        <f>신규_공종별내역서!A154</f>
        <v>스위치박스-매입</v>
      </c>
      <c r="E411" s="691" t="str">
        <f>신규_공종별내역서!B154</f>
        <v>1 개용 54 mm</v>
      </c>
      <c r="F411" s="689" t="str">
        <f>신규_공종별내역서!C154</f>
        <v>개</v>
      </c>
      <c r="G411" s="433"/>
      <c r="H411" s="433"/>
      <c r="I411" s="433"/>
      <c r="J411" s="433"/>
      <c r="K411" s="433"/>
      <c r="L411" s="433"/>
      <c r="M411" s="433"/>
      <c r="N411" s="433">
        <f t="shared" si="9"/>
        <v>0</v>
      </c>
      <c r="O411" s="433"/>
      <c r="P411" s="683">
        <f>G412-G411</f>
        <v>20</v>
      </c>
      <c r="Q411" s="683">
        <f>O412-O411</f>
        <v>1073760</v>
      </c>
      <c r="R411" s="687" t="str">
        <f>신규_공종별내역서!L154</f>
        <v>신규호표 75</v>
      </c>
    </row>
    <row r="412" spans="1:32" ht="23.1" customHeight="1">
      <c r="A412" s="412"/>
      <c r="B412" s="412"/>
      <c r="C412" s="412"/>
      <c r="D412" s="692"/>
      <c r="E412" s="692"/>
      <c r="F412" s="690"/>
      <c r="G412" s="434">
        <f>신규_공종별내역서!D154</f>
        <v>20</v>
      </c>
      <c r="H412" s="434">
        <f>신규_공종별내역서!E154</f>
        <v>1905</v>
      </c>
      <c r="I412" s="434">
        <f>신규_공종별내역서!F154</f>
        <v>38100</v>
      </c>
      <c r="J412" s="434">
        <f>신규_공종별내역서!G154</f>
        <v>51783</v>
      </c>
      <c r="K412" s="434">
        <f>신규_공종별내역서!H154</f>
        <v>1035660</v>
      </c>
      <c r="L412" s="434">
        <f>신규_공종별내역서!I154</f>
        <v>0</v>
      </c>
      <c r="M412" s="434">
        <f>신규_공종별내역서!J154</f>
        <v>0</v>
      </c>
      <c r="N412" s="434">
        <f t="shared" si="9"/>
        <v>53688</v>
      </c>
      <c r="O412" s="434">
        <f>신규_공종별내역서!K154</f>
        <v>1073760</v>
      </c>
      <c r="P412" s="684"/>
      <c r="Q412" s="684"/>
      <c r="R412" s="688"/>
    </row>
    <row r="413" spans="1:32" s="426" customFormat="1" ht="23.1" customHeight="1">
      <c r="A413" s="423"/>
      <c r="B413" s="423"/>
      <c r="C413" s="423"/>
      <c r="D413" s="691" t="str">
        <f>신규_공종별내역서!A155</f>
        <v>450/75OV 저독성난연가교폴리올레핀절연전선(HFIX)</v>
      </c>
      <c r="E413" s="691" t="str">
        <f>신규_공종별내역서!B155</f>
        <v>2.5㎟</v>
      </c>
      <c r="F413" s="689" t="str">
        <f>신규_공종별내역서!C155</f>
        <v>m</v>
      </c>
      <c r="G413" s="433"/>
      <c r="H413" s="433"/>
      <c r="I413" s="433"/>
      <c r="J413" s="433"/>
      <c r="K413" s="433"/>
      <c r="L413" s="433"/>
      <c r="M413" s="433"/>
      <c r="N413" s="433">
        <f t="shared" si="9"/>
        <v>0</v>
      </c>
      <c r="O413" s="433"/>
      <c r="P413" s="683">
        <f>G414-G413</f>
        <v>1876.5</v>
      </c>
      <c r="Q413" s="683">
        <f>O414-O413</f>
        <v>5822779</v>
      </c>
      <c r="R413" s="687" t="str">
        <f>신규_공종별내역서!L155</f>
        <v>신규호표 76</v>
      </c>
    </row>
    <row r="414" spans="1:32" ht="23.1" customHeight="1">
      <c r="A414" s="412"/>
      <c r="B414" s="412"/>
      <c r="C414" s="412"/>
      <c r="D414" s="692"/>
      <c r="E414" s="692"/>
      <c r="F414" s="690"/>
      <c r="G414" s="434">
        <f>신규_공종별내역서!D155</f>
        <v>1876.5</v>
      </c>
      <c r="H414" s="434">
        <f>신규_공종별내역서!E155</f>
        <v>514</v>
      </c>
      <c r="I414" s="434">
        <f>신규_공종별내역서!F155</f>
        <v>964521</v>
      </c>
      <c r="J414" s="434">
        <f>신규_공종별내역서!G155</f>
        <v>2589</v>
      </c>
      <c r="K414" s="434">
        <f>신규_공종별내역서!H155</f>
        <v>4858258</v>
      </c>
      <c r="L414" s="434">
        <f>신규_공종별내역서!I155</f>
        <v>0</v>
      </c>
      <c r="M414" s="434">
        <f>신규_공종별내역서!J155</f>
        <v>0</v>
      </c>
      <c r="N414" s="434">
        <f t="shared" si="9"/>
        <v>3103</v>
      </c>
      <c r="O414" s="434">
        <f>신규_공종별내역서!K155</f>
        <v>5822779</v>
      </c>
      <c r="P414" s="684"/>
      <c r="Q414" s="684"/>
      <c r="R414" s="688"/>
    </row>
    <row r="415" spans="1:32" s="426" customFormat="1" ht="23.1" customHeight="1">
      <c r="A415" s="423"/>
      <c r="B415" s="423"/>
      <c r="C415" s="423"/>
      <c r="D415" s="691" t="str">
        <f>신규_공종별내역서!A156</f>
        <v>와이드 스위치</v>
      </c>
      <c r="E415" s="691" t="str">
        <f>신규_공종별내역서!B156</f>
        <v>1로 1구</v>
      </c>
      <c r="F415" s="689" t="str">
        <f>신규_공종별내역서!C156</f>
        <v>개</v>
      </c>
      <c r="G415" s="433"/>
      <c r="H415" s="433"/>
      <c r="I415" s="433"/>
      <c r="J415" s="433"/>
      <c r="K415" s="433"/>
      <c r="L415" s="433"/>
      <c r="M415" s="433"/>
      <c r="N415" s="433">
        <f t="shared" si="9"/>
        <v>0</v>
      </c>
      <c r="O415" s="433"/>
      <c r="P415" s="683">
        <f>G416-G415</f>
        <v>9</v>
      </c>
      <c r="Q415" s="683">
        <f>O416-O415</f>
        <v>217053</v>
      </c>
      <c r="R415" s="687" t="str">
        <f>신규_공종별내역서!L156</f>
        <v>신규호표 77</v>
      </c>
    </row>
    <row r="416" spans="1:32" ht="23.1" customHeight="1">
      <c r="A416" s="412"/>
      <c r="B416" s="412"/>
      <c r="C416" s="412"/>
      <c r="D416" s="692"/>
      <c r="E416" s="692"/>
      <c r="F416" s="690"/>
      <c r="G416" s="434">
        <f>신규_공종별내역서!D156</f>
        <v>9</v>
      </c>
      <c r="H416" s="434">
        <f>신규_공종별내역서!E156</f>
        <v>2110</v>
      </c>
      <c r="I416" s="434">
        <f>신규_공종별내역서!F156</f>
        <v>18990</v>
      </c>
      <c r="J416" s="434">
        <f>신규_공종별내역서!G156</f>
        <v>22007</v>
      </c>
      <c r="K416" s="434">
        <f>신규_공종별내역서!H156</f>
        <v>198063</v>
      </c>
      <c r="L416" s="434">
        <f>신규_공종별내역서!I156</f>
        <v>0</v>
      </c>
      <c r="M416" s="434">
        <f>신규_공종별내역서!J156</f>
        <v>0</v>
      </c>
      <c r="N416" s="434">
        <f t="shared" si="9"/>
        <v>24117</v>
      </c>
      <c r="O416" s="434">
        <f>신규_공종별내역서!K156</f>
        <v>217053</v>
      </c>
      <c r="P416" s="684"/>
      <c r="Q416" s="684"/>
      <c r="R416" s="688"/>
    </row>
    <row r="417" spans="1:18" s="426" customFormat="1" ht="23.1" customHeight="1">
      <c r="A417" s="423"/>
      <c r="B417" s="423"/>
      <c r="C417" s="423"/>
      <c r="D417" s="691" t="str">
        <f>신규_공종별내역서!A157</f>
        <v>와이드 스위치</v>
      </c>
      <c r="E417" s="691" t="str">
        <f>신규_공종별내역서!B157</f>
        <v>1로 2구</v>
      </c>
      <c r="F417" s="689" t="str">
        <f>신규_공종별내역서!C157</f>
        <v>개</v>
      </c>
      <c r="G417" s="433"/>
      <c r="H417" s="433"/>
      <c r="I417" s="433"/>
      <c r="J417" s="433"/>
      <c r="K417" s="433"/>
      <c r="L417" s="433"/>
      <c r="M417" s="433"/>
      <c r="N417" s="433">
        <f t="shared" si="9"/>
        <v>0</v>
      </c>
      <c r="O417" s="433"/>
      <c r="P417" s="683">
        <f>G418-G417</f>
        <v>6</v>
      </c>
      <c r="Q417" s="683">
        <f>O418-O417</f>
        <v>149562</v>
      </c>
      <c r="R417" s="687" t="str">
        <f>신규_공종별내역서!L157</f>
        <v>신규호표 78</v>
      </c>
    </row>
    <row r="418" spans="1:18" ht="23.1" customHeight="1">
      <c r="A418" s="412"/>
      <c r="B418" s="412"/>
      <c r="C418" s="412"/>
      <c r="D418" s="692"/>
      <c r="E418" s="692"/>
      <c r="F418" s="690"/>
      <c r="G418" s="434">
        <f>신규_공종별내역서!D157</f>
        <v>6</v>
      </c>
      <c r="H418" s="434">
        <f>신규_공종별내역서!E157</f>
        <v>2920</v>
      </c>
      <c r="I418" s="434">
        <f>신규_공종별내역서!F157</f>
        <v>17520</v>
      </c>
      <c r="J418" s="434">
        <f>신규_공종별내역서!G157</f>
        <v>22007</v>
      </c>
      <c r="K418" s="434">
        <f>신규_공종별내역서!H157</f>
        <v>132042</v>
      </c>
      <c r="L418" s="434">
        <f>신규_공종별내역서!I157</f>
        <v>0</v>
      </c>
      <c r="M418" s="434">
        <f>신규_공종별내역서!J157</f>
        <v>0</v>
      </c>
      <c r="N418" s="434">
        <f t="shared" si="9"/>
        <v>24927</v>
      </c>
      <c r="O418" s="434">
        <f>신규_공종별내역서!K157</f>
        <v>149562</v>
      </c>
      <c r="P418" s="684"/>
      <c r="Q418" s="684"/>
      <c r="R418" s="688"/>
    </row>
    <row r="419" spans="1:18" s="426" customFormat="1" ht="23.1" customHeight="1">
      <c r="A419" s="423"/>
      <c r="B419" s="423"/>
      <c r="C419" s="423"/>
      <c r="D419" s="691" t="str">
        <f>신규_공종별내역서!A158</f>
        <v>와이드 스위치</v>
      </c>
      <c r="E419" s="691" t="str">
        <f>신규_공종별내역서!B158</f>
        <v>1로 3구</v>
      </c>
      <c r="F419" s="689" t="str">
        <f>신규_공종별내역서!C158</f>
        <v>개</v>
      </c>
      <c r="G419" s="433"/>
      <c r="H419" s="433"/>
      <c r="I419" s="433"/>
      <c r="J419" s="433"/>
      <c r="K419" s="433"/>
      <c r="L419" s="433"/>
      <c r="M419" s="433"/>
      <c r="N419" s="433">
        <f t="shared" si="9"/>
        <v>0</v>
      </c>
      <c r="O419" s="433"/>
      <c r="P419" s="683">
        <f>G420-G419</f>
        <v>2</v>
      </c>
      <c r="Q419" s="683">
        <f>O420-O419</f>
        <v>51294</v>
      </c>
      <c r="R419" s="687" t="str">
        <f>신규_공종별내역서!L158</f>
        <v>신규호표 79</v>
      </c>
    </row>
    <row r="420" spans="1:18" ht="23.1" customHeight="1">
      <c r="A420" s="412"/>
      <c r="B420" s="412"/>
      <c r="C420" s="412"/>
      <c r="D420" s="692"/>
      <c r="E420" s="692"/>
      <c r="F420" s="690"/>
      <c r="G420" s="434">
        <f>신규_공종별내역서!D158</f>
        <v>2</v>
      </c>
      <c r="H420" s="434">
        <f>신규_공종별내역서!E158</f>
        <v>3640</v>
      </c>
      <c r="I420" s="434">
        <f>신규_공종별내역서!F158</f>
        <v>7280</v>
      </c>
      <c r="J420" s="434">
        <f>신규_공종별내역서!G158</f>
        <v>22007</v>
      </c>
      <c r="K420" s="434">
        <f>신규_공종별내역서!H158</f>
        <v>44014</v>
      </c>
      <c r="L420" s="434">
        <f>신규_공종별내역서!I158</f>
        <v>0</v>
      </c>
      <c r="M420" s="434">
        <f>신규_공종별내역서!J158</f>
        <v>0</v>
      </c>
      <c r="N420" s="434">
        <f t="shared" si="9"/>
        <v>25647</v>
      </c>
      <c r="O420" s="434">
        <f>신규_공종별내역서!K158</f>
        <v>51294</v>
      </c>
      <c r="P420" s="684"/>
      <c r="Q420" s="684"/>
      <c r="R420" s="688"/>
    </row>
    <row r="421" spans="1:18" s="426" customFormat="1" ht="23.1" customHeight="1">
      <c r="A421" s="423"/>
      <c r="B421" s="423"/>
      <c r="C421" s="423"/>
      <c r="D421" s="691" t="str">
        <f>신규_공종별내역서!A159</f>
        <v>와이드 스위치</v>
      </c>
      <c r="E421" s="691" t="str">
        <f>신규_공종별내역서!B159</f>
        <v>1로 4구</v>
      </c>
      <c r="F421" s="689" t="str">
        <f>신규_공종별내역서!C159</f>
        <v>개</v>
      </c>
      <c r="G421" s="433"/>
      <c r="H421" s="433"/>
      <c r="I421" s="433"/>
      <c r="J421" s="433"/>
      <c r="K421" s="433"/>
      <c r="L421" s="433"/>
      <c r="M421" s="433"/>
      <c r="N421" s="433">
        <f t="shared" si="9"/>
        <v>0</v>
      </c>
      <c r="O421" s="433"/>
      <c r="P421" s="683">
        <f>G422-G421</f>
        <v>2</v>
      </c>
      <c r="Q421" s="683">
        <f>O422-O421</f>
        <v>51614</v>
      </c>
      <c r="R421" s="687" t="str">
        <f>신규_공종별내역서!L159</f>
        <v>신규호표 80</v>
      </c>
    </row>
    <row r="422" spans="1:18" ht="23.1" customHeight="1">
      <c r="A422" s="412"/>
      <c r="B422" s="412"/>
      <c r="C422" s="412"/>
      <c r="D422" s="692"/>
      <c r="E422" s="692"/>
      <c r="F422" s="690"/>
      <c r="G422" s="434">
        <f>신규_공종별내역서!D159</f>
        <v>2</v>
      </c>
      <c r="H422" s="434">
        <f>신규_공종별내역서!E159</f>
        <v>5833</v>
      </c>
      <c r="I422" s="434">
        <f>신규_공종별내역서!F159</f>
        <v>11666</v>
      </c>
      <c r="J422" s="434">
        <f>신규_공종별내역서!G159</f>
        <v>19974</v>
      </c>
      <c r="K422" s="434">
        <f>신규_공종별내역서!H159</f>
        <v>39948</v>
      </c>
      <c r="L422" s="434">
        <f>신규_공종별내역서!I159</f>
        <v>0</v>
      </c>
      <c r="M422" s="434">
        <f>신규_공종별내역서!J159</f>
        <v>0</v>
      </c>
      <c r="N422" s="434">
        <f t="shared" si="9"/>
        <v>25807</v>
      </c>
      <c r="O422" s="434">
        <f>신규_공종별내역서!K159</f>
        <v>51614</v>
      </c>
      <c r="P422" s="684"/>
      <c r="Q422" s="684"/>
      <c r="R422" s="688"/>
    </row>
    <row r="423" spans="1:18" s="426" customFormat="1" ht="23.1" customHeight="1">
      <c r="A423" s="423"/>
      <c r="B423" s="423"/>
      <c r="C423" s="423"/>
      <c r="D423" s="691" t="str">
        <f>신규_공종별내역서!A160</f>
        <v>레일 설치</v>
      </c>
      <c r="E423" s="691" t="str">
        <f>신규_공종별내역서!B160</f>
        <v>레일 1M</v>
      </c>
      <c r="F423" s="689" t="str">
        <f>신규_공종별내역서!C160</f>
        <v>개</v>
      </c>
      <c r="G423" s="433"/>
      <c r="H423" s="433"/>
      <c r="I423" s="433"/>
      <c r="J423" s="433"/>
      <c r="K423" s="433"/>
      <c r="L423" s="433"/>
      <c r="M423" s="433"/>
      <c r="N423" s="433">
        <f t="shared" si="9"/>
        <v>0</v>
      </c>
      <c r="O423" s="433"/>
      <c r="P423" s="683">
        <f>G424-G423</f>
        <v>21</v>
      </c>
      <c r="Q423" s="683">
        <f>O424-O423</f>
        <v>750120</v>
      </c>
      <c r="R423" s="687" t="str">
        <f>신규_공종별내역서!L160</f>
        <v>신규호표 81</v>
      </c>
    </row>
    <row r="424" spans="1:18" ht="23.1" customHeight="1">
      <c r="A424" s="412"/>
      <c r="B424" s="412"/>
      <c r="C424" s="412"/>
      <c r="D424" s="692"/>
      <c r="E424" s="692"/>
      <c r="F424" s="690"/>
      <c r="G424" s="434">
        <f>신규_공종별내역서!D160</f>
        <v>21</v>
      </c>
      <c r="H424" s="434">
        <f>신규_공종별내역서!E160</f>
        <v>9636</v>
      </c>
      <c r="I424" s="434">
        <f>신규_공종별내역서!F160</f>
        <v>202356</v>
      </c>
      <c r="J424" s="434">
        <f>신규_공종별내역서!G160</f>
        <v>26084</v>
      </c>
      <c r="K424" s="434">
        <f>신규_공종별내역서!H160</f>
        <v>547764</v>
      </c>
      <c r="L424" s="434">
        <f>신규_공종별내역서!I160</f>
        <v>0</v>
      </c>
      <c r="M424" s="434">
        <f>신규_공종별내역서!J160</f>
        <v>0</v>
      </c>
      <c r="N424" s="434">
        <f t="shared" si="9"/>
        <v>35720</v>
      </c>
      <c r="O424" s="434">
        <f>신규_공종별내역서!K160</f>
        <v>750120</v>
      </c>
      <c r="P424" s="684"/>
      <c r="Q424" s="684"/>
      <c r="R424" s="688"/>
    </row>
    <row r="425" spans="1:18" s="426" customFormat="1" ht="23.1" customHeight="1">
      <c r="A425" s="423"/>
      <c r="B425" s="423"/>
      <c r="C425" s="423"/>
      <c r="D425" s="691" t="str">
        <f>신규_공종별내역서!A161</f>
        <v>레일조인자재</v>
      </c>
      <c r="E425" s="691" t="str">
        <f>신규_공종별내역서!B161</f>
        <v>레일조인자재</v>
      </c>
      <c r="F425" s="689" t="str">
        <f>신규_공종별내역서!C161</f>
        <v>개</v>
      </c>
      <c r="G425" s="433"/>
      <c r="H425" s="433"/>
      <c r="I425" s="433"/>
      <c r="J425" s="433"/>
      <c r="K425" s="433"/>
      <c r="L425" s="433"/>
      <c r="M425" s="433"/>
      <c r="N425" s="433">
        <f t="shared" si="9"/>
        <v>0</v>
      </c>
      <c r="O425" s="433"/>
      <c r="P425" s="683">
        <f>G426-G425</f>
        <v>20</v>
      </c>
      <c r="Q425" s="683">
        <f>O426-O425</f>
        <v>35400</v>
      </c>
      <c r="R425" s="687" t="str">
        <f>신규_공종별내역서!L161</f>
        <v/>
      </c>
    </row>
    <row r="426" spans="1:18" ht="23.1" customHeight="1">
      <c r="A426" s="412"/>
      <c r="B426" s="412"/>
      <c r="C426" s="412"/>
      <c r="D426" s="692"/>
      <c r="E426" s="692"/>
      <c r="F426" s="690"/>
      <c r="G426" s="434">
        <f>신규_공종별내역서!D161</f>
        <v>20</v>
      </c>
      <c r="H426" s="434">
        <f>신규_공종별내역서!E161</f>
        <v>1770</v>
      </c>
      <c r="I426" s="434">
        <f>신규_공종별내역서!F161</f>
        <v>35400</v>
      </c>
      <c r="J426" s="434">
        <f>신규_공종별내역서!G161</f>
        <v>0</v>
      </c>
      <c r="K426" s="434">
        <f>신규_공종별내역서!H161</f>
        <v>0</v>
      </c>
      <c r="L426" s="434">
        <f>신규_공종별내역서!I161</f>
        <v>0</v>
      </c>
      <c r="M426" s="434">
        <f>신규_공종별내역서!J161</f>
        <v>0</v>
      </c>
      <c r="N426" s="434">
        <f t="shared" si="9"/>
        <v>1770</v>
      </c>
      <c r="O426" s="434">
        <f>신규_공종별내역서!K161</f>
        <v>35400</v>
      </c>
      <c r="P426" s="684"/>
      <c r="Q426" s="684"/>
      <c r="R426" s="688"/>
    </row>
    <row r="427" spans="1:18" s="426" customFormat="1" ht="23.1" customHeight="1">
      <c r="A427" s="423"/>
      <c r="B427" s="423"/>
      <c r="C427" s="423"/>
      <c r="D427" s="691" t="str">
        <f>신규_공종별내역서!A162</f>
        <v>레일마감자재</v>
      </c>
      <c r="E427" s="691" t="str">
        <f>신규_공종별내역서!B162</f>
        <v>레일마감자재</v>
      </c>
      <c r="F427" s="689" t="str">
        <f>신규_공종별내역서!C162</f>
        <v>개</v>
      </c>
      <c r="G427" s="433"/>
      <c r="H427" s="433"/>
      <c r="I427" s="433"/>
      <c r="J427" s="433"/>
      <c r="K427" s="433"/>
      <c r="L427" s="433"/>
      <c r="M427" s="433"/>
      <c r="N427" s="433">
        <f t="shared" si="9"/>
        <v>0</v>
      </c>
      <c r="O427" s="433"/>
      <c r="P427" s="683">
        <f>G428-G427</f>
        <v>8</v>
      </c>
      <c r="Q427" s="683">
        <f>O428-O427</f>
        <v>21248</v>
      </c>
      <c r="R427" s="687" t="str">
        <f>신규_공종별내역서!L162</f>
        <v/>
      </c>
    </row>
    <row r="428" spans="1:18" ht="23.1" customHeight="1">
      <c r="A428" s="412"/>
      <c r="B428" s="412"/>
      <c r="C428" s="412"/>
      <c r="D428" s="692"/>
      <c r="E428" s="692"/>
      <c r="F428" s="690"/>
      <c r="G428" s="434">
        <f>신규_공종별내역서!D162</f>
        <v>8</v>
      </c>
      <c r="H428" s="434">
        <f>신규_공종별내역서!E162</f>
        <v>2656</v>
      </c>
      <c r="I428" s="434">
        <f>신규_공종별내역서!F162</f>
        <v>21248</v>
      </c>
      <c r="J428" s="434">
        <f>신규_공종별내역서!G162</f>
        <v>0</v>
      </c>
      <c r="K428" s="434">
        <f>신규_공종별내역서!H162</f>
        <v>0</v>
      </c>
      <c r="L428" s="434">
        <f>신규_공종별내역서!I162</f>
        <v>0</v>
      </c>
      <c r="M428" s="434">
        <f>신규_공종별내역서!J162</f>
        <v>0</v>
      </c>
      <c r="N428" s="434">
        <f t="shared" si="9"/>
        <v>2656</v>
      </c>
      <c r="O428" s="434">
        <f>신규_공종별내역서!K162</f>
        <v>21248</v>
      </c>
      <c r="P428" s="684"/>
      <c r="Q428" s="684"/>
      <c r="R428" s="688"/>
    </row>
    <row r="429" spans="1:18" s="426" customFormat="1" ht="23.1" customHeight="1">
      <c r="A429" s="423"/>
      <c r="B429" s="423"/>
      <c r="C429" s="423"/>
      <c r="D429" s="691" t="str">
        <f>신규_공종별내역서!A163</f>
        <v>조명기구(TYPE"A")</v>
      </c>
      <c r="E429" s="691" t="str">
        <f>신규_공종별내역서!B163</f>
        <v>LED 라인조명 22W</v>
      </c>
      <c r="F429" s="689" t="str">
        <f>신규_공종별내역서!C163</f>
        <v>개</v>
      </c>
      <c r="G429" s="433"/>
      <c r="H429" s="433"/>
      <c r="I429" s="433"/>
      <c r="J429" s="433"/>
      <c r="K429" s="433"/>
      <c r="L429" s="433"/>
      <c r="M429" s="433"/>
      <c r="N429" s="433">
        <f t="shared" si="9"/>
        <v>0</v>
      </c>
      <c r="O429" s="433"/>
      <c r="P429" s="683">
        <f>G430-G429</f>
        <v>13</v>
      </c>
      <c r="Q429" s="683">
        <f>O430-O429</f>
        <v>434213</v>
      </c>
      <c r="R429" s="687" t="str">
        <f>신규_공종별내역서!L163</f>
        <v>신규호표 82</v>
      </c>
    </row>
    <row r="430" spans="1:18" ht="23.1" customHeight="1">
      <c r="A430" s="412"/>
      <c r="B430" s="412"/>
      <c r="C430" s="412"/>
      <c r="D430" s="692"/>
      <c r="E430" s="692"/>
      <c r="F430" s="690"/>
      <c r="G430" s="434">
        <f>신규_공종별내역서!D163</f>
        <v>13</v>
      </c>
      <c r="H430" s="434">
        <f>신규_공종별내역서!E163</f>
        <v>972</v>
      </c>
      <c r="I430" s="434">
        <f>신규_공종별내역서!F163</f>
        <v>12636</v>
      </c>
      <c r="J430" s="434">
        <f>신규_공종별내역서!G163</f>
        <v>32429</v>
      </c>
      <c r="K430" s="434">
        <f>신규_공종별내역서!H163</f>
        <v>421577</v>
      </c>
      <c r="L430" s="434">
        <f>신규_공종별내역서!I163</f>
        <v>0</v>
      </c>
      <c r="M430" s="434">
        <f>신규_공종별내역서!J163</f>
        <v>0</v>
      </c>
      <c r="N430" s="434">
        <f t="shared" si="9"/>
        <v>33401</v>
      </c>
      <c r="O430" s="434">
        <f>신규_공종별내역서!K163</f>
        <v>434213</v>
      </c>
      <c r="P430" s="684"/>
      <c r="Q430" s="684"/>
      <c r="R430" s="688"/>
    </row>
    <row r="431" spans="1:18" s="426" customFormat="1" ht="23.1" customHeight="1">
      <c r="A431" s="423"/>
      <c r="B431" s="423"/>
      <c r="C431" s="423"/>
      <c r="D431" s="691" t="str">
        <f>신규_공종별내역서!A164</f>
        <v>조명기구(TYPE"B")</v>
      </c>
      <c r="E431" s="691" t="str">
        <f>신규_공종별내역서!B164</f>
        <v>LED 샹들리애 40W</v>
      </c>
      <c r="F431" s="689" t="str">
        <f>신규_공종별내역서!C164</f>
        <v>개</v>
      </c>
      <c r="G431" s="433"/>
      <c r="H431" s="433"/>
      <c r="I431" s="433"/>
      <c r="J431" s="433"/>
      <c r="K431" s="433"/>
      <c r="L431" s="433"/>
      <c r="M431" s="433"/>
      <c r="N431" s="433">
        <f t="shared" si="9"/>
        <v>0</v>
      </c>
      <c r="O431" s="433"/>
      <c r="P431" s="683">
        <f>G432-G431</f>
        <v>4</v>
      </c>
      <c r="Q431" s="683">
        <f>O432-O431</f>
        <v>241076</v>
      </c>
      <c r="R431" s="687" t="str">
        <f>신규_공종별내역서!L164</f>
        <v>신규호표 83</v>
      </c>
    </row>
    <row r="432" spans="1:18" ht="23.1" customHeight="1">
      <c r="A432" s="412"/>
      <c r="B432" s="412"/>
      <c r="C432" s="412"/>
      <c r="D432" s="692"/>
      <c r="E432" s="692"/>
      <c r="F432" s="690"/>
      <c r="G432" s="434">
        <f>신규_공종별내역서!D164</f>
        <v>4</v>
      </c>
      <c r="H432" s="434">
        <f>신규_공종별내역서!E164</f>
        <v>1755</v>
      </c>
      <c r="I432" s="434">
        <f>신규_공종별내역서!F164</f>
        <v>7020</v>
      </c>
      <c r="J432" s="434">
        <f>신규_공종별내역서!G164</f>
        <v>58514</v>
      </c>
      <c r="K432" s="434">
        <f>신규_공종별내역서!H164</f>
        <v>234056</v>
      </c>
      <c r="L432" s="434">
        <f>신규_공종별내역서!I164</f>
        <v>0</v>
      </c>
      <c r="M432" s="434">
        <f>신규_공종별내역서!J164</f>
        <v>0</v>
      </c>
      <c r="N432" s="434">
        <f t="shared" si="9"/>
        <v>60269</v>
      </c>
      <c r="O432" s="434">
        <f>신규_공종별내역서!K164</f>
        <v>241076</v>
      </c>
      <c r="P432" s="684"/>
      <c r="Q432" s="684"/>
      <c r="R432" s="688"/>
    </row>
    <row r="433" spans="1:18" s="426" customFormat="1" ht="23.1" customHeight="1">
      <c r="A433" s="423"/>
      <c r="B433" s="423"/>
      <c r="C433" s="423"/>
      <c r="D433" s="691" t="str">
        <f>신규_공종별내역서!A165</f>
        <v>조명기구(TYPE"C")</v>
      </c>
      <c r="E433" s="691" t="str">
        <f>신규_공종별내역서!B165</f>
        <v>LED 팬던트등 10W</v>
      </c>
      <c r="F433" s="689" t="str">
        <f>신규_공종별내역서!C165</f>
        <v>개</v>
      </c>
      <c r="G433" s="433"/>
      <c r="H433" s="433"/>
      <c r="I433" s="433"/>
      <c r="J433" s="433"/>
      <c r="K433" s="433"/>
      <c r="L433" s="433"/>
      <c r="M433" s="433"/>
      <c r="N433" s="433">
        <f t="shared" si="9"/>
        <v>0</v>
      </c>
      <c r="O433" s="433"/>
      <c r="P433" s="683">
        <f>G434-G433</f>
        <v>37</v>
      </c>
      <c r="Q433" s="683">
        <f>O434-O433</f>
        <v>1414954</v>
      </c>
      <c r="R433" s="687" t="str">
        <f>신규_공종별내역서!L165</f>
        <v>신규호표 84</v>
      </c>
    </row>
    <row r="434" spans="1:18" ht="23.1" customHeight="1">
      <c r="A434" s="412"/>
      <c r="B434" s="412"/>
      <c r="C434" s="412"/>
      <c r="D434" s="692"/>
      <c r="E434" s="692"/>
      <c r="F434" s="690"/>
      <c r="G434" s="434">
        <f>신규_공종별내역서!D165</f>
        <v>37</v>
      </c>
      <c r="H434" s="434">
        <f>신규_공종별내역서!E165</f>
        <v>1113</v>
      </c>
      <c r="I434" s="434">
        <f>신규_공종별내역서!F165</f>
        <v>41181</v>
      </c>
      <c r="J434" s="434">
        <f>신규_공종별내역서!G165</f>
        <v>37129</v>
      </c>
      <c r="K434" s="434">
        <f>신규_공종별내역서!H165</f>
        <v>1373773</v>
      </c>
      <c r="L434" s="434">
        <f>신규_공종별내역서!I165</f>
        <v>0</v>
      </c>
      <c r="M434" s="434">
        <f>신규_공종별내역서!J165</f>
        <v>0</v>
      </c>
      <c r="N434" s="434">
        <f t="shared" si="9"/>
        <v>38242</v>
      </c>
      <c r="O434" s="434">
        <f>신규_공종별내역서!K165</f>
        <v>1414954</v>
      </c>
      <c r="P434" s="684"/>
      <c r="Q434" s="684"/>
      <c r="R434" s="688"/>
    </row>
    <row r="435" spans="1:18" s="426" customFormat="1" ht="23.1" customHeight="1">
      <c r="A435" s="423"/>
      <c r="B435" s="423"/>
      <c r="C435" s="423"/>
      <c r="D435" s="691" t="str">
        <f>신규_공종별내역서!A166</f>
        <v>조명기구(TYPE"D")</v>
      </c>
      <c r="E435" s="691" t="str">
        <f>신규_공종별내역서!B166</f>
        <v>LED 직부등 40W</v>
      </c>
      <c r="F435" s="689" t="str">
        <f>신규_공종별내역서!C166</f>
        <v>개</v>
      </c>
      <c r="G435" s="433"/>
      <c r="H435" s="433"/>
      <c r="I435" s="433"/>
      <c r="J435" s="433"/>
      <c r="K435" s="433"/>
      <c r="L435" s="433"/>
      <c r="M435" s="433"/>
      <c r="N435" s="433">
        <f t="shared" si="9"/>
        <v>0</v>
      </c>
      <c r="O435" s="433"/>
      <c r="P435" s="683">
        <f>G436-G435</f>
        <v>3</v>
      </c>
      <c r="Q435" s="683">
        <f>O436-O435</f>
        <v>157581</v>
      </c>
      <c r="R435" s="687" t="str">
        <f>신규_공종별내역서!L166</f>
        <v>신규호표 85</v>
      </c>
    </row>
    <row r="436" spans="1:18" ht="23.1" customHeight="1">
      <c r="A436" s="412"/>
      <c r="B436" s="412"/>
      <c r="C436" s="412"/>
      <c r="D436" s="692"/>
      <c r="E436" s="692"/>
      <c r="F436" s="690"/>
      <c r="G436" s="434">
        <f>신규_공종별내역서!D166</f>
        <v>3</v>
      </c>
      <c r="H436" s="434">
        <f>신규_공종별내역서!E166</f>
        <v>1029</v>
      </c>
      <c r="I436" s="434">
        <f>신규_공종별내역서!F166</f>
        <v>3087</v>
      </c>
      <c r="J436" s="434">
        <f>신규_공종별내역서!G166</f>
        <v>51498</v>
      </c>
      <c r="K436" s="434">
        <f>신규_공종별내역서!H166</f>
        <v>154494</v>
      </c>
      <c r="L436" s="434">
        <f>신규_공종별내역서!I166</f>
        <v>0</v>
      </c>
      <c r="M436" s="434">
        <f>신규_공종별내역서!J166</f>
        <v>0</v>
      </c>
      <c r="N436" s="434">
        <f t="shared" si="9"/>
        <v>52527</v>
      </c>
      <c r="O436" s="434">
        <f>신규_공종별내역서!K166</f>
        <v>157581</v>
      </c>
      <c r="P436" s="684"/>
      <c r="Q436" s="684"/>
      <c r="R436" s="688"/>
    </row>
    <row r="437" spans="1:18" s="426" customFormat="1" ht="23.1" customHeight="1">
      <c r="A437" s="423"/>
      <c r="B437" s="423"/>
      <c r="C437" s="423"/>
      <c r="D437" s="691" t="str">
        <f>신규_공종별내역서!A167</f>
        <v>조명기구(TYPE"E")</v>
      </c>
      <c r="E437" s="691" t="str">
        <f>신규_공종별내역서!B167</f>
        <v>LED 직부등 25W</v>
      </c>
      <c r="F437" s="689" t="str">
        <f>신규_공종별내역서!C167</f>
        <v>개</v>
      </c>
      <c r="G437" s="433"/>
      <c r="H437" s="433"/>
      <c r="I437" s="433"/>
      <c r="J437" s="433"/>
      <c r="K437" s="433"/>
      <c r="L437" s="433"/>
      <c r="M437" s="433"/>
      <c r="N437" s="433">
        <f t="shared" ref="N437:N500" si="10">H437+J437</f>
        <v>0</v>
      </c>
      <c r="O437" s="433"/>
      <c r="P437" s="683">
        <f>G438-G437</f>
        <v>2</v>
      </c>
      <c r="Q437" s="683">
        <f>O438-O437</f>
        <v>66802</v>
      </c>
      <c r="R437" s="687" t="str">
        <f>신규_공종별내역서!L167</f>
        <v>신규호표 86</v>
      </c>
    </row>
    <row r="438" spans="1:18" ht="23.1" customHeight="1">
      <c r="A438" s="412"/>
      <c r="B438" s="412"/>
      <c r="C438" s="412"/>
      <c r="D438" s="692"/>
      <c r="E438" s="692"/>
      <c r="F438" s="690"/>
      <c r="G438" s="434">
        <f>신규_공종별내역서!D167</f>
        <v>2</v>
      </c>
      <c r="H438" s="434">
        <f>신규_공종별내역서!E167</f>
        <v>972</v>
      </c>
      <c r="I438" s="434">
        <f>신규_공종별내역서!F167</f>
        <v>1944</v>
      </c>
      <c r="J438" s="434">
        <f>신규_공종별내역서!G167</f>
        <v>32429</v>
      </c>
      <c r="K438" s="434">
        <f>신규_공종별내역서!H167</f>
        <v>64858</v>
      </c>
      <c r="L438" s="434">
        <f>신규_공종별내역서!I167</f>
        <v>0</v>
      </c>
      <c r="M438" s="434">
        <f>신규_공종별내역서!J167</f>
        <v>0</v>
      </c>
      <c r="N438" s="434">
        <f t="shared" si="10"/>
        <v>33401</v>
      </c>
      <c r="O438" s="434">
        <f>신규_공종별내역서!K167</f>
        <v>66802</v>
      </c>
      <c r="P438" s="684"/>
      <c r="Q438" s="684"/>
      <c r="R438" s="688"/>
    </row>
    <row r="439" spans="1:18" s="426" customFormat="1" ht="23.1" customHeight="1">
      <c r="A439" s="423"/>
      <c r="B439" s="423"/>
      <c r="C439" s="423"/>
      <c r="D439" s="691" t="str">
        <f>신규_공종별내역서!A168</f>
        <v>조명기구(TYPE"F")</v>
      </c>
      <c r="E439" s="691" t="str">
        <f>신규_공종별내역서!B168</f>
        <v>LED 스포트라이트 10W</v>
      </c>
      <c r="F439" s="689" t="str">
        <f>신규_공종별내역서!C168</f>
        <v>개</v>
      </c>
      <c r="G439" s="433"/>
      <c r="H439" s="433"/>
      <c r="I439" s="433"/>
      <c r="J439" s="433"/>
      <c r="K439" s="433"/>
      <c r="L439" s="433"/>
      <c r="M439" s="433"/>
      <c r="N439" s="433">
        <f t="shared" si="10"/>
        <v>0</v>
      </c>
      <c r="O439" s="433"/>
      <c r="P439" s="683">
        <f>G440-G439</f>
        <v>17</v>
      </c>
      <c r="Q439" s="683">
        <f>O440-O439</f>
        <v>481406</v>
      </c>
      <c r="R439" s="687" t="str">
        <f>신규_공종별내역서!L168</f>
        <v>신규호표 87</v>
      </c>
    </row>
    <row r="440" spans="1:18" ht="23.1" customHeight="1">
      <c r="A440" s="412"/>
      <c r="B440" s="412"/>
      <c r="C440" s="412"/>
      <c r="D440" s="692"/>
      <c r="E440" s="692"/>
      <c r="F440" s="690"/>
      <c r="G440" s="434">
        <f>신규_공종별내역서!D168</f>
        <v>17</v>
      </c>
      <c r="H440" s="434">
        <f>신규_공종별내역서!E168</f>
        <v>824</v>
      </c>
      <c r="I440" s="434">
        <f>신규_공종별내역서!F168</f>
        <v>14008</v>
      </c>
      <c r="J440" s="434">
        <f>신규_공종별내역서!G168</f>
        <v>27494</v>
      </c>
      <c r="K440" s="434">
        <f>신규_공종별내역서!H168</f>
        <v>467398</v>
      </c>
      <c r="L440" s="434">
        <f>신규_공종별내역서!I168</f>
        <v>0</v>
      </c>
      <c r="M440" s="434">
        <f>신규_공종별내역서!J168</f>
        <v>0</v>
      </c>
      <c r="N440" s="434">
        <f t="shared" si="10"/>
        <v>28318</v>
      </c>
      <c r="O440" s="434">
        <f>신규_공종별내역서!K168</f>
        <v>481406</v>
      </c>
      <c r="P440" s="684"/>
      <c r="Q440" s="684"/>
      <c r="R440" s="688"/>
    </row>
    <row r="441" spans="1:18" s="426" customFormat="1" ht="23.1" customHeight="1">
      <c r="A441" s="423"/>
      <c r="B441" s="423"/>
      <c r="C441" s="423"/>
      <c r="D441" s="691" t="str">
        <f>신규_공종별내역서!A169</f>
        <v>조명기구(TYPE"G")</v>
      </c>
      <c r="E441" s="691" t="str">
        <f>신규_공종별내역서!B169</f>
        <v>LED 다운라이트 10W</v>
      </c>
      <c r="F441" s="689" t="str">
        <f>신규_공종별내역서!C169</f>
        <v>개</v>
      </c>
      <c r="G441" s="433"/>
      <c r="H441" s="433"/>
      <c r="I441" s="433"/>
      <c r="J441" s="433"/>
      <c r="K441" s="433"/>
      <c r="L441" s="433"/>
      <c r="M441" s="433"/>
      <c r="N441" s="433">
        <f t="shared" si="10"/>
        <v>0</v>
      </c>
      <c r="O441" s="433"/>
      <c r="P441" s="683">
        <f>G442-G441</f>
        <v>14</v>
      </c>
      <c r="Q441" s="683">
        <f>O442-O441</f>
        <v>525224</v>
      </c>
      <c r="R441" s="687" t="str">
        <f>신규_공종별내역서!L169</f>
        <v>신규호표 88</v>
      </c>
    </row>
    <row r="442" spans="1:18" ht="23.1" customHeight="1">
      <c r="A442" s="412"/>
      <c r="B442" s="412"/>
      <c r="C442" s="412"/>
      <c r="D442" s="692"/>
      <c r="E442" s="692"/>
      <c r="F442" s="690"/>
      <c r="G442" s="434">
        <f>신규_공종별내역서!D169</f>
        <v>14</v>
      </c>
      <c r="H442" s="434">
        <f>신규_공종별내역서!E169</f>
        <v>1092</v>
      </c>
      <c r="I442" s="434">
        <f>신규_공종별내역서!F169</f>
        <v>15288</v>
      </c>
      <c r="J442" s="434">
        <f>신규_공종별내역서!G169</f>
        <v>36424</v>
      </c>
      <c r="K442" s="434">
        <f>신규_공종별내역서!H169</f>
        <v>509936</v>
      </c>
      <c r="L442" s="434">
        <f>신규_공종별내역서!I169</f>
        <v>0</v>
      </c>
      <c r="M442" s="434">
        <f>신규_공종별내역서!J169</f>
        <v>0</v>
      </c>
      <c r="N442" s="434">
        <f t="shared" si="10"/>
        <v>37516</v>
      </c>
      <c r="O442" s="434">
        <f>신규_공종별내역서!K169</f>
        <v>525224</v>
      </c>
      <c r="P442" s="684"/>
      <c r="Q442" s="684"/>
      <c r="R442" s="688"/>
    </row>
    <row r="443" spans="1:18" s="426" customFormat="1" ht="23.1" customHeight="1">
      <c r="A443" s="423"/>
      <c r="B443" s="423"/>
      <c r="C443" s="423"/>
      <c r="D443" s="691" t="str">
        <f>신규_공종별내역서!A170</f>
        <v>조명기구(TYPE"H")</v>
      </c>
      <c r="E443" s="691" t="str">
        <f>신규_공종별내역서!B170</f>
        <v>LED 벽부등 10W</v>
      </c>
      <c r="F443" s="689" t="str">
        <f>신규_공종별내역서!C170</f>
        <v>개</v>
      </c>
      <c r="G443" s="433"/>
      <c r="H443" s="433"/>
      <c r="I443" s="433"/>
      <c r="J443" s="433"/>
      <c r="K443" s="433"/>
      <c r="L443" s="433"/>
      <c r="M443" s="433"/>
      <c r="N443" s="433">
        <f t="shared" si="10"/>
        <v>0</v>
      </c>
      <c r="O443" s="433"/>
      <c r="P443" s="683">
        <f>G444-G443</f>
        <v>26</v>
      </c>
      <c r="Q443" s="683">
        <f>O444-O443</f>
        <v>736268</v>
      </c>
      <c r="R443" s="687" t="str">
        <f>신규_공종별내역서!L170</f>
        <v>신규호표 89</v>
      </c>
    </row>
    <row r="444" spans="1:18" ht="23.1" customHeight="1">
      <c r="A444" s="412"/>
      <c r="B444" s="412"/>
      <c r="C444" s="412"/>
      <c r="D444" s="692"/>
      <c r="E444" s="692"/>
      <c r="F444" s="690"/>
      <c r="G444" s="434">
        <f>신규_공종별내역서!D170</f>
        <v>26</v>
      </c>
      <c r="H444" s="434">
        <f>신규_공종별내역서!E170</f>
        <v>824</v>
      </c>
      <c r="I444" s="434">
        <f>신규_공종별내역서!F170</f>
        <v>21424</v>
      </c>
      <c r="J444" s="434">
        <f>신규_공종별내역서!G170</f>
        <v>27494</v>
      </c>
      <c r="K444" s="434">
        <f>신규_공종별내역서!H170</f>
        <v>714844</v>
      </c>
      <c r="L444" s="434">
        <f>신규_공종별내역서!I170</f>
        <v>0</v>
      </c>
      <c r="M444" s="434">
        <f>신규_공종별내역서!J170</f>
        <v>0</v>
      </c>
      <c r="N444" s="434">
        <f t="shared" si="10"/>
        <v>28318</v>
      </c>
      <c r="O444" s="434">
        <f>신규_공종별내역서!K170</f>
        <v>736268</v>
      </c>
      <c r="P444" s="684"/>
      <c r="Q444" s="684"/>
      <c r="R444" s="688"/>
    </row>
    <row r="445" spans="1:18" s="426" customFormat="1" ht="23.1" customHeight="1">
      <c r="A445" s="423"/>
      <c r="B445" s="423"/>
      <c r="C445" s="423"/>
      <c r="D445" s="691" t="str">
        <f>신규_공종별내역서!A171</f>
        <v>조명기구(TYPE"I")</v>
      </c>
      <c r="E445" s="691" t="str">
        <f>신규_공종별내역서!B171</f>
        <v>LED 벽부등 15W</v>
      </c>
      <c r="F445" s="689" t="str">
        <f>신규_공종별내역서!C171</f>
        <v>개</v>
      </c>
      <c r="G445" s="433"/>
      <c r="H445" s="433"/>
      <c r="I445" s="433"/>
      <c r="J445" s="433"/>
      <c r="K445" s="433"/>
      <c r="L445" s="433"/>
      <c r="M445" s="433"/>
      <c r="N445" s="433">
        <f t="shared" si="10"/>
        <v>0</v>
      </c>
      <c r="O445" s="433"/>
      <c r="P445" s="683">
        <f>G446-G445</f>
        <v>4</v>
      </c>
      <c r="Q445" s="683">
        <f>O446-O445</f>
        <v>113272</v>
      </c>
      <c r="R445" s="687" t="str">
        <f>신규_공종별내역서!L171</f>
        <v>신규호표 90</v>
      </c>
    </row>
    <row r="446" spans="1:18" ht="23.1" customHeight="1">
      <c r="A446" s="412"/>
      <c r="B446" s="412"/>
      <c r="C446" s="412"/>
      <c r="D446" s="692"/>
      <c r="E446" s="692"/>
      <c r="F446" s="690"/>
      <c r="G446" s="434">
        <f>신규_공종별내역서!D171</f>
        <v>4</v>
      </c>
      <c r="H446" s="434">
        <f>신규_공종별내역서!E171</f>
        <v>824</v>
      </c>
      <c r="I446" s="434">
        <f>신규_공종별내역서!F171</f>
        <v>3296</v>
      </c>
      <c r="J446" s="434">
        <f>신규_공종별내역서!G171</f>
        <v>27494</v>
      </c>
      <c r="K446" s="434">
        <f>신규_공종별내역서!H171</f>
        <v>109976</v>
      </c>
      <c r="L446" s="434">
        <f>신규_공종별내역서!I171</f>
        <v>0</v>
      </c>
      <c r="M446" s="434">
        <f>신규_공종별내역서!J171</f>
        <v>0</v>
      </c>
      <c r="N446" s="434">
        <f t="shared" si="10"/>
        <v>28318</v>
      </c>
      <c r="O446" s="434">
        <f>신규_공종별내역서!K171</f>
        <v>113272</v>
      </c>
      <c r="P446" s="684"/>
      <c r="Q446" s="684"/>
      <c r="R446" s="688"/>
    </row>
    <row r="447" spans="1:18" s="426" customFormat="1" ht="23.1" customHeight="1">
      <c r="D447" s="437"/>
      <c r="E447" s="437"/>
      <c r="F447" s="438"/>
      <c r="G447" s="439"/>
      <c r="H447" s="439"/>
      <c r="I447" s="439"/>
      <c r="J447" s="439"/>
      <c r="K447" s="439"/>
      <c r="L447" s="439"/>
      <c r="M447" s="439"/>
      <c r="N447" s="439">
        <f t="shared" si="10"/>
        <v>0</v>
      </c>
      <c r="O447" s="439"/>
      <c r="P447" s="439"/>
      <c r="Q447" s="439"/>
      <c r="R447" s="424"/>
    </row>
    <row r="448" spans="1:18" ht="23.1" customHeight="1">
      <c r="D448" s="440"/>
      <c r="E448" s="440"/>
      <c r="F448" s="441"/>
      <c r="G448" s="442"/>
      <c r="H448" s="442"/>
      <c r="I448" s="442"/>
      <c r="J448" s="442"/>
      <c r="K448" s="442"/>
      <c r="L448" s="442"/>
      <c r="M448" s="442"/>
      <c r="N448" s="442">
        <f t="shared" si="10"/>
        <v>0</v>
      </c>
      <c r="O448" s="442"/>
      <c r="P448" s="442"/>
      <c r="Q448" s="442"/>
      <c r="R448" s="427"/>
    </row>
    <row r="449" spans="1:32" s="426" customFormat="1" ht="23.1" customHeight="1">
      <c r="D449" s="437"/>
      <c r="E449" s="437"/>
      <c r="F449" s="438"/>
      <c r="G449" s="439"/>
      <c r="H449" s="439"/>
      <c r="I449" s="439"/>
      <c r="J449" s="439"/>
      <c r="K449" s="439"/>
      <c r="L449" s="439"/>
      <c r="M449" s="439"/>
      <c r="N449" s="439">
        <f t="shared" si="10"/>
        <v>0</v>
      </c>
      <c r="O449" s="439"/>
      <c r="P449" s="439"/>
      <c r="Q449" s="439"/>
      <c r="R449" s="424"/>
    </row>
    <row r="450" spans="1:32" ht="23.1" customHeight="1">
      <c r="D450" s="440"/>
      <c r="E450" s="440"/>
      <c r="F450" s="441"/>
      <c r="G450" s="442"/>
      <c r="H450" s="442"/>
      <c r="I450" s="442"/>
      <c r="J450" s="442"/>
      <c r="K450" s="442"/>
      <c r="L450" s="442"/>
      <c r="M450" s="442"/>
      <c r="N450" s="442">
        <f t="shared" si="10"/>
        <v>0</v>
      </c>
      <c r="O450" s="442"/>
      <c r="P450" s="442"/>
      <c r="Q450" s="442"/>
      <c r="R450" s="427"/>
    </row>
    <row r="451" spans="1:32" s="426" customFormat="1" ht="23.1" customHeight="1">
      <c r="D451" s="437"/>
      <c r="E451" s="437"/>
      <c r="F451" s="438"/>
      <c r="G451" s="439"/>
      <c r="H451" s="439"/>
      <c r="I451" s="439"/>
      <c r="J451" s="439"/>
      <c r="K451" s="439"/>
      <c r="L451" s="439"/>
      <c r="M451" s="439"/>
      <c r="N451" s="439">
        <f t="shared" si="10"/>
        <v>0</v>
      </c>
      <c r="O451" s="439"/>
      <c r="P451" s="439"/>
      <c r="Q451" s="439"/>
      <c r="R451" s="424"/>
      <c r="AF451" s="426">
        <v>26406272</v>
      </c>
    </row>
    <row r="452" spans="1:32" ht="23.1" customHeight="1">
      <c r="D452" s="440"/>
      <c r="E452" s="440"/>
      <c r="F452" s="441"/>
      <c r="G452" s="442"/>
      <c r="H452" s="442"/>
      <c r="I452" s="442"/>
      <c r="J452" s="442"/>
      <c r="K452" s="442"/>
      <c r="L452" s="442"/>
      <c r="M452" s="442"/>
      <c r="N452" s="442">
        <f t="shared" si="10"/>
        <v>0</v>
      </c>
      <c r="O452" s="442"/>
      <c r="P452" s="442"/>
      <c r="Q452" s="442"/>
      <c r="R452" s="427"/>
      <c r="AF452" s="422">
        <f ca="1">TRUNC([2]!sumcol(0,AF350:AF400))</f>
        <v>0</v>
      </c>
    </row>
    <row r="453" spans="1:32" s="426" customFormat="1" ht="23.1" customHeight="1">
      <c r="A453" s="423"/>
      <c r="B453" s="423" t="s">
        <v>715</v>
      </c>
      <c r="C453" s="423"/>
      <c r="D453" s="436" t="s">
        <v>216</v>
      </c>
      <c r="E453" s="436"/>
      <c r="F453" s="429"/>
      <c r="G453" s="433"/>
      <c r="H453" s="433"/>
      <c r="I453" s="433">
        <f>I351+I353+I355+I357+I359+I361+I363+I365+I367+I369+I371+I373+I375+I377+I379+I381+I383+I385+I387+I389+I391+I393+I395+I397+I399+I401+I403+I405+I407+I409+I411+I413+I415+I417+I419+I421+I423+I425+I427+I429+I431+I433+I435+I437+I439+I441+I443+I445+I447+I449+I451</f>
        <v>3244045</v>
      </c>
      <c r="J453" s="433"/>
      <c r="K453" s="433">
        <f>K351+K353+K355+K357+K359+K361+K363+K365+K367+K369+K371+K373+K375+K377+K379+K381+K383+K385+K387+K389+K391+K393+K395+K397+K399+K401+K403+K405+K407+K409+K411+K413+K415+K417+K419+K421+K423+K425+K427+K429+K431+K433+K435+K437+K439+K441+K443+K445+K447+K449+K451</f>
        <v>26406118</v>
      </c>
      <c r="L453" s="433"/>
      <c r="M453" s="433">
        <f>M351+M353+M355+M357+M359+M361+M363+M365+M367+M369+M371+M373+M375+M377+M379+M381+M383+M385+M387+M389+M391+M393+M395+M397+M399+M401+M403+M405+M407+M409+M411+M413+M415+M417+M419+M421+M423+M425+M427+M429+M431+M433+M435+M437+M439+M441+M443+M445+M447+M449+M451</f>
        <v>38536</v>
      </c>
      <c r="N453" s="433">
        <f t="shared" si="10"/>
        <v>0</v>
      </c>
      <c r="O453" s="433">
        <f>O351+O353+O355+O357+O359+O361+O363+O365+O367+O369+O371+O373+O375+O377+O379+O381+O383+O385+O387+O389+O391+O393+O395+O397+O399+O401+O403+O405+O407+O409+O411+O413+O415+O417+O419+O421+O423+O425+O427+O429+O431+O433+O435+O437+O439+O441+O443+O445+O447+O449+O451</f>
        <v>29688699</v>
      </c>
      <c r="P453" s="433"/>
      <c r="Q453" s="683">
        <f>O454-O453</f>
        <v>-8501340</v>
      </c>
      <c r="R453" s="424"/>
    </row>
    <row r="454" spans="1:32" ht="23.1" customHeight="1">
      <c r="A454" s="412"/>
      <c r="B454" s="412" t="s">
        <v>715</v>
      </c>
      <c r="C454" s="412"/>
      <c r="D454" s="435" t="s">
        <v>216</v>
      </c>
      <c r="E454" s="435"/>
      <c r="F454" s="428"/>
      <c r="G454" s="434"/>
      <c r="H454" s="434"/>
      <c r="I454" s="434">
        <f>I352+I354+I356+I358+I360+I362+I364+I366+I368+I370+I372+I374+I376+I378+I380+I382+I384+I386+I388+I390+I392+I394+I396+I398+I400+I402+I404+I406+I408+I410+I412+I414+I416+I418+I420+I422+I424+I426+I428+I430+I432+I434+I436+I438+I440+I442+I444+I446+I448+I450+I452</f>
        <v>1914993</v>
      </c>
      <c r="J454" s="434"/>
      <c r="K454" s="434">
        <f>K352+K354+K356+K358+K360+K362+K364+K366+K368+K370+K372+K374+K376+K378+K380+K382+K384+K386+K388+K390+K392+K394+K396+K398+K400+K402+K404+K406+K408+K410+K412+K414+K416+K418+K420+K422+K424+K426+K428+K430+K432+K434+K436+K438+K440+K442+K444+K446+K448+K450+K452</f>
        <v>19272366</v>
      </c>
      <c r="L454" s="434"/>
      <c r="M454" s="434">
        <f>M352+M354+M356+M358+M360+M362+M364+M366+M368+M370+M372+M374+M376+M378+M380+M382+M384+M386+M388+M390+M392+M394+M396+M398+M400+M402+M404+M406+M408+M410+M412+M414+M416+M418+M420+M422+M424+M426+M428+M430+M432+M434+M436+M438+M440+M442+M444+M446+M448+M450+M452</f>
        <v>0</v>
      </c>
      <c r="N454" s="434">
        <f t="shared" si="10"/>
        <v>0</v>
      </c>
      <c r="O454" s="434">
        <f>O352+O354+O356+O358+O360+O362+O364+O366+O368+O370+O372+O374+O376+O378+O380+O382+O384+O386+O388+O390+O392+O394+O396+O398+O400+O402+O404+O406+O408+O410+O412+O414+O416+O418+O420+O422+O424+O426+O428+O430+O432+O434+O436+O438+O440+O442+O444+O446+O448+O450+O452</f>
        <v>21187359</v>
      </c>
      <c r="P454" s="434"/>
      <c r="Q454" s="684"/>
      <c r="R454" s="427"/>
    </row>
    <row r="455" spans="1:32" ht="23.1" customHeight="1">
      <c r="A455" s="412"/>
      <c r="B455" s="412" t="s">
        <v>208</v>
      </c>
      <c r="C455" s="412"/>
      <c r="D455" s="417" t="s">
        <v>932</v>
      </c>
      <c r="E455" s="418"/>
      <c r="F455" s="419"/>
      <c r="G455" s="420"/>
      <c r="H455" s="420"/>
      <c r="I455" s="420"/>
      <c r="J455" s="420"/>
      <c r="K455" s="420"/>
      <c r="L455" s="420"/>
      <c r="M455" s="420"/>
      <c r="N455" s="420">
        <f t="shared" si="10"/>
        <v>0</v>
      </c>
      <c r="O455" s="420"/>
      <c r="P455" s="420"/>
      <c r="Q455" s="420"/>
      <c r="R455" s="537"/>
    </row>
    <row r="456" spans="1:32" s="426" customFormat="1" ht="23.1" customHeight="1">
      <c r="A456" s="423" t="s">
        <v>856</v>
      </c>
      <c r="B456" s="423" t="s">
        <v>933</v>
      </c>
      <c r="C456" s="423" t="s">
        <v>856</v>
      </c>
      <c r="D456" s="685" t="s">
        <v>858</v>
      </c>
      <c r="E456" s="685" t="s">
        <v>834</v>
      </c>
      <c r="F456" s="687" t="s">
        <v>592</v>
      </c>
      <c r="G456" s="433">
        <v>80</v>
      </c>
      <c r="H456" s="433">
        <v>3068</v>
      </c>
      <c r="I456" s="433">
        <v>245440</v>
      </c>
      <c r="J456" s="433">
        <v>30261</v>
      </c>
      <c r="K456" s="433">
        <v>2420880</v>
      </c>
      <c r="L456" s="433">
        <v>0</v>
      </c>
      <c r="M456" s="433">
        <v>0</v>
      </c>
      <c r="N456" s="433">
        <v>33329</v>
      </c>
      <c r="O456" s="433">
        <v>2666320</v>
      </c>
      <c r="P456" s="683">
        <f>G457-G456</f>
        <v>-80</v>
      </c>
      <c r="Q456" s="683">
        <f>O457-O456</f>
        <v>-2666320</v>
      </c>
      <c r="R456" s="687" t="s">
        <v>859</v>
      </c>
      <c r="AC456" s="426">
        <v>245520</v>
      </c>
      <c r="AD456" s="426">
        <v>245520</v>
      </c>
      <c r="AF456" s="426">
        <v>2420880</v>
      </c>
    </row>
    <row r="457" spans="1:32" ht="23.1" customHeight="1">
      <c r="A457" s="412" t="s">
        <v>934</v>
      </c>
      <c r="B457" s="412" t="s">
        <v>231</v>
      </c>
      <c r="C457" s="412" t="s">
        <v>934</v>
      </c>
      <c r="D457" s="686"/>
      <c r="E457" s="686"/>
      <c r="F457" s="688"/>
      <c r="G457" s="434"/>
      <c r="H457" s="434"/>
      <c r="I457" s="434"/>
      <c r="J457" s="434"/>
      <c r="K457" s="434"/>
      <c r="L457" s="434"/>
      <c r="M457" s="434"/>
      <c r="N457" s="434"/>
      <c r="O457" s="434"/>
      <c r="P457" s="684"/>
      <c r="Q457" s="684"/>
      <c r="R457" s="688"/>
      <c r="AC457" s="422">
        <f>I457</f>
        <v>0</v>
      </c>
      <c r="AD457" s="422">
        <f>G457*H457</f>
        <v>0</v>
      </c>
      <c r="AF457" s="422">
        <f>K457</f>
        <v>0</v>
      </c>
    </row>
    <row r="458" spans="1:32" s="426" customFormat="1" ht="23.1" customHeight="1">
      <c r="A458" s="423" t="s">
        <v>837</v>
      </c>
      <c r="B458" s="423" t="s">
        <v>933</v>
      </c>
      <c r="C458" s="423" t="s">
        <v>837</v>
      </c>
      <c r="D458" s="685" t="s">
        <v>838</v>
      </c>
      <c r="E458" s="685" t="s">
        <v>839</v>
      </c>
      <c r="F458" s="687" t="s">
        <v>592</v>
      </c>
      <c r="G458" s="433">
        <v>224</v>
      </c>
      <c r="H458" s="433">
        <v>528</v>
      </c>
      <c r="I458" s="433">
        <v>118272</v>
      </c>
      <c r="J458" s="433">
        <v>11004</v>
      </c>
      <c r="K458" s="433">
        <v>2464896</v>
      </c>
      <c r="L458" s="433">
        <v>0</v>
      </c>
      <c r="M458" s="433">
        <v>0</v>
      </c>
      <c r="N458" s="433">
        <v>11532</v>
      </c>
      <c r="O458" s="433">
        <v>2583168</v>
      </c>
      <c r="P458" s="683">
        <f>G459-G458</f>
        <v>-224</v>
      </c>
      <c r="Q458" s="683">
        <f>O459-O458</f>
        <v>-2583168</v>
      </c>
      <c r="R458" s="687" t="s">
        <v>840</v>
      </c>
      <c r="AB458" s="426">
        <v>118272</v>
      </c>
      <c r="AD458" s="426">
        <v>118272</v>
      </c>
      <c r="AF458" s="426">
        <v>2464896</v>
      </c>
    </row>
    <row r="459" spans="1:32" ht="23.1" customHeight="1">
      <c r="A459" s="412" t="s">
        <v>841</v>
      </c>
      <c r="B459" s="412" t="s">
        <v>231</v>
      </c>
      <c r="C459" s="412" t="s">
        <v>841</v>
      </c>
      <c r="D459" s="686"/>
      <c r="E459" s="686"/>
      <c r="F459" s="688"/>
      <c r="G459" s="434"/>
      <c r="H459" s="434"/>
      <c r="I459" s="434"/>
      <c r="J459" s="434"/>
      <c r="K459" s="434"/>
      <c r="L459" s="434"/>
      <c r="M459" s="434"/>
      <c r="N459" s="434"/>
      <c r="O459" s="434"/>
      <c r="P459" s="684"/>
      <c r="Q459" s="684"/>
      <c r="R459" s="688"/>
      <c r="AB459" s="422">
        <f>I459</f>
        <v>0</v>
      </c>
      <c r="AD459" s="422">
        <f>G459*H459</f>
        <v>0</v>
      </c>
      <c r="AF459" s="422">
        <f>K459</f>
        <v>0</v>
      </c>
    </row>
    <row r="460" spans="1:32" s="426" customFormat="1" ht="23.1" customHeight="1">
      <c r="A460" s="423" t="s">
        <v>860</v>
      </c>
      <c r="B460" s="423" t="s">
        <v>933</v>
      </c>
      <c r="C460" s="423" t="s">
        <v>860</v>
      </c>
      <c r="D460" s="685" t="s">
        <v>838</v>
      </c>
      <c r="E460" s="685" t="s">
        <v>861</v>
      </c>
      <c r="F460" s="687" t="s">
        <v>592</v>
      </c>
      <c r="G460" s="433">
        <v>17</v>
      </c>
      <c r="H460" s="433">
        <v>676</v>
      </c>
      <c r="I460" s="433">
        <v>11492</v>
      </c>
      <c r="J460" s="433">
        <v>14671</v>
      </c>
      <c r="K460" s="433">
        <v>249407</v>
      </c>
      <c r="L460" s="433">
        <v>0</v>
      </c>
      <c r="M460" s="433">
        <v>0</v>
      </c>
      <c r="N460" s="433">
        <v>15347</v>
      </c>
      <c r="O460" s="433">
        <v>260899</v>
      </c>
      <c r="P460" s="683">
        <f>G461-G460</f>
        <v>-17</v>
      </c>
      <c r="Q460" s="683">
        <f>O461-O460</f>
        <v>-260899</v>
      </c>
      <c r="R460" s="687" t="s">
        <v>862</v>
      </c>
      <c r="AB460" s="426">
        <v>11492</v>
      </c>
      <c r="AD460" s="426">
        <v>11492</v>
      </c>
      <c r="AF460" s="426">
        <v>249424</v>
      </c>
    </row>
    <row r="461" spans="1:32" ht="23.1" customHeight="1">
      <c r="A461" s="412" t="s">
        <v>935</v>
      </c>
      <c r="B461" s="412" t="s">
        <v>231</v>
      </c>
      <c r="C461" s="412" t="s">
        <v>935</v>
      </c>
      <c r="D461" s="686"/>
      <c r="E461" s="686"/>
      <c r="F461" s="688"/>
      <c r="G461" s="434"/>
      <c r="H461" s="434"/>
      <c r="I461" s="434"/>
      <c r="J461" s="434"/>
      <c r="K461" s="434"/>
      <c r="L461" s="434"/>
      <c r="M461" s="434"/>
      <c r="N461" s="434"/>
      <c r="O461" s="434"/>
      <c r="P461" s="684"/>
      <c r="Q461" s="684"/>
      <c r="R461" s="688"/>
      <c r="AB461" s="422">
        <f>I461</f>
        <v>0</v>
      </c>
      <c r="AD461" s="422">
        <f>G461*H461</f>
        <v>0</v>
      </c>
      <c r="AF461" s="422">
        <f>K461</f>
        <v>0</v>
      </c>
    </row>
    <row r="462" spans="1:32" s="426" customFormat="1" ht="23.1" customHeight="1">
      <c r="A462" s="423" t="s">
        <v>874</v>
      </c>
      <c r="B462" s="423" t="s">
        <v>933</v>
      </c>
      <c r="C462" s="423" t="s">
        <v>874</v>
      </c>
      <c r="D462" s="685" t="s">
        <v>875</v>
      </c>
      <c r="E462" s="685" t="s">
        <v>876</v>
      </c>
      <c r="F462" s="687" t="s">
        <v>617</v>
      </c>
      <c r="G462" s="433">
        <v>8</v>
      </c>
      <c r="H462" s="433">
        <v>1432</v>
      </c>
      <c r="I462" s="433">
        <v>11456</v>
      </c>
      <c r="J462" s="433">
        <v>45850</v>
      </c>
      <c r="K462" s="433">
        <v>366800</v>
      </c>
      <c r="L462" s="433">
        <v>0</v>
      </c>
      <c r="M462" s="433">
        <v>0</v>
      </c>
      <c r="N462" s="433">
        <v>47282</v>
      </c>
      <c r="O462" s="433">
        <v>378256</v>
      </c>
      <c r="P462" s="683">
        <f>G463-G462</f>
        <v>-8</v>
      </c>
      <c r="Q462" s="683">
        <f>O463-O462</f>
        <v>-378256</v>
      </c>
      <c r="R462" s="687" t="s">
        <v>877</v>
      </c>
      <c r="AF462" s="426">
        <v>366800</v>
      </c>
    </row>
    <row r="463" spans="1:32" ht="23.1" customHeight="1">
      <c r="A463" s="412" t="s">
        <v>936</v>
      </c>
      <c r="B463" s="412" t="s">
        <v>231</v>
      </c>
      <c r="C463" s="412" t="s">
        <v>936</v>
      </c>
      <c r="D463" s="686"/>
      <c r="E463" s="686"/>
      <c r="F463" s="688"/>
      <c r="G463" s="434"/>
      <c r="H463" s="434"/>
      <c r="I463" s="434"/>
      <c r="J463" s="434"/>
      <c r="K463" s="434"/>
      <c r="L463" s="434"/>
      <c r="M463" s="434"/>
      <c r="N463" s="434"/>
      <c r="O463" s="434"/>
      <c r="P463" s="684"/>
      <c r="Q463" s="684"/>
      <c r="R463" s="688"/>
      <c r="AF463" s="422">
        <f>K463</f>
        <v>0</v>
      </c>
    </row>
    <row r="464" spans="1:32" s="426" customFormat="1" ht="23.1" customHeight="1">
      <c r="A464" s="423" t="s">
        <v>878</v>
      </c>
      <c r="B464" s="423" t="s">
        <v>933</v>
      </c>
      <c r="C464" s="423" t="s">
        <v>878</v>
      </c>
      <c r="D464" s="685" t="s">
        <v>875</v>
      </c>
      <c r="E464" s="685" t="s">
        <v>879</v>
      </c>
      <c r="F464" s="687" t="s">
        <v>617</v>
      </c>
      <c r="G464" s="433">
        <v>20</v>
      </c>
      <c r="H464" s="433">
        <v>1452</v>
      </c>
      <c r="I464" s="433">
        <v>29040</v>
      </c>
      <c r="J464" s="433">
        <v>45850</v>
      </c>
      <c r="K464" s="433">
        <v>917000</v>
      </c>
      <c r="L464" s="433">
        <v>0</v>
      </c>
      <c r="M464" s="433">
        <v>0</v>
      </c>
      <c r="N464" s="433">
        <v>47302</v>
      </c>
      <c r="O464" s="433">
        <v>946040</v>
      </c>
      <c r="P464" s="683">
        <f>G465-G464</f>
        <v>-20</v>
      </c>
      <c r="Q464" s="683">
        <f>O465-O464</f>
        <v>-946040</v>
      </c>
      <c r="R464" s="687" t="s">
        <v>880</v>
      </c>
      <c r="AF464" s="426">
        <v>917000</v>
      </c>
    </row>
    <row r="465" spans="1:32" ht="23.1" customHeight="1">
      <c r="A465" s="412" t="s">
        <v>937</v>
      </c>
      <c r="B465" s="412" t="s">
        <v>231</v>
      </c>
      <c r="C465" s="412" t="s">
        <v>937</v>
      </c>
      <c r="D465" s="686"/>
      <c r="E465" s="686"/>
      <c r="F465" s="688"/>
      <c r="G465" s="434"/>
      <c r="H465" s="434"/>
      <c r="I465" s="434"/>
      <c r="J465" s="434"/>
      <c r="K465" s="434"/>
      <c r="L465" s="434"/>
      <c r="M465" s="434"/>
      <c r="N465" s="434"/>
      <c r="O465" s="434"/>
      <c r="P465" s="684"/>
      <c r="Q465" s="684"/>
      <c r="R465" s="688"/>
      <c r="AF465" s="422">
        <f>K465</f>
        <v>0</v>
      </c>
    </row>
    <row r="466" spans="1:32" s="426" customFormat="1" ht="23.1" customHeight="1">
      <c r="A466" s="423" t="s">
        <v>888</v>
      </c>
      <c r="B466" s="423" t="s">
        <v>933</v>
      </c>
      <c r="C466" s="423" t="s">
        <v>888</v>
      </c>
      <c r="D466" s="685" t="s">
        <v>882</v>
      </c>
      <c r="E466" s="685" t="s">
        <v>889</v>
      </c>
      <c r="F466" s="687" t="s">
        <v>617</v>
      </c>
      <c r="G466" s="433">
        <v>20</v>
      </c>
      <c r="H466" s="433">
        <v>250</v>
      </c>
      <c r="I466" s="433">
        <v>5000</v>
      </c>
      <c r="J466" s="433">
        <v>0</v>
      </c>
      <c r="K466" s="433">
        <v>0</v>
      </c>
      <c r="L466" s="433">
        <v>0</v>
      </c>
      <c r="M466" s="433">
        <v>0</v>
      </c>
      <c r="N466" s="433">
        <v>250</v>
      </c>
      <c r="O466" s="433">
        <v>5000</v>
      </c>
      <c r="P466" s="683">
        <f>G467-G466</f>
        <v>-20</v>
      </c>
      <c r="Q466" s="683">
        <f>O467-O466</f>
        <v>-5000</v>
      </c>
      <c r="R466" s="687" t="s">
        <v>890</v>
      </c>
    </row>
    <row r="467" spans="1:32" ht="23.1" customHeight="1">
      <c r="A467" s="412" t="s">
        <v>938</v>
      </c>
      <c r="B467" s="412" t="s">
        <v>231</v>
      </c>
      <c r="C467" s="412" t="s">
        <v>938</v>
      </c>
      <c r="D467" s="686"/>
      <c r="E467" s="686"/>
      <c r="F467" s="688"/>
      <c r="G467" s="434"/>
      <c r="H467" s="434"/>
      <c r="I467" s="434"/>
      <c r="J467" s="434"/>
      <c r="K467" s="434"/>
      <c r="L467" s="434"/>
      <c r="M467" s="434"/>
      <c r="N467" s="434"/>
      <c r="O467" s="434"/>
      <c r="P467" s="684"/>
      <c r="Q467" s="684"/>
      <c r="R467" s="688"/>
    </row>
    <row r="468" spans="1:32" s="426" customFormat="1" ht="23.1" customHeight="1">
      <c r="A468" s="423" t="s">
        <v>842</v>
      </c>
      <c r="B468" s="423" t="s">
        <v>933</v>
      </c>
      <c r="C468" s="423" t="s">
        <v>842</v>
      </c>
      <c r="D468" s="685" t="s">
        <v>843</v>
      </c>
      <c r="E468" s="685" t="s">
        <v>844</v>
      </c>
      <c r="F468" s="687" t="s">
        <v>679</v>
      </c>
      <c r="G468" s="433">
        <v>5</v>
      </c>
      <c r="H468" s="433">
        <v>2003</v>
      </c>
      <c r="I468" s="433">
        <v>10015</v>
      </c>
      <c r="J468" s="433">
        <v>9169</v>
      </c>
      <c r="K468" s="433">
        <v>45845</v>
      </c>
      <c r="L468" s="433">
        <v>0</v>
      </c>
      <c r="M468" s="433">
        <v>0</v>
      </c>
      <c r="N468" s="433">
        <v>11172</v>
      </c>
      <c r="O468" s="433">
        <v>55860</v>
      </c>
      <c r="P468" s="683">
        <f>G469-G468</f>
        <v>-5</v>
      </c>
      <c r="Q468" s="683">
        <f>O469-O468</f>
        <v>-55860</v>
      </c>
      <c r="R468" s="687" t="s">
        <v>845</v>
      </c>
      <c r="AF468" s="426">
        <v>45850</v>
      </c>
    </row>
    <row r="469" spans="1:32" ht="23.1" customHeight="1">
      <c r="A469" s="412" t="s">
        <v>846</v>
      </c>
      <c r="B469" s="412" t="s">
        <v>231</v>
      </c>
      <c r="C469" s="412" t="s">
        <v>846</v>
      </c>
      <c r="D469" s="686"/>
      <c r="E469" s="686"/>
      <c r="F469" s="688"/>
      <c r="G469" s="434"/>
      <c r="H469" s="434"/>
      <c r="I469" s="434"/>
      <c r="J469" s="434"/>
      <c r="K469" s="434"/>
      <c r="L469" s="434"/>
      <c r="M469" s="434"/>
      <c r="N469" s="434"/>
      <c r="O469" s="434"/>
      <c r="P469" s="684"/>
      <c r="Q469" s="684"/>
      <c r="R469" s="688"/>
      <c r="AF469" s="422">
        <f>K469</f>
        <v>0</v>
      </c>
    </row>
    <row r="470" spans="1:32" s="426" customFormat="1" ht="23.1" customHeight="1">
      <c r="A470" s="423" t="s">
        <v>847</v>
      </c>
      <c r="B470" s="423" t="s">
        <v>933</v>
      </c>
      <c r="C470" s="423" t="s">
        <v>847</v>
      </c>
      <c r="D470" s="685" t="s">
        <v>848</v>
      </c>
      <c r="E470" s="685" t="s">
        <v>849</v>
      </c>
      <c r="F470" s="687" t="s">
        <v>592</v>
      </c>
      <c r="G470" s="433">
        <v>1058</v>
      </c>
      <c r="H470" s="433">
        <v>676</v>
      </c>
      <c r="I470" s="433">
        <v>715208</v>
      </c>
      <c r="J470" s="433">
        <v>2292</v>
      </c>
      <c r="K470" s="433">
        <v>2424936</v>
      </c>
      <c r="L470" s="433">
        <v>0</v>
      </c>
      <c r="M470" s="433">
        <v>0</v>
      </c>
      <c r="N470" s="433">
        <v>2968</v>
      </c>
      <c r="O470" s="433">
        <v>3140144</v>
      </c>
      <c r="P470" s="683">
        <f>G471-G470</f>
        <v>-1058</v>
      </c>
      <c r="Q470" s="683">
        <f>O471-O470</f>
        <v>-3140144</v>
      </c>
      <c r="R470" s="687" t="s">
        <v>850</v>
      </c>
      <c r="AD470" s="426">
        <v>716266</v>
      </c>
      <c r="AF470" s="426">
        <v>2424936</v>
      </c>
    </row>
    <row r="471" spans="1:32" ht="23.1" customHeight="1">
      <c r="A471" s="412" t="s">
        <v>851</v>
      </c>
      <c r="B471" s="412" t="s">
        <v>231</v>
      </c>
      <c r="C471" s="412" t="s">
        <v>851</v>
      </c>
      <c r="D471" s="686"/>
      <c r="E471" s="686"/>
      <c r="F471" s="688"/>
      <c r="G471" s="434"/>
      <c r="H471" s="434"/>
      <c r="I471" s="434"/>
      <c r="J471" s="434"/>
      <c r="K471" s="434"/>
      <c r="L471" s="434"/>
      <c r="M471" s="434"/>
      <c r="N471" s="434"/>
      <c r="O471" s="434"/>
      <c r="P471" s="684"/>
      <c r="Q471" s="684"/>
      <c r="R471" s="688"/>
      <c r="AD471" s="422">
        <f>G471*H471</f>
        <v>0</v>
      </c>
      <c r="AF471" s="422">
        <f>K471</f>
        <v>0</v>
      </c>
    </row>
    <row r="472" spans="1:32" s="426" customFormat="1" ht="23.1" customHeight="1">
      <c r="A472" s="423" t="s">
        <v>939</v>
      </c>
      <c r="B472" s="423" t="s">
        <v>933</v>
      </c>
      <c r="C472" s="423" t="s">
        <v>939</v>
      </c>
      <c r="D472" s="685" t="s">
        <v>940</v>
      </c>
      <c r="E472" s="685" t="s">
        <v>941</v>
      </c>
      <c r="F472" s="687" t="s">
        <v>617</v>
      </c>
      <c r="G472" s="433">
        <v>13</v>
      </c>
      <c r="H472" s="433">
        <v>1557</v>
      </c>
      <c r="I472" s="433">
        <v>20241</v>
      </c>
      <c r="J472" s="433">
        <v>18339</v>
      </c>
      <c r="K472" s="433">
        <v>238407</v>
      </c>
      <c r="L472" s="433">
        <v>0</v>
      </c>
      <c r="M472" s="433">
        <v>0</v>
      </c>
      <c r="N472" s="433">
        <v>19896</v>
      </c>
      <c r="O472" s="433">
        <v>258648</v>
      </c>
      <c r="P472" s="683">
        <f>G473-G472</f>
        <v>-13</v>
      </c>
      <c r="Q472" s="683">
        <f>O473-O472</f>
        <v>-258648</v>
      </c>
      <c r="R472" s="687" t="s">
        <v>942</v>
      </c>
      <c r="AF472" s="426">
        <v>238420</v>
      </c>
    </row>
    <row r="473" spans="1:32" ht="23.1" customHeight="1">
      <c r="A473" s="412" t="s">
        <v>943</v>
      </c>
      <c r="B473" s="412" t="s">
        <v>231</v>
      </c>
      <c r="C473" s="412" t="s">
        <v>943</v>
      </c>
      <c r="D473" s="686"/>
      <c r="E473" s="686"/>
      <c r="F473" s="688"/>
      <c r="G473" s="434"/>
      <c r="H473" s="434"/>
      <c r="I473" s="434"/>
      <c r="J473" s="434"/>
      <c r="K473" s="434"/>
      <c r="L473" s="434"/>
      <c r="M473" s="434"/>
      <c r="N473" s="434"/>
      <c r="O473" s="434"/>
      <c r="P473" s="684"/>
      <c r="Q473" s="684"/>
      <c r="R473" s="688"/>
      <c r="AF473" s="422">
        <f>K473</f>
        <v>0</v>
      </c>
    </row>
    <row r="474" spans="1:32" s="426" customFormat="1" ht="23.1" customHeight="1">
      <c r="A474" s="423" t="s">
        <v>944</v>
      </c>
      <c r="B474" s="423" t="s">
        <v>933</v>
      </c>
      <c r="C474" s="423" t="s">
        <v>944</v>
      </c>
      <c r="D474" s="685" t="s">
        <v>945</v>
      </c>
      <c r="E474" s="685" t="s">
        <v>941</v>
      </c>
      <c r="F474" s="687" t="s">
        <v>617</v>
      </c>
      <c r="G474" s="433">
        <v>15</v>
      </c>
      <c r="H474" s="433">
        <v>2527</v>
      </c>
      <c r="I474" s="433">
        <v>37905</v>
      </c>
      <c r="J474" s="433">
        <v>18339</v>
      </c>
      <c r="K474" s="433">
        <v>275085</v>
      </c>
      <c r="L474" s="433">
        <v>0</v>
      </c>
      <c r="M474" s="433">
        <v>0</v>
      </c>
      <c r="N474" s="433">
        <v>20866</v>
      </c>
      <c r="O474" s="433">
        <v>312990</v>
      </c>
      <c r="P474" s="683">
        <f>G475-G474</f>
        <v>-15</v>
      </c>
      <c r="Q474" s="683">
        <f>O475-O474</f>
        <v>-312990</v>
      </c>
      <c r="R474" s="687" t="s">
        <v>946</v>
      </c>
      <c r="AF474" s="426">
        <v>275100</v>
      </c>
    </row>
    <row r="475" spans="1:32" ht="23.1" customHeight="1">
      <c r="A475" s="412" t="s">
        <v>947</v>
      </c>
      <c r="B475" s="412" t="s">
        <v>231</v>
      </c>
      <c r="C475" s="412" t="s">
        <v>947</v>
      </c>
      <c r="D475" s="686"/>
      <c r="E475" s="686"/>
      <c r="F475" s="688"/>
      <c r="G475" s="434"/>
      <c r="H475" s="434"/>
      <c r="I475" s="434"/>
      <c r="J475" s="434"/>
      <c r="K475" s="434"/>
      <c r="L475" s="434">
        <f>일위대가목록!N64</f>
        <v>0</v>
      </c>
      <c r="M475" s="434">
        <f t="shared" ref="M475" si="11">TRUNC(G475*L475)</f>
        <v>0</v>
      </c>
      <c r="N475" s="434">
        <f t="shared" si="10"/>
        <v>0</v>
      </c>
      <c r="O475" s="434">
        <f>SUM(0,I475,K475,M475)</f>
        <v>0</v>
      </c>
      <c r="P475" s="684"/>
      <c r="Q475" s="684"/>
      <c r="R475" s="688"/>
      <c r="AF475" s="422">
        <f>K475</f>
        <v>0</v>
      </c>
    </row>
    <row r="476" spans="1:32" s="426" customFormat="1" ht="23.1" customHeight="1">
      <c r="A476" s="423"/>
      <c r="B476" s="423"/>
      <c r="C476" s="423"/>
      <c r="D476" s="691" t="str">
        <f>신규_공종별내역서!A125</f>
        <v>경질비닐전선관</v>
      </c>
      <c r="E476" s="691" t="str">
        <f>신규_공종별내역서!B125</f>
        <v>HI 36 mm</v>
      </c>
      <c r="F476" s="689" t="str">
        <f>신규_공종별내역서!C125</f>
        <v>M</v>
      </c>
      <c r="G476" s="433"/>
      <c r="H476" s="433"/>
      <c r="I476" s="433"/>
      <c r="J476" s="433"/>
      <c r="K476" s="433"/>
      <c r="L476" s="433"/>
      <c r="M476" s="433"/>
      <c r="N476" s="433">
        <f t="shared" si="10"/>
        <v>0</v>
      </c>
      <c r="O476" s="433"/>
      <c r="P476" s="683">
        <f>G477-G476</f>
        <v>8.3000000000000007</v>
      </c>
      <c r="Q476" s="683">
        <f>O477-O476</f>
        <v>226606</v>
      </c>
      <c r="R476" s="687" t="str">
        <f>신규_공종별내역서!L125</f>
        <v>신규호표 52</v>
      </c>
    </row>
    <row r="477" spans="1:32" ht="23.1" customHeight="1">
      <c r="A477" s="412"/>
      <c r="B477" s="412"/>
      <c r="C477" s="412"/>
      <c r="D477" s="692"/>
      <c r="E477" s="692"/>
      <c r="F477" s="690"/>
      <c r="G477" s="434">
        <f>신규_공종별내역서!D125</f>
        <v>8.3000000000000007</v>
      </c>
      <c r="H477" s="434">
        <f>신규_공종별내역서!E125</f>
        <v>1411</v>
      </c>
      <c r="I477" s="434">
        <f>신규_공종별내역서!F125</f>
        <v>11711</v>
      </c>
      <c r="J477" s="434">
        <f>신규_공종별내역서!G125</f>
        <v>25891</v>
      </c>
      <c r="K477" s="434">
        <f>신규_공종별내역서!H125</f>
        <v>214895</v>
      </c>
      <c r="L477" s="434">
        <f>신규_공종별내역서!I125</f>
        <v>0</v>
      </c>
      <c r="M477" s="434">
        <f>신규_공종별내역서!J125</f>
        <v>0</v>
      </c>
      <c r="N477" s="434">
        <f t="shared" si="10"/>
        <v>27302</v>
      </c>
      <c r="O477" s="434">
        <f>신규_공종별내역서!K125</f>
        <v>226606</v>
      </c>
      <c r="P477" s="684"/>
      <c r="Q477" s="684"/>
      <c r="R477" s="688"/>
      <c r="AF477" s="422">
        <f ca="1">TRUNC([2]!sumcol(0,AF455:AF475))</f>
        <v>0</v>
      </c>
    </row>
    <row r="478" spans="1:32" s="426" customFormat="1" ht="23.1" customHeight="1">
      <c r="A478" s="423"/>
      <c r="B478" s="423"/>
      <c r="C478" s="423"/>
      <c r="D478" s="691" t="str">
        <f>신규_공종별내역서!A126</f>
        <v>합성수지제 가요전선관-매입</v>
      </c>
      <c r="E478" s="691" t="str">
        <f>신규_공종별내역서!B126</f>
        <v>(난연성), 16㎜</v>
      </c>
      <c r="F478" s="689" t="str">
        <f>신규_공종별내역서!C126</f>
        <v>M</v>
      </c>
      <c r="G478" s="433"/>
      <c r="H478" s="433"/>
      <c r="I478" s="433"/>
      <c r="J478" s="433"/>
      <c r="K478" s="433"/>
      <c r="L478" s="433"/>
      <c r="M478" s="433"/>
      <c r="N478" s="433">
        <f t="shared" si="10"/>
        <v>0</v>
      </c>
      <c r="O478" s="433"/>
      <c r="P478" s="683">
        <f>G479-G478</f>
        <v>285.10000000000002</v>
      </c>
      <c r="Q478" s="683">
        <f>O479-O478</f>
        <v>2826765</v>
      </c>
      <c r="R478" s="687" t="str">
        <f>신규_공종별내역서!L126</f>
        <v>신규호표 65</v>
      </c>
    </row>
    <row r="479" spans="1:32" ht="23.1" customHeight="1">
      <c r="A479" s="412"/>
      <c r="B479" s="412"/>
      <c r="C479" s="412"/>
      <c r="D479" s="692"/>
      <c r="E479" s="692"/>
      <c r="F479" s="690"/>
      <c r="G479" s="434">
        <f>신규_공종별내역서!D126</f>
        <v>285.10000000000002</v>
      </c>
      <c r="H479" s="434">
        <f>신규_공종별내역서!E126</f>
        <v>516</v>
      </c>
      <c r="I479" s="434">
        <f>신규_공종별내역서!F126</f>
        <v>147111</v>
      </c>
      <c r="J479" s="434">
        <f>신규_공종별내역서!G126</f>
        <v>9399</v>
      </c>
      <c r="K479" s="434">
        <f>신규_공종별내역서!H126</f>
        <v>2679654</v>
      </c>
      <c r="L479" s="434">
        <f>신규_공종별내역서!I126</f>
        <v>0</v>
      </c>
      <c r="M479" s="434">
        <f>신규_공종별내역서!J126</f>
        <v>0</v>
      </c>
      <c r="N479" s="434">
        <f t="shared" si="10"/>
        <v>9915</v>
      </c>
      <c r="O479" s="434">
        <f>신규_공종별내역서!K126</f>
        <v>2826765</v>
      </c>
      <c r="P479" s="684"/>
      <c r="Q479" s="684"/>
      <c r="R479" s="688"/>
    </row>
    <row r="480" spans="1:32" s="426" customFormat="1" ht="23.1" customHeight="1">
      <c r="A480" s="423"/>
      <c r="B480" s="423"/>
      <c r="C480" s="423"/>
      <c r="D480" s="691" t="str">
        <f>신규_공종별내역서!A127</f>
        <v>아우트렛박스</v>
      </c>
      <c r="E480" s="691" t="str">
        <f>신규_공종별내역서!B127</f>
        <v>중형4각 54㎜</v>
      </c>
      <c r="F480" s="689" t="str">
        <f>신규_공종별내역서!C127</f>
        <v>개</v>
      </c>
      <c r="G480" s="433"/>
      <c r="H480" s="433"/>
      <c r="I480" s="433"/>
      <c r="J480" s="433"/>
      <c r="K480" s="433"/>
      <c r="L480" s="433"/>
      <c r="M480" s="433"/>
      <c r="N480" s="433">
        <f t="shared" si="10"/>
        <v>0</v>
      </c>
      <c r="O480" s="433"/>
      <c r="P480" s="683">
        <f>G481-G480</f>
        <v>47</v>
      </c>
      <c r="Q480" s="683">
        <f>O481-O480</f>
        <v>2325372</v>
      </c>
      <c r="R480" s="687" t="str">
        <f>신규_공종별내역서!L127</f>
        <v>신규호표 66</v>
      </c>
    </row>
    <row r="481" spans="1:18" ht="23.1" customHeight="1">
      <c r="A481" s="412"/>
      <c r="B481" s="412"/>
      <c r="C481" s="412"/>
      <c r="D481" s="692"/>
      <c r="E481" s="692"/>
      <c r="F481" s="690"/>
      <c r="G481" s="434">
        <f>신규_공종별내역서!D127</f>
        <v>47</v>
      </c>
      <c r="H481" s="434">
        <f>신규_공종별내역서!E127</f>
        <v>2477</v>
      </c>
      <c r="I481" s="434">
        <f>신규_공종별내역서!F127</f>
        <v>116419</v>
      </c>
      <c r="J481" s="434">
        <f>신규_공종별내역서!G127</f>
        <v>46999</v>
      </c>
      <c r="K481" s="434">
        <f>신규_공종별내역서!H127</f>
        <v>2208953</v>
      </c>
      <c r="L481" s="434">
        <f>신규_공종별내역서!I127</f>
        <v>0</v>
      </c>
      <c r="M481" s="434">
        <f>신규_공종별내역서!J127</f>
        <v>0</v>
      </c>
      <c r="N481" s="434">
        <f t="shared" si="10"/>
        <v>49476</v>
      </c>
      <c r="O481" s="434">
        <f>신규_공종별내역서!K127</f>
        <v>2325372</v>
      </c>
      <c r="P481" s="684"/>
      <c r="Q481" s="684"/>
      <c r="R481" s="688"/>
    </row>
    <row r="482" spans="1:18" s="426" customFormat="1" ht="23.1" customHeight="1">
      <c r="A482" s="423"/>
      <c r="B482" s="423"/>
      <c r="C482" s="423"/>
      <c r="D482" s="691" t="str">
        <f>신규_공종별내역서!A128</f>
        <v>450/75OV 저독성난연가교폴리올레핀절연전선(HFIX)</v>
      </c>
      <c r="E482" s="691" t="str">
        <f>신규_공종별내역서!B128</f>
        <v>4㎟ (바닥)</v>
      </c>
      <c r="F482" s="689" t="str">
        <f>신규_공종별내역서!C128</f>
        <v>m</v>
      </c>
      <c r="G482" s="433"/>
      <c r="H482" s="433"/>
      <c r="I482" s="433"/>
      <c r="J482" s="433"/>
      <c r="K482" s="433"/>
      <c r="L482" s="433"/>
      <c r="M482" s="433"/>
      <c r="N482" s="433">
        <f t="shared" si="10"/>
        <v>0</v>
      </c>
      <c r="O482" s="433"/>
      <c r="P482" s="683">
        <f>G483-G482</f>
        <v>934.2</v>
      </c>
      <c r="Q482" s="683">
        <f>O483-O482</f>
        <v>3132371</v>
      </c>
      <c r="R482" s="687" t="str">
        <f>신규_공종별내역서!L128</f>
        <v>신규호표 67</v>
      </c>
    </row>
    <row r="483" spans="1:18" ht="23.1" customHeight="1">
      <c r="A483" s="412"/>
      <c r="B483" s="412"/>
      <c r="C483" s="412"/>
      <c r="D483" s="692"/>
      <c r="E483" s="692"/>
      <c r="F483" s="690"/>
      <c r="G483" s="434">
        <f>신규_공종별내역서!D128</f>
        <v>934.2</v>
      </c>
      <c r="H483" s="434">
        <f>신규_공종별내역서!E128</f>
        <v>764</v>
      </c>
      <c r="I483" s="434">
        <f>신규_공종별내역서!F128</f>
        <v>713728</v>
      </c>
      <c r="J483" s="434">
        <f>신규_공종별내역서!G128</f>
        <v>2589</v>
      </c>
      <c r="K483" s="434">
        <f>신규_공종별내역서!H128</f>
        <v>2418643</v>
      </c>
      <c r="L483" s="434">
        <f>신규_공종별내역서!I128</f>
        <v>0</v>
      </c>
      <c r="M483" s="434">
        <f>신규_공종별내역서!J128</f>
        <v>0</v>
      </c>
      <c r="N483" s="434">
        <f t="shared" si="10"/>
        <v>3353</v>
      </c>
      <c r="O483" s="434">
        <f>신규_공종별내역서!K128</f>
        <v>3132371</v>
      </c>
      <c r="P483" s="684"/>
      <c r="Q483" s="684"/>
      <c r="R483" s="688"/>
    </row>
    <row r="484" spans="1:18" s="426" customFormat="1" ht="23.1" customHeight="1">
      <c r="A484" s="423"/>
      <c r="B484" s="423"/>
      <c r="C484" s="423"/>
      <c r="D484" s="691" t="str">
        <f>신규_공종별내역서!A129</f>
        <v>난연 비닐 절연 접지용전선(F-GV)</v>
      </c>
      <c r="E484" s="691" t="str">
        <f>신규_공종별내역서!B129</f>
        <v>0.6/1kV  4㎟</v>
      </c>
      <c r="F484" s="689" t="str">
        <f>신규_공종별내역서!C129</f>
        <v>m</v>
      </c>
      <c r="G484" s="433"/>
      <c r="H484" s="433"/>
      <c r="I484" s="433"/>
      <c r="J484" s="433"/>
      <c r="K484" s="433"/>
      <c r="L484" s="433"/>
      <c r="M484" s="433"/>
      <c r="N484" s="433">
        <f t="shared" si="10"/>
        <v>0</v>
      </c>
      <c r="O484" s="433"/>
      <c r="P484" s="683">
        <f>G485-G484</f>
        <v>9.1</v>
      </c>
      <c r="Q484" s="683">
        <f>O485-O484</f>
        <v>28009</v>
      </c>
      <c r="R484" s="687" t="str">
        <f>신규_공종별내역서!L129</f>
        <v>신규호표 35</v>
      </c>
    </row>
    <row r="485" spans="1:18" ht="23.1" customHeight="1">
      <c r="A485" s="412"/>
      <c r="B485" s="412"/>
      <c r="C485" s="412"/>
      <c r="D485" s="692"/>
      <c r="E485" s="692"/>
      <c r="F485" s="690"/>
      <c r="G485" s="434">
        <f>신규_공종별내역서!D129</f>
        <v>9.1</v>
      </c>
      <c r="H485" s="434">
        <f>신규_공종별내역서!E129</f>
        <v>964</v>
      </c>
      <c r="I485" s="434">
        <f>신규_공종별내역서!F129</f>
        <v>8772</v>
      </c>
      <c r="J485" s="434">
        <f>신규_공종별내역서!G129</f>
        <v>2114</v>
      </c>
      <c r="K485" s="434">
        <f>신규_공종별내역서!H129</f>
        <v>19237</v>
      </c>
      <c r="L485" s="434">
        <f>신규_공종별내역서!I129</f>
        <v>0</v>
      </c>
      <c r="M485" s="434">
        <f>신규_공종별내역서!J129</f>
        <v>0</v>
      </c>
      <c r="N485" s="434">
        <f t="shared" si="10"/>
        <v>3078</v>
      </c>
      <c r="O485" s="434">
        <f>신규_공종별내역서!K129</f>
        <v>28009</v>
      </c>
      <c r="P485" s="684"/>
      <c r="Q485" s="684"/>
      <c r="R485" s="688"/>
    </row>
    <row r="486" spans="1:18" s="426" customFormat="1" ht="23.1" customHeight="1">
      <c r="A486" s="423"/>
      <c r="B486" s="423"/>
      <c r="C486" s="423"/>
      <c r="D486" s="691" t="str">
        <f>신규_공종별내역서!A130</f>
        <v>0.6/1kV 난연 전력 케이블(F-CV)</v>
      </c>
      <c r="E486" s="691" t="str">
        <f>신규_공종별내역서!B130</f>
        <v>4C 4㎟</v>
      </c>
      <c r="F486" s="689" t="str">
        <f>신규_공종별내역서!C130</f>
        <v>m</v>
      </c>
      <c r="G486" s="433"/>
      <c r="H486" s="433"/>
      <c r="I486" s="433"/>
      <c r="J486" s="433"/>
      <c r="K486" s="433"/>
      <c r="L486" s="433"/>
      <c r="M486" s="433"/>
      <c r="N486" s="433">
        <f t="shared" si="10"/>
        <v>0</v>
      </c>
      <c r="O486" s="433"/>
      <c r="P486" s="683">
        <f>G487-G486</f>
        <v>9.1</v>
      </c>
      <c r="Q486" s="683">
        <f>O487-O486</f>
        <v>98088</v>
      </c>
      <c r="R486" s="687" t="str">
        <f>신규_공종별내역서!L130</f>
        <v>신규호표 68</v>
      </c>
    </row>
    <row r="487" spans="1:18" ht="23.1" customHeight="1">
      <c r="A487" s="412"/>
      <c r="B487" s="412"/>
      <c r="C487" s="412"/>
      <c r="D487" s="692"/>
      <c r="E487" s="692"/>
      <c r="F487" s="690"/>
      <c r="G487" s="434">
        <f>신규_공종별내역서!D130</f>
        <v>9.1</v>
      </c>
      <c r="H487" s="434">
        <f>신규_공종별내역서!E130</f>
        <v>3373</v>
      </c>
      <c r="I487" s="434">
        <f>신규_공종별내역서!F130</f>
        <v>30694</v>
      </c>
      <c r="J487" s="434">
        <f>신규_공종별내역서!G130</f>
        <v>7406</v>
      </c>
      <c r="K487" s="434">
        <f>신규_공종별내역서!H130</f>
        <v>67394</v>
      </c>
      <c r="L487" s="434">
        <f>신규_공종별내역서!I130</f>
        <v>0</v>
      </c>
      <c r="M487" s="434">
        <f>신규_공종별내역서!J130</f>
        <v>0</v>
      </c>
      <c r="N487" s="434">
        <f t="shared" si="10"/>
        <v>10779</v>
      </c>
      <c r="O487" s="434">
        <f>신규_공종별내역서!K130</f>
        <v>98088</v>
      </c>
      <c r="P487" s="684"/>
      <c r="Q487" s="684"/>
      <c r="R487" s="688"/>
    </row>
    <row r="488" spans="1:18" s="426" customFormat="1" ht="23.1" customHeight="1">
      <c r="A488" s="423"/>
      <c r="B488" s="423"/>
      <c r="C488" s="423"/>
      <c r="D488" s="691" t="str">
        <f>신규_공종별내역서!A131</f>
        <v>콘센트 설치(매입)</v>
      </c>
      <c r="E488" s="691" t="str">
        <f>신규_공종별내역서!B131</f>
        <v>접지형, 15A 250V, 2구</v>
      </c>
      <c r="F488" s="689" t="str">
        <f>신규_공종별내역서!C131</f>
        <v>개</v>
      </c>
      <c r="G488" s="433"/>
      <c r="H488" s="433"/>
      <c r="I488" s="433"/>
      <c r="J488" s="433"/>
      <c r="K488" s="433"/>
      <c r="L488" s="433"/>
      <c r="M488" s="433"/>
      <c r="N488" s="433">
        <f t="shared" si="10"/>
        <v>0</v>
      </c>
      <c r="O488" s="433"/>
      <c r="P488" s="683">
        <f>G489-G488</f>
        <v>14</v>
      </c>
      <c r="Q488" s="683">
        <f>O489-O488</f>
        <v>314608</v>
      </c>
      <c r="R488" s="687" t="str">
        <f>신규_공종별내역서!L131</f>
        <v>신규호표 69</v>
      </c>
    </row>
    <row r="489" spans="1:18" ht="23.1" customHeight="1">
      <c r="A489" s="412"/>
      <c r="B489" s="412"/>
      <c r="C489" s="412"/>
      <c r="D489" s="692"/>
      <c r="E489" s="692"/>
      <c r="F489" s="690"/>
      <c r="G489" s="434">
        <f>신규_공종별내역서!D131</f>
        <v>14</v>
      </c>
      <c r="H489" s="434">
        <f>신규_공종별내역서!E131</f>
        <v>1759</v>
      </c>
      <c r="I489" s="434">
        <f>신규_공종별내역서!F131</f>
        <v>24626</v>
      </c>
      <c r="J489" s="434">
        <f>신규_공종별내역서!G131</f>
        <v>20713</v>
      </c>
      <c r="K489" s="434">
        <f>신규_공종별내역서!H131</f>
        <v>289982</v>
      </c>
      <c r="L489" s="434">
        <f>신규_공종별내역서!I131</f>
        <v>0</v>
      </c>
      <c r="M489" s="434">
        <f>신규_공종별내역서!J131</f>
        <v>0</v>
      </c>
      <c r="N489" s="434">
        <f t="shared" si="10"/>
        <v>22472</v>
      </c>
      <c r="O489" s="434">
        <f>신규_공종별내역서!K131</f>
        <v>314608</v>
      </c>
      <c r="P489" s="684"/>
      <c r="Q489" s="684"/>
      <c r="R489" s="688"/>
    </row>
    <row r="490" spans="1:18" s="426" customFormat="1" ht="23.1" customHeight="1">
      <c r="A490" s="423"/>
      <c r="B490" s="423"/>
      <c r="C490" s="423"/>
      <c r="D490" s="691" t="str">
        <f>신규_공종별내역서!A132</f>
        <v>콘센트 설치(매입)</v>
      </c>
      <c r="E490" s="691" t="str">
        <f>신규_공종별내역서!B132</f>
        <v>방우형, 15A 250V, 2구</v>
      </c>
      <c r="F490" s="689" t="str">
        <f>신규_공종별내역서!C132</f>
        <v>개</v>
      </c>
      <c r="G490" s="433"/>
      <c r="H490" s="433"/>
      <c r="I490" s="433"/>
      <c r="J490" s="433"/>
      <c r="K490" s="433"/>
      <c r="L490" s="433"/>
      <c r="M490" s="433"/>
      <c r="N490" s="433">
        <f t="shared" si="10"/>
        <v>0</v>
      </c>
      <c r="O490" s="433"/>
      <c r="P490" s="683">
        <f>G491-G490</f>
        <v>16</v>
      </c>
      <c r="Q490" s="683">
        <f>O491-O490</f>
        <v>377072</v>
      </c>
      <c r="R490" s="687" t="str">
        <f>신규_공종별내역서!L132</f>
        <v>신규호표 70</v>
      </c>
    </row>
    <row r="491" spans="1:18" ht="23.1" customHeight="1">
      <c r="A491" s="412"/>
      <c r="B491" s="412"/>
      <c r="C491" s="412"/>
      <c r="D491" s="692"/>
      <c r="E491" s="692"/>
      <c r="F491" s="690"/>
      <c r="G491" s="434">
        <f>신규_공종별내역서!D132</f>
        <v>16</v>
      </c>
      <c r="H491" s="434">
        <f>신규_공종별내역서!E132</f>
        <v>2854</v>
      </c>
      <c r="I491" s="434">
        <f>신규_공종별내역서!F132</f>
        <v>45664</v>
      </c>
      <c r="J491" s="434">
        <f>신규_공종별내역서!G132</f>
        <v>20713</v>
      </c>
      <c r="K491" s="434">
        <f>신규_공종별내역서!H132</f>
        <v>331408</v>
      </c>
      <c r="L491" s="434">
        <f>신규_공종별내역서!I132</f>
        <v>0</v>
      </c>
      <c r="M491" s="434">
        <f>신규_공종별내역서!J132</f>
        <v>0</v>
      </c>
      <c r="N491" s="434">
        <f t="shared" si="10"/>
        <v>23567</v>
      </c>
      <c r="O491" s="434">
        <f>신규_공종별내역서!K132</f>
        <v>377072</v>
      </c>
      <c r="P491" s="684"/>
      <c r="Q491" s="684"/>
      <c r="R491" s="688"/>
    </row>
    <row r="492" spans="1:18" s="426" customFormat="1" ht="23.1" customHeight="1">
      <c r="A492" s="423"/>
      <c r="B492" s="423"/>
      <c r="C492" s="423"/>
      <c r="D492" s="691" t="str">
        <f>신규_공종별내역서!A133</f>
        <v>대기전력차단콘센트 설치(매입)</v>
      </c>
      <c r="E492" s="691" t="str">
        <f>신규_공종별내역서!B133</f>
        <v>3구, 16A 250V</v>
      </c>
      <c r="F492" s="689" t="str">
        <f>신규_공종별내역서!C133</f>
        <v>개</v>
      </c>
      <c r="G492" s="433"/>
      <c r="H492" s="433"/>
      <c r="I492" s="433"/>
      <c r="J492" s="433"/>
      <c r="K492" s="433"/>
      <c r="L492" s="433"/>
      <c r="M492" s="433"/>
      <c r="N492" s="433">
        <f t="shared" si="10"/>
        <v>0</v>
      </c>
      <c r="O492" s="433"/>
      <c r="P492" s="683">
        <f>G493-G492</f>
        <v>14</v>
      </c>
      <c r="Q492" s="683">
        <f>O493-O492</f>
        <v>1059464</v>
      </c>
      <c r="R492" s="687" t="str">
        <f>신규_공종별내역서!L133</f>
        <v>신규호표 71</v>
      </c>
    </row>
    <row r="493" spans="1:18" ht="23.1" customHeight="1">
      <c r="A493" s="412"/>
      <c r="B493" s="412"/>
      <c r="C493" s="412"/>
      <c r="D493" s="692"/>
      <c r="E493" s="692"/>
      <c r="F493" s="690"/>
      <c r="G493" s="434">
        <f>신규_공종별내역서!D133</f>
        <v>14</v>
      </c>
      <c r="H493" s="434">
        <f>신규_공종별내역서!E133</f>
        <v>53352</v>
      </c>
      <c r="I493" s="434">
        <f>신규_공종별내역서!F133</f>
        <v>746928</v>
      </c>
      <c r="J493" s="434">
        <f>신규_공종별내역서!G133</f>
        <v>22324</v>
      </c>
      <c r="K493" s="434">
        <f>신규_공종별내역서!H133</f>
        <v>312536</v>
      </c>
      <c r="L493" s="434">
        <f>신규_공종별내역서!I133</f>
        <v>0</v>
      </c>
      <c r="M493" s="434">
        <f>신규_공종별내역서!J133</f>
        <v>0</v>
      </c>
      <c r="N493" s="434">
        <f t="shared" si="10"/>
        <v>75676</v>
      </c>
      <c r="O493" s="434">
        <f>신규_공종별내역서!K133</f>
        <v>1059464</v>
      </c>
      <c r="P493" s="684"/>
      <c r="Q493" s="684"/>
      <c r="R493" s="688"/>
    </row>
    <row r="494" spans="1:18" s="426" customFormat="1" ht="23.1" customHeight="1">
      <c r="D494" s="437"/>
      <c r="E494" s="437"/>
      <c r="F494" s="438"/>
      <c r="G494" s="439"/>
      <c r="H494" s="439"/>
      <c r="I494" s="439"/>
      <c r="J494" s="439"/>
      <c r="K494" s="439"/>
      <c r="L494" s="439"/>
      <c r="M494" s="439"/>
      <c r="N494" s="439">
        <f t="shared" si="10"/>
        <v>0</v>
      </c>
      <c r="O494" s="439"/>
      <c r="P494" s="439"/>
      <c r="Q494" s="439"/>
      <c r="R494" s="429"/>
    </row>
    <row r="495" spans="1:18" ht="23.1" customHeight="1">
      <c r="D495" s="440"/>
      <c r="E495" s="440"/>
      <c r="F495" s="441"/>
      <c r="G495" s="442"/>
      <c r="H495" s="442"/>
      <c r="I495" s="442"/>
      <c r="J495" s="442"/>
      <c r="K495" s="442"/>
      <c r="L495" s="442"/>
      <c r="M495" s="442"/>
      <c r="N495" s="442">
        <f t="shared" si="10"/>
        <v>0</v>
      </c>
      <c r="O495" s="442"/>
      <c r="P495" s="442"/>
      <c r="Q495" s="442"/>
      <c r="R495" s="428"/>
    </row>
    <row r="496" spans="1:18" s="426" customFormat="1" ht="23.1" customHeight="1">
      <c r="D496" s="437"/>
      <c r="E496" s="437"/>
      <c r="F496" s="438"/>
      <c r="G496" s="439"/>
      <c r="H496" s="439"/>
      <c r="I496" s="439"/>
      <c r="J496" s="439"/>
      <c r="K496" s="439"/>
      <c r="L496" s="439"/>
      <c r="M496" s="439"/>
      <c r="N496" s="439">
        <f t="shared" si="10"/>
        <v>0</v>
      </c>
      <c r="O496" s="439"/>
      <c r="P496" s="439"/>
      <c r="Q496" s="439"/>
      <c r="R496" s="429"/>
    </row>
    <row r="497" spans="1:32" ht="23.1" customHeight="1">
      <c r="D497" s="440"/>
      <c r="E497" s="440"/>
      <c r="F497" s="441"/>
      <c r="G497" s="442"/>
      <c r="H497" s="442"/>
      <c r="I497" s="442"/>
      <c r="J497" s="442"/>
      <c r="K497" s="442"/>
      <c r="L497" s="442"/>
      <c r="M497" s="442"/>
      <c r="N497" s="442">
        <f t="shared" si="10"/>
        <v>0</v>
      </c>
      <c r="O497" s="442"/>
      <c r="P497" s="442"/>
      <c r="Q497" s="442"/>
      <c r="R497" s="428"/>
    </row>
    <row r="498" spans="1:32" s="426" customFormat="1" ht="23.1" customHeight="1">
      <c r="D498" s="437"/>
      <c r="E498" s="437"/>
      <c r="F498" s="438"/>
      <c r="G498" s="439"/>
      <c r="H498" s="439"/>
      <c r="I498" s="439"/>
      <c r="J498" s="439"/>
      <c r="K498" s="439"/>
      <c r="L498" s="439"/>
      <c r="M498" s="439"/>
      <c r="N498" s="439">
        <f t="shared" si="10"/>
        <v>0</v>
      </c>
      <c r="O498" s="439"/>
      <c r="P498" s="439"/>
      <c r="Q498" s="439"/>
      <c r="R498" s="429"/>
    </row>
    <row r="499" spans="1:32" ht="23.1" customHeight="1">
      <c r="D499" s="440"/>
      <c r="E499" s="440"/>
      <c r="F499" s="441"/>
      <c r="G499" s="442"/>
      <c r="H499" s="442"/>
      <c r="I499" s="442"/>
      <c r="J499" s="442"/>
      <c r="K499" s="442"/>
      <c r="L499" s="442"/>
      <c r="M499" s="442"/>
      <c r="N499" s="442">
        <f t="shared" si="10"/>
        <v>0</v>
      </c>
      <c r="O499" s="442"/>
      <c r="P499" s="442"/>
      <c r="Q499" s="442"/>
      <c r="R499" s="428"/>
    </row>
    <row r="500" spans="1:32" s="426" customFormat="1" ht="23.1" customHeight="1">
      <c r="D500" s="437"/>
      <c r="E500" s="437"/>
      <c r="F500" s="438"/>
      <c r="G500" s="439"/>
      <c r="H500" s="439"/>
      <c r="I500" s="439"/>
      <c r="J500" s="439"/>
      <c r="K500" s="439"/>
      <c r="L500" s="439"/>
      <c r="M500" s="439"/>
      <c r="N500" s="439">
        <f t="shared" si="10"/>
        <v>0</v>
      </c>
      <c r="O500" s="439"/>
      <c r="P500" s="439"/>
      <c r="Q500" s="439"/>
      <c r="R500" s="429"/>
    </row>
    <row r="501" spans="1:32" ht="23.1" customHeight="1">
      <c r="D501" s="440"/>
      <c r="E501" s="440"/>
      <c r="F501" s="441"/>
      <c r="G501" s="442"/>
      <c r="H501" s="442"/>
      <c r="I501" s="442"/>
      <c r="J501" s="442"/>
      <c r="K501" s="442"/>
      <c r="L501" s="442"/>
      <c r="M501" s="442"/>
      <c r="N501" s="442">
        <f t="shared" ref="N501:N564" si="12">H501+J501</f>
        <v>0</v>
      </c>
      <c r="O501" s="442"/>
      <c r="P501" s="442"/>
      <c r="Q501" s="442"/>
      <c r="R501" s="428"/>
    </row>
    <row r="502" spans="1:32" s="426" customFormat="1" ht="23.1" customHeight="1">
      <c r="D502" s="437"/>
      <c r="E502" s="437"/>
      <c r="F502" s="438"/>
      <c r="G502" s="439"/>
      <c r="H502" s="439"/>
      <c r="I502" s="439"/>
      <c r="J502" s="439"/>
      <c r="K502" s="439"/>
      <c r="L502" s="439"/>
      <c r="M502" s="439"/>
      <c r="N502" s="439">
        <f t="shared" si="12"/>
        <v>0</v>
      </c>
      <c r="O502" s="439"/>
      <c r="P502" s="439"/>
      <c r="Q502" s="439"/>
      <c r="R502" s="429"/>
    </row>
    <row r="503" spans="1:32" ht="23.1" customHeight="1">
      <c r="D503" s="440"/>
      <c r="E503" s="440"/>
      <c r="F503" s="441"/>
      <c r="G503" s="442"/>
      <c r="H503" s="442"/>
      <c r="I503" s="442"/>
      <c r="J503" s="442"/>
      <c r="K503" s="442"/>
      <c r="L503" s="442"/>
      <c r="M503" s="442"/>
      <c r="N503" s="442">
        <f t="shared" si="12"/>
        <v>0</v>
      </c>
      <c r="O503" s="442"/>
      <c r="P503" s="442"/>
      <c r="Q503" s="442"/>
      <c r="R503" s="428"/>
    </row>
    <row r="504" spans="1:32" s="426" customFormat="1" ht="23.1" customHeight="1">
      <c r="B504" s="426" t="s">
        <v>715</v>
      </c>
      <c r="D504" s="437" t="s">
        <v>216</v>
      </c>
      <c r="E504" s="437"/>
      <c r="F504" s="438"/>
      <c r="G504" s="439"/>
      <c r="H504" s="439"/>
      <c r="I504" s="439">
        <f>I456+I458+I460+I462+I464+I466+I468+I470+I472+I474+I476+I478+I480+I482+I484+I486+I488+I490+I492+I494+I496+I498+I500+I502</f>
        <v>1204069</v>
      </c>
      <c r="J504" s="439"/>
      <c r="K504" s="439">
        <f>K456+K458+K460+K462+K464+K466+K468+K470+K472+K474+K476+K478+K480+K482+K484+K486+K488+K490+K492+K494+K496+K498+K500+K502</f>
        <v>9403256</v>
      </c>
      <c r="L504" s="439"/>
      <c r="M504" s="439">
        <v>0</v>
      </c>
      <c r="N504" s="439">
        <f t="shared" si="12"/>
        <v>0</v>
      </c>
      <c r="O504" s="439">
        <f>O456+O458+O460+O462+O464+O466+O468+O470+O472+O474+O476+O478+O480+O482+O484+O486+O488+O490+O492+O494+O496+O498+O500+O502</f>
        <v>10607325</v>
      </c>
      <c r="P504" s="439"/>
      <c r="Q504" s="683">
        <f>O505-O504</f>
        <v>-218970</v>
      </c>
      <c r="R504" s="429"/>
    </row>
    <row r="505" spans="1:32" ht="23.1" customHeight="1">
      <c r="B505" s="422" t="s">
        <v>715</v>
      </c>
      <c r="D505" s="440" t="s">
        <v>216</v>
      </c>
      <c r="E505" s="440"/>
      <c r="F505" s="441"/>
      <c r="G505" s="442"/>
      <c r="H505" s="442"/>
      <c r="I505" s="442">
        <f>I457+I459+I461+I463+I465+I467+I469+I471+I473+I475+I477+I479+I481+I483+I485+I487+I489+I491+I493+I495+I497+I499+I501+I503</f>
        <v>1845653</v>
      </c>
      <c r="J505" s="442"/>
      <c r="K505" s="442">
        <f>K457+K459+K461+K463+K465+K467+K469+K471+K473+K475+K477+K479+K481+K483+K485+K487+K489+K491+K493+K495+K497+K499+K501+K503</f>
        <v>8542702</v>
      </c>
      <c r="L505" s="442"/>
      <c r="M505" s="442">
        <v>0</v>
      </c>
      <c r="N505" s="442">
        <f t="shared" si="12"/>
        <v>0</v>
      </c>
      <c r="O505" s="442">
        <f>O457+O459+O461+O463+O465+O467+O469+O471+O473+O475+O477+O479+O481+O483+O485+O487+O489+O491+O493+O495+O497+O499+O501+O503</f>
        <v>10388355</v>
      </c>
      <c r="P505" s="442"/>
      <c r="Q505" s="684"/>
      <c r="R505" s="428"/>
    </row>
    <row r="506" spans="1:32" ht="23.1" customHeight="1">
      <c r="A506" s="412"/>
      <c r="B506" s="412" t="s">
        <v>208</v>
      </c>
      <c r="C506" s="412"/>
      <c r="D506" s="417" t="s">
        <v>522</v>
      </c>
      <c r="E506" s="418"/>
      <c r="F506" s="419"/>
      <c r="G506" s="420"/>
      <c r="H506" s="420"/>
      <c r="I506" s="420"/>
      <c r="J506" s="420"/>
      <c r="K506" s="420"/>
      <c r="L506" s="420"/>
      <c r="M506" s="420"/>
      <c r="N506" s="420">
        <f t="shared" si="12"/>
        <v>0</v>
      </c>
      <c r="O506" s="420"/>
      <c r="P506" s="420"/>
      <c r="Q506" s="420"/>
      <c r="R506" s="421"/>
    </row>
    <row r="507" spans="1:32" s="426" customFormat="1" ht="23.1" customHeight="1">
      <c r="A507" s="423" t="s">
        <v>753</v>
      </c>
      <c r="B507" s="423" t="s">
        <v>948</v>
      </c>
      <c r="C507" s="423" t="s">
        <v>753</v>
      </c>
      <c r="D507" s="685" t="s">
        <v>755</v>
      </c>
      <c r="E507" s="685" t="s">
        <v>756</v>
      </c>
      <c r="F507" s="687" t="s">
        <v>592</v>
      </c>
      <c r="G507" s="433">
        <v>15</v>
      </c>
      <c r="H507" s="433">
        <v>4998</v>
      </c>
      <c r="I507" s="433">
        <v>74970</v>
      </c>
      <c r="J507" s="433">
        <v>45850</v>
      </c>
      <c r="K507" s="433">
        <v>687750</v>
      </c>
      <c r="L507" s="433">
        <v>0</v>
      </c>
      <c r="M507" s="433">
        <v>0</v>
      </c>
      <c r="N507" s="433">
        <v>50848</v>
      </c>
      <c r="O507" s="433">
        <v>762720</v>
      </c>
      <c r="P507" s="683">
        <f>G508-G507</f>
        <v>-15</v>
      </c>
      <c r="Q507" s="683">
        <f>O508-O507</f>
        <v>-762720</v>
      </c>
      <c r="R507" s="689" t="s">
        <v>757</v>
      </c>
      <c r="AC507" s="426">
        <v>74970</v>
      </c>
      <c r="AD507" s="426">
        <v>74970</v>
      </c>
      <c r="AF507" s="426">
        <v>687750</v>
      </c>
    </row>
    <row r="508" spans="1:32" ht="23.1" customHeight="1">
      <c r="A508" s="412"/>
      <c r="B508" s="412"/>
      <c r="C508" s="412"/>
      <c r="D508" s="686"/>
      <c r="E508" s="686"/>
      <c r="F508" s="688"/>
      <c r="G508" s="434"/>
      <c r="H508" s="434"/>
      <c r="I508" s="434"/>
      <c r="J508" s="434"/>
      <c r="K508" s="434"/>
      <c r="L508" s="434"/>
      <c r="M508" s="434"/>
      <c r="N508" s="434"/>
      <c r="O508" s="434"/>
      <c r="P508" s="684"/>
      <c r="Q508" s="684"/>
      <c r="R508" s="690"/>
    </row>
    <row r="509" spans="1:32" s="426" customFormat="1" ht="23.1" customHeight="1">
      <c r="A509" s="423" t="s">
        <v>717</v>
      </c>
      <c r="B509" s="423" t="s">
        <v>948</v>
      </c>
      <c r="C509" s="423" t="s">
        <v>717</v>
      </c>
      <c r="D509" s="685" t="s">
        <v>590</v>
      </c>
      <c r="E509" s="685" t="s">
        <v>719</v>
      </c>
      <c r="F509" s="687" t="s">
        <v>592</v>
      </c>
      <c r="G509" s="433">
        <v>2</v>
      </c>
      <c r="H509" s="433">
        <v>1249</v>
      </c>
      <c r="I509" s="433">
        <v>2498</v>
      </c>
      <c r="J509" s="433">
        <v>22924</v>
      </c>
      <c r="K509" s="433">
        <v>45848</v>
      </c>
      <c r="L509" s="433">
        <v>0</v>
      </c>
      <c r="M509" s="433">
        <v>0</v>
      </c>
      <c r="N509" s="433">
        <v>24173</v>
      </c>
      <c r="O509" s="433">
        <v>48346</v>
      </c>
      <c r="P509" s="683">
        <f>G510-G509</f>
        <v>-2</v>
      </c>
      <c r="Q509" s="683">
        <f>O510-O509</f>
        <v>-48346</v>
      </c>
      <c r="R509" s="689" t="s">
        <v>720</v>
      </c>
      <c r="AC509" s="426">
        <v>2498</v>
      </c>
      <c r="AD509" s="426">
        <v>2498</v>
      </c>
      <c r="AF509" s="426">
        <v>45850</v>
      </c>
    </row>
    <row r="510" spans="1:32" ht="23.1" customHeight="1">
      <c r="A510" s="412"/>
      <c r="B510" s="412"/>
      <c r="C510" s="412"/>
      <c r="D510" s="686"/>
      <c r="E510" s="686"/>
      <c r="F510" s="688"/>
      <c r="G510" s="434"/>
      <c r="H510" s="434"/>
      <c r="I510" s="434"/>
      <c r="J510" s="434"/>
      <c r="K510" s="434"/>
      <c r="L510" s="434"/>
      <c r="M510" s="434"/>
      <c r="N510" s="434"/>
      <c r="O510" s="434"/>
      <c r="P510" s="684"/>
      <c r="Q510" s="684"/>
      <c r="R510" s="690"/>
    </row>
    <row r="511" spans="1:32" s="426" customFormat="1" ht="23.1" customHeight="1">
      <c r="A511" s="423" t="s">
        <v>837</v>
      </c>
      <c r="B511" s="423" t="s">
        <v>948</v>
      </c>
      <c r="C511" s="423" t="s">
        <v>837</v>
      </c>
      <c r="D511" s="685" t="s">
        <v>838</v>
      </c>
      <c r="E511" s="685" t="s">
        <v>839</v>
      </c>
      <c r="F511" s="687" t="s">
        <v>592</v>
      </c>
      <c r="G511" s="433">
        <v>279</v>
      </c>
      <c r="H511" s="433">
        <v>528</v>
      </c>
      <c r="I511" s="433">
        <v>147312</v>
      </c>
      <c r="J511" s="433">
        <v>11004</v>
      </c>
      <c r="K511" s="433">
        <v>3070116</v>
      </c>
      <c r="L511" s="433">
        <v>0</v>
      </c>
      <c r="M511" s="433">
        <v>0</v>
      </c>
      <c r="N511" s="433">
        <v>11532</v>
      </c>
      <c r="O511" s="433">
        <v>3217428</v>
      </c>
      <c r="P511" s="683">
        <f>G512-G511</f>
        <v>-279</v>
      </c>
      <c r="Q511" s="683">
        <f>O512-O511</f>
        <v>-3217428</v>
      </c>
      <c r="R511" s="689" t="s">
        <v>840</v>
      </c>
      <c r="AB511" s="426">
        <v>147312</v>
      </c>
      <c r="AD511" s="426">
        <v>147312</v>
      </c>
      <c r="AF511" s="426">
        <v>3070116</v>
      </c>
    </row>
    <row r="512" spans="1:32" ht="23.1" customHeight="1">
      <c r="A512" s="412"/>
      <c r="B512" s="412"/>
      <c r="C512" s="412"/>
      <c r="D512" s="686"/>
      <c r="E512" s="686"/>
      <c r="F512" s="688"/>
      <c r="G512" s="434"/>
      <c r="H512" s="434"/>
      <c r="I512" s="434"/>
      <c r="J512" s="434"/>
      <c r="K512" s="434"/>
      <c r="L512" s="434"/>
      <c r="M512" s="434"/>
      <c r="N512" s="434"/>
      <c r="O512" s="434"/>
      <c r="P512" s="684"/>
      <c r="Q512" s="684"/>
      <c r="R512" s="690"/>
    </row>
    <row r="513" spans="1:32" s="426" customFormat="1" ht="23.1" customHeight="1">
      <c r="A513" s="423" t="s">
        <v>721</v>
      </c>
      <c r="B513" s="423" t="s">
        <v>948</v>
      </c>
      <c r="C513" s="423" t="s">
        <v>721</v>
      </c>
      <c r="D513" s="685" t="s">
        <v>596</v>
      </c>
      <c r="E513" s="685" t="s">
        <v>722</v>
      </c>
      <c r="F513" s="687" t="s">
        <v>592</v>
      </c>
      <c r="G513" s="433">
        <v>357</v>
      </c>
      <c r="H513" s="433">
        <v>392</v>
      </c>
      <c r="I513" s="433">
        <v>139944</v>
      </c>
      <c r="J513" s="433">
        <v>3857</v>
      </c>
      <c r="K513" s="433">
        <v>1376949</v>
      </c>
      <c r="L513" s="433">
        <v>0</v>
      </c>
      <c r="M513" s="433">
        <v>0</v>
      </c>
      <c r="N513" s="433">
        <v>4249</v>
      </c>
      <c r="O513" s="433">
        <v>1516893</v>
      </c>
      <c r="P513" s="683">
        <f>G514-G513</f>
        <v>-357</v>
      </c>
      <c r="Q513" s="683">
        <f>O514-O513</f>
        <v>-1516893</v>
      </c>
      <c r="R513" s="689" t="s">
        <v>723</v>
      </c>
      <c r="AC513" s="426">
        <v>140301</v>
      </c>
      <c r="AD513" s="426">
        <v>140301</v>
      </c>
      <c r="AF513" s="426">
        <v>1376949</v>
      </c>
    </row>
    <row r="514" spans="1:32" ht="23.1" customHeight="1">
      <c r="A514" s="412"/>
      <c r="B514" s="412"/>
      <c r="C514" s="412"/>
      <c r="D514" s="686"/>
      <c r="E514" s="686"/>
      <c r="F514" s="688"/>
      <c r="G514" s="434"/>
      <c r="H514" s="434"/>
      <c r="I514" s="434"/>
      <c r="J514" s="434"/>
      <c r="K514" s="434"/>
      <c r="L514" s="434"/>
      <c r="M514" s="434"/>
      <c r="N514" s="434"/>
      <c r="O514" s="434"/>
      <c r="P514" s="684"/>
      <c r="Q514" s="684"/>
      <c r="R514" s="690"/>
    </row>
    <row r="515" spans="1:32" s="426" customFormat="1" ht="23.1" customHeight="1">
      <c r="A515" s="423" t="s">
        <v>949</v>
      </c>
      <c r="B515" s="423" t="s">
        <v>948</v>
      </c>
      <c r="C515" s="423" t="s">
        <v>949</v>
      </c>
      <c r="D515" s="685" t="s">
        <v>864</v>
      </c>
      <c r="E515" s="685" t="s">
        <v>950</v>
      </c>
      <c r="F515" s="687" t="s">
        <v>592</v>
      </c>
      <c r="G515" s="433">
        <v>3</v>
      </c>
      <c r="H515" s="433">
        <v>1105</v>
      </c>
      <c r="I515" s="433">
        <v>3315</v>
      </c>
      <c r="J515" s="433">
        <v>13525</v>
      </c>
      <c r="K515" s="433">
        <v>40575</v>
      </c>
      <c r="L515" s="433">
        <v>0</v>
      </c>
      <c r="M515" s="433">
        <v>0</v>
      </c>
      <c r="N515" s="433">
        <v>14630</v>
      </c>
      <c r="O515" s="433">
        <v>43890</v>
      </c>
      <c r="P515" s="683">
        <f>G516-G515</f>
        <v>-3</v>
      </c>
      <c r="Q515" s="683">
        <f>O516-O515</f>
        <v>-43890</v>
      </c>
      <c r="R515" s="689" t="s">
        <v>951</v>
      </c>
      <c r="AC515" s="426">
        <v>3318</v>
      </c>
      <c r="AD515" s="426">
        <v>3318</v>
      </c>
      <c r="AF515" s="426">
        <v>40575</v>
      </c>
    </row>
    <row r="516" spans="1:32" ht="23.1" customHeight="1">
      <c r="A516" s="412"/>
      <c r="B516" s="412"/>
      <c r="C516" s="412"/>
      <c r="D516" s="686"/>
      <c r="E516" s="686"/>
      <c r="F516" s="688"/>
      <c r="G516" s="434"/>
      <c r="H516" s="434"/>
      <c r="I516" s="434"/>
      <c r="J516" s="434"/>
      <c r="K516" s="434"/>
      <c r="L516" s="434"/>
      <c r="M516" s="434"/>
      <c r="N516" s="434"/>
      <c r="O516" s="434"/>
      <c r="P516" s="684"/>
      <c r="Q516" s="684"/>
      <c r="R516" s="690"/>
    </row>
    <row r="517" spans="1:32" s="426" customFormat="1" ht="23.1" customHeight="1">
      <c r="A517" s="423" t="s">
        <v>952</v>
      </c>
      <c r="B517" s="423" t="s">
        <v>948</v>
      </c>
      <c r="C517" s="423" t="s">
        <v>952</v>
      </c>
      <c r="D517" s="685" t="s">
        <v>864</v>
      </c>
      <c r="E517" s="685" t="s">
        <v>953</v>
      </c>
      <c r="F517" s="687" t="s">
        <v>592</v>
      </c>
      <c r="G517" s="433">
        <v>24</v>
      </c>
      <c r="H517" s="433">
        <v>1828</v>
      </c>
      <c r="I517" s="433">
        <v>43872</v>
      </c>
      <c r="J517" s="433">
        <v>19944</v>
      </c>
      <c r="K517" s="433">
        <v>478656</v>
      </c>
      <c r="L517" s="433">
        <v>0</v>
      </c>
      <c r="M517" s="433">
        <v>0</v>
      </c>
      <c r="N517" s="433">
        <v>21772</v>
      </c>
      <c r="O517" s="433">
        <v>522528</v>
      </c>
      <c r="P517" s="683">
        <f>G518-G517</f>
        <v>-24</v>
      </c>
      <c r="Q517" s="683">
        <f>O518-O517</f>
        <v>-522528</v>
      </c>
      <c r="R517" s="689" t="s">
        <v>954</v>
      </c>
      <c r="AC517" s="426">
        <v>43872</v>
      </c>
      <c r="AD517" s="426">
        <v>43872</v>
      </c>
      <c r="AF517" s="426">
        <v>478680</v>
      </c>
    </row>
    <row r="518" spans="1:32" ht="23.1" customHeight="1">
      <c r="A518" s="412"/>
      <c r="B518" s="412"/>
      <c r="C518" s="412"/>
      <c r="D518" s="686"/>
      <c r="E518" s="686"/>
      <c r="F518" s="688"/>
      <c r="G518" s="434"/>
      <c r="H518" s="434"/>
      <c r="I518" s="434"/>
      <c r="J518" s="434"/>
      <c r="K518" s="434"/>
      <c r="L518" s="434"/>
      <c r="M518" s="434"/>
      <c r="N518" s="434"/>
      <c r="O518" s="434"/>
      <c r="P518" s="684"/>
      <c r="Q518" s="684"/>
      <c r="R518" s="690"/>
    </row>
    <row r="519" spans="1:32" s="426" customFormat="1" ht="23.1" customHeight="1">
      <c r="A519" s="423" t="s">
        <v>955</v>
      </c>
      <c r="B519" s="423" t="s">
        <v>948</v>
      </c>
      <c r="C519" s="423" t="s">
        <v>955</v>
      </c>
      <c r="D519" s="685" t="s">
        <v>864</v>
      </c>
      <c r="E519" s="685" t="s">
        <v>956</v>
      </c>
      <c r="F519" s="687" t="s">
        <v>617</v>
      </c>
      <c r="G519" s="433">
        <v>4</v>
      </c>
      <c r="H519" s="433">
        <v>708</v>
      </c>
      <c r="I519" s="433">
        <v>2832</v>
      </c>
      <c r="J519" s="433">
        <v>0</v>
      </c>
      <c r="K519" s="433">
        <v>0</v>
      </c>
      <c r="L519" s="433">
        <v>0</v>
      </c>
      <c r="M519" s="433">
        <v>0</v>
      </c>
      <c r="N519" s="433">
        <v>708</v>
      </c>
      <c r="O519" s="433">
        <v>2832</v>
      </c>
      <c r="P519" s="683">
        <f>G520-G519</f>
        <v>-4</v>
      </c>
      <c r="Q519" s="683">
        <f>O520-O519</f>
        <v>-2832</v>
      </c>
      <c r="R519" s="689" t="s">
        <v>957</v>
      </c>
    </row>
    <row r="520" spans="1:32" ht="23.1" customHeight="1">
      <c r="A520" s="412"/>
      <c r="B520" s="412"/>
      <c r="C520" s="412"/>
      <c r="D520" s="686"/>
      <c r="E520" s="686"/>
      <c r="F520" s="688"/>
      <c r="G520" s="434"/>
      <c r="H520" s="434"/>
      <c r="I520" s="434"/>
      <c r="J520" s="434"/>
      <c r="K520" s="434"/>
      <c r="L520" s="434"/>
      <c r="M520" s="434"/>
      <c r="N520" s="434"/>
      <c r="O520" s="434"/>
      <c r="P520" s="684"/>
      <c r="Q520" s="684"/>
      <c r="R520" s="690"/>
    </row>
    <row r="521" spans="1:32" s="426" customFormat="1" ht="23.1" customHeight="1">
      <c r="A521" s="423" t="s">
        <v>958</v>
      </c>
      <c r="B521" s="423" t="s">
        <v>948</v>
      </c>
      <c r="C521" s="423" t="s">
        <v>958</v>
      </c>
      <c r="D521" s="685" t="s">
        <v>864</v>
      </c>
      <c r="E521" s="685" t="s">
        <v>959</v>
      </c>
      <c r="F521" s="687" t="s">
        <v>617</v>
      </c>
      <c r="G521" s="433">
        <v>24</v>
      </c>
      <c r="H521" s="433">
        <v>1239</v>
      </c>
      <c r="I521" s="433">
        <v>29736</v>
      </c>
      <c r="J521" s="433">
        <v>0</v>
      </c>
      <c r="K521" s="433">
        <v>0</v>
      </c>
      <c r="L521" s="433">
        <v>0</v>
      </c>
      <c r="M521" s="433">
        <v>0</v>
      </c>
      <c r="N521" s="433">
        <v>1239</v>
      </c>
      <c r="O521" s="433">
        <v>29736</v>
      </c>
      <c r="P521" s="683">
        <f>G522-G521</f>
        <v>-24</v>
      </c>
      <c r="Q521" s="683">
        <f>O522-O521</f>
        <v>-29736</v>
      </c>
      <c r="R521" s="689" t="s">
        <v>960</v>
      </c>
    </row>
    <row r="522" spans="1:32" ht="23.1" customHeight="1">
      <c r="A522" s="412"/>
      <c r="B522" s="412"/>
      <c r="C522" s="412"/>
      <c r="D522" s="686"/>
      <c r="E522" s="686"/>
      <c r="F522" s="688"/>
      <c r="G522" s="434"/>
      <c r="H522" s="434"/>
      <c r="I522" s="434"/>
      <c r="J522" s="434"/>
      <c r="K522" s="434"/>
      <c r="L522" s="434"/>
      <c r="M522" s="434"/>
      <c r="N522" s="434"/>
      <c r="O522" s="434"/>
      <c r="P522" s="684"/>
      <c r="Q522" s="684"/>
      <c r="R522" s="690"/>
    </row>
    <row r="523" spans="1:32" s="426" customFormat="1" ht="23.1" customHeight="1">
      <c r="A523" s="423" t="s">
        <v>770</v>
      </c>
      <c r="B523" s="423" t="s">
        <v>948</v>
      </c>
      <c r="C523" s="423" t="s">
        <v>770</v>
      </c>
      <c r="D523" s="685" t="s">
        <v>771</v>
      </c>
      <c r="E523" s="685" t="s">
        <v>772</v>
      </c>
      <c r="F523" s="687" t="s">
        <v>617</v>
      </c>
      <c r="G523" s="433">
        <v>2</v>
      </c>
      <c r="H523" s="433">
        <v>3629</v>
      </c>
      <c r="I523" s="433">
        <v>7258</v>
      </c>
      <c r="J523" s="433">
        <v>0</v>
      </c>
      <c r="K523" s="433">
        <v>0</v>
      </c>
      <c r="L523" s="433">
        <v>0</v>
      </c>
      <c r="M523" s="433">
        <v>0</v>
      </c>
      <c r="N523" s="433">
        <v>3629</v>
      </c>
      <c r="O523" s="433">
        <v>7258</v>
      </c>
      <c r="P523" s="683">
        <f>G524-G523</f>
        <v>-2</v>
      </c>
      <c r="Q523" s="683">
        <f>O524-O523</f>
        <v>-7258</v>
      </c>
      <c r="R523" s="689" t="s">
        <v>773</v>
      </c>
    </row>
    <row r="524" spans="1:32" ht="23.1" customHeight="1">
      <c r="A524" s="412"/>
      <c r="B524" s="412"/>
      <c r="C524" s="412"/>
      <c r="D524" s="686"/>
      <c r="E524" s="686"/>
      <c r="F524" s="688"/>
      <c r="G524" s="434"/>
      <c r="H524" s="434"/>
      <c r="I524" s="434"/>
      <c r="J524" s="434"/>
      <c r="K524" s="434"/>
      <c r="L524" s="434"/>
      <c r="M524" s="434"/>
      <c r="N524" s="434"/>
      <c r="O524" s="434"/>
      <c r="P524" s="684"/>
      <c r="Q524" s="684"/>
      <c r="R524" s="690"/>
    </row>
    <row r="525" spans="1:32" s="426" customFormat="1" ht="23.1" customHeight="1">
      <c r="A525" s="423" t="s">
        <v>871</v>
      </c>
      <c r="B525" s="423" t="s">
        <v>948</v>
      </c>
      <c r="C525" s="423" t="s">
        <v>871</v>
      </c>
      <c r="D525" s="685" t="s">
        <v>868</v>
      </c>
      <c r="E525" s="685" t="s">
        <v>872</v>
      </c>
      <c r="F525" s="687" t="s">
        <v>617</v>
      </c>
      <c r="G525" s="433">
        <v>2</v>
      </c>
      <c r="H525" s="433">
        <v>1267</v>
      </c>
      <c r="I525" s="433">
        <v>2534</v>
      </c>
      <c r="J525" s="433">
        <v>27510</v>
      </c>
      <c r="K525" s="433">
        <v>55020</v>
      </c>
      <c r="L525" s="433">
        <v>0</v>
      </c>
      <c r="M525" s="433">
        <v>0</v>
      </c>
      <c r="N525" s="433">
        <v>28777</v>
      </c>
      <c r="O525" s="433">
        <v>57554</v>
      </c>
      <c r="P525" s="683">
        <f>G526-G525</f>
        <v>-2</v>
      </c>
      <c r="Q525" s="683">
        <f>O526-O525</f>
        <v>-57554</v>
      </c>
      <c r="R525" s="689" t="s">
        <v>873</v>
      </c>
      <c r="AF525" s="426">
        <v>55020</v>
      </c>
    </row>
    <row r="526" spans="1:32" ht="23.1" customHeight="1">
      <c r="A526" s="412"/>
      <c r="B526" s="412"/>
      <c r="C526" s="412"/>
      <c r="D526" s="686"/>
      <c r="E526" s="686"/>
      <c r="F526" s="688"/>
      <c r="G526" s="434"/>
      <c r="H526" s="434"/>
      <c r="I526" s="434"/>
      <c r="J526" s="434"/>
      <c r="K526" s="434"/>
      <c r="L526" s="434"/>
      <c r="M526" s="434"/>
      <c r="N526" s="434"/>
      <c r="O526" s="434"/>
      <c r="P526" s="684"/>
      <c r="Q526" s="684"/>
      <c r="R526" s="690"/>
    </row>
    <row r="527" spans="1:32" s="426" customFormat="1" ht="23.1" customHeight="1">
      <c r="A527" s="423" t="s">
        <v>874</v>
      </c>
      <c r="B527" s="423" t="s">
        <v>948</v>
      </c>
      <c r="C527" s="423" t="s">
        <v>874</v>
      </c>
      <c r="D527" s="685" t="s">
        <v>875</v>
      </c>
      <c r="E527" s="685" t="s">
        <v>876</v>
      </c>
      <c r="F527" s="687" t="s">
        <v>617</v>
      </c>
      <c r="G527" s="433">
        <v>8</v>
      </c>
      <c r="H527" s="433">
        <v>1432</v>
      </c>
      <c r="I527" s="433">
        <v>11456</v>
      </c>
      <c r="J527" s="433">
        <v>45850</v>
      </c>
      <c r="K527" s="433">
        <v>366800</v>
      </c>
      <c r="L527" s="433">
        <v>0</v>
      </c>
      <c r="M527" s="433">
        <v>0</v>
      </c>
      <c r="N527" s="433">
        <v>47282</v>
      </c>
      <c r="O527" s="433">
        <v>378256</v>
      </c>
      <c r="P527" s="683">
        <f>G528-G527</f>
        <v>-8</v>
      </c>
      <c r="Q527" s="683">
        <f>O528-O527</f>
        <v>-378256</v>
      </c>
      <c r="R527" s="689" t="s">
        <v>877</v>
      </c>
      <c r="AF527" s="426">
        <v>366800</v>
      </c>
    </row>
    <row r="528" spans="1:32" ht="23.1" customHeight="1">
      <c r="A528" s="412"/>
      <c r="B528" s="412"/>
      <c r="C528" s="412"/>
      <c r="D528" s="686"/>
      <c r="E528" s="686"/>
      <c r="F528" s="688"/>
      <c r="G528" s="434"/>
      <c r="H528" s="434"/>
      <c r="I528" s="434"/>
      <c r="J528" s="434"/>
      <c r="K528" s="434"/>
      <c r="L528" s="434"/>
      <c r="M528" s="434"/>
      <c r="N528" s="434"/>
      <c r="O528" s="434"/>
      <c r="P528" s="684"/>
      <c r="Q528" s="684"/>
      <c r="R528" s="690"/>
    </row>
    <row r="529" spans="1:32" s="426" customFormat="1" ht="23.1" customHeight="1">
      <c r="A529" s="423" t="s">
        <v>878</v>
      </c>
      <c r="B529" s="423" t="s">
        <v>948</v>
      </c>
      <c r="C529" s="423" t="s">
        <v>878</v>
      </c>
      <c r="D529" s="685" t="s">
        <v>875</v>
      </c>
      <c r="E529" s="685" t="s">
        <v>879</v>
      </c>
      <c r="F529" s="687" t="s">
        <v>617</v>
      </c>
      <c r="G529" s="433">
        <v>5</v>
      </c>
      <c r="H529" s="433">
        <v>1452</v>
      </c>
      <c r="I529" s="433">
        <v>7260</v>
      </c>
      <c r="J529" s="433">
        <v>45850</v>
      </c>
      <c r="K529" s="433">
        <v>229250</v>
      </c>
      <c r="L529" s="433">
        <v>0</v>
      </c>
      <c r="M529" s="433">
        <v>0</v>
      </c>
      <c r="N529" s="433">
        <v>47302</v>
      </c>
      <c r="O529" s="433">
        <v>236510</v>
      </c>
      <c r="P529" s="683">
        <f>G530-G529</f>
        <v>-5</v>
      </c>
      <c r="Q529" s="683">
        <f>O530-O529</f>
        <v>-236510</v>
      </c>
      <c r="R529" s="689" t="s">
        <v>880</v>
      </c>
      <c r="AF529" s="426">
        <v>229250</v>
      </c>
    </row>
    <row r="530" spans="1:32" ht="23.1" customHeight="1">
      <c r="A530" s="412"/>
      <c r="B530" s="412"/>
      <c r="C530" s="412"/>
      <c r="D530" s="686"/>
      <c r="E530" s="686"/>
      <c r="F530" s="688"/>
      <c r="G530" s="434"/>
      <c r="H530" s="434"/>
      <c r="I530" s="434"/>
      <c r="J530" s="434"/>
      <c r="K530" s="434"/>
      <c r="L530" s="434"/>
      <c r="M530" s="434"/>
      <c r="N530" s="434"/>
      <c r="O530" s="434"/>
      <c r="P530" s="684"/>
      <c r="Q530" s="684"/>
      <c r="R530" s="690"/>
    </row>
    <row r="531" spans="1:32" s="426" customFormat="1" ht="23.1" customHeight="1">
      <c r="A531" s="423" t="s">
        <v>885</v>
      </c>
      <c r="B531" s="423" t="s">
        <v>948</v>
      </c>
      <c r="C531" s="423" t="s">
        <v>885</v>
      </c>
      <c r="D531" s="685" t="s">
        <v>882</v>
      </c>
      <c r="E531" s="685" t="s">
        <v>886</v>
      </c>
      <c r="F531" s="687" t="s">
        <v>617</v>
      </c>
      <c r="G531" s="433">
        <v>2</v>
      </c>
      <c r="H531" s="433">
        <v>253</v>
      </c>
      <c r="I531" s="433">
        <v>506</v>
      </c>
      <c r="J531" s="433">
        <v>0</v>
      </c>
      <c r="K531" s="433">
        <v>0</v>
      </c>
      <c r="L531" s="433">
        <v>0</v>
      </c>
      <c r="M531" s="433">
        <v>0</v>
      </c>
      <c r="N531" s="433">
        <v>253</v>
      </c>
      <c r="O531" s="433">
        <v>506</v>
      </c>
      <c r="P531" s="683">
        <f>G532-G531</f>
        <v>-2</v>
      </c>
      <c r="Q531" s="683">
        <f>O532-O531</f>
        <v>-506</v>
      </c>
      <c r="R531" s="689" t="s">
        <v>887</v>
      </c>
    </row>
    <row r="532" spans="1:32" ht="23.1" customHeight="1">
      <c r="A532" s="412"/>
      <c r="B532" s="412"/>
      <c r="C532" s="412"/>
      <c r="D532" s="686"/>
      <c r="E532" s="686"/>
      <c r="F532" s="688"/>
      <c r="G532" s="434"/>
      <c r="H532" s="434"/>
      <c r="I532" s="434"/>
      <c r="J532" s="434"/>
      <c r="K532" s="434"/>
      <c r="L532" s="434"/>
      <c r="M532" s="434"/>
      <c r="N532" s="434"/>
      <c r="O532" s="434"/>
      <c r="P532" s="684"/>
      <c r="Q532" s="684"/>
      <c r="R532" s="690"/>
    </row>
    <row r="533" spans="1:32" s="426" customFormat="1" ht="23.1" customHeight="1">
      <c r="A533" s="423" t="s">
        <v>888</v>
      </c>
      <c r="B533" s="423" t="s">
        <v>948</v>
      </c>
      <c r="C533" s="423" t="s">
        <v>888</v>
      </c>
      <c r="D533" s="685" t="s">
        <v>882</v>
      </c>
      <c r="E533" s="685" t="s">
        <v>889</v>
      </c>
      <c r="F533" s="687" t="s">
        <v>617</v>
      </c>
      <c r="G533" s="433">
        <v>5</v>
      </c>
      <c r="H533" s="433">
        <v>250</v>
      </c>
      <c r="I533" s="433">
        <v>1250</v>
      </c>
      <c r="J533" s="433">
        <v>0</v>
      </c>
      <c r="K533" s="433">
        <v>0</v>
      </c>
      <c r="L533" s="433">
        <v>0</v>
      </c>
      <c r="M533" s="433">
        <v>0</v>
      </c>
      <c r="N533" s="433">
        <v>250</v>
      </c>
      <c r="O533" s="433">
        <v>1250</v>
      </c>
      <c r="P533" s="683">
        <f>G534-G533</f>
        <v>-5</v>
      </c>
      <c r="Q533" s="683">
        <f>O534-O533</f>
        <v>-1250</v>
      </c>
      <c r="R533" s="689" t="s">
        <v>890</v>
      </c>
    </row>
    <row r="534" spans="1:32" ht="23.1" customHeight="1">
      <c r="A534" s="412"/>
      <c r="B534" s="412"/>
      <c r="C534" s="412"/>
      <c r="D534" s="686"/>
      <c r="E534" s="686"/>
      <c r="F534" s="688"/>
      <c r="G534" s="434"/>
      <c r="H534" s="434"/>
      <c r="I534" s="434"/>
      <c r="J534" s="434"/>
      <c r="K534" s="434"/>
      <c r="L534" s="434"/>
      <c r="M534" s="434"/>
      <c r="N534" s="434"/>
      <c r="O534" s="434"/>
      <c r="P534" s="684"/>
      <c r="Q534" s="684"/>
      <c r="R534" s="690"/>
    </row>
    <row r="535" spans="1:32" s="426" customFormat="1" ht="23.1" customHeight="1">
      <c r="A535" s="423" t="s">
        <v>842</v>
      </c>
      <c r="B535" s="423" t="s">
        <v>948</v>
      </c>
      <c r="C535" s="423" t="s">
        <v>842</v>
      </c>
      <c r="D535" s="685" t="s">
        <v>843</v>
      </c>
      <c r="E535" s="685" t="s">
        <v>844</v>
      </c>
      <c r="F535" s="687" t="s">
        <v>679</v>
      </c>
      <c r="G535" s="433">
        <v>1</v>
      </c>
      <c r="H535" s="433">
        <v>2003</v>
      </c>
      <c r="I535" s="433">
        <v>2003</v>
      </c>
      <c r="J535" s="433">
        <v>9169</v>
      </c>
      <c r="K535" s="433">
        <v>9169</v>
      </c>
      <c r="L535" s="433">
        <v>0</v>
      </c>
      <c r="M535" s="433">
        <v>0</v>
      </c>
      <c r="N535" s="433">
        <v>11172</v>
      </c>
      <c r="O535" s="433">
        <v>11172</v>
      </c>
      <c r="P535" s="683">
        <f>G536-G535</f>
        <v>-1</v>
      </c>
      <c r="Q535" s="683">
        <f>O536-O535</f>
        <v>-11172</v>
      </c>
      <c r="R535" s="689" t="s">
        <v>845</v>
      </c>
      <c r="AF535" s="426">
        <v>9170</v>
      </c>
    </row>
    <row r="536" spans="1:32" ht="23.1" customHeight="1">
      <c r="A536" s="412"/>
      <c r="B536" s="412"/>
      <c r="C536" s="412"/>
      <c r="D536" s="686"/>
      <c r="E536" s="686"/>
      <c r="F536" s="688"/>
      <c r="G536" s="434"/>
      <c r="H536" s="434"/>
      <c r="I536" s="434"/>
      <c r="J536" s="434"/>
      <c r="K536" s="434"/>
      <c r="L536" s="434"/>
      <c r="M536" s="434"/>
      <c r="N536" s="434"/>
      <c r="O536" s="434"/>
      <c r="P536" s="684"/>
      <c r="Q536" s="684"/>
      <c r="R536" s="690"/>
    </row>
    <row r="537" spans="1:32" s="426" customFormat="1" ht="23.1" customHeight="1">
      <c r="A537" s="423" t="s">
        <v>736</v>
      </c>
      <c r="B537" s="423" t="s">
        <v>948</v>
      </c>
      <c r="C537" s="423" t="s">
        <v>736</v>
      </c>
      <c r="D537" s="685" t="s">
        <v>621</v>
      </c>
      <c r="E537" s="685" t="s">
        <v>737</v>
      </c>
      <c r="F537" s="687" t="s">
        <v>617</v>
      </c>
      <c r="G537" s="433">
        <v>11</v>
      </c>
      <c r="H537" s="433">
        <v>3450</v>
      </c>
      <c r="I537" s="433">
        <v>37950</v>
      </c>
      <c r="J537" s="433">
        <v>50434</v>
      </c>
      <c r="K537" s="433">
        <v>554774</v>
      </c>
      <c r="L537" s="433">
        <v>0</v>
      </c>
      <c r="M537" s="433">
        <v>0</v>
      </c>
      <c r="N537" s="433">
        <v>53884</v>
      </c>
      <c r="O537" s="433">
        <v>592724</v>
      </c>
      <c r="P537" s="683">
        <f>G538-G537</f>
        <v>-11</v>
      </c>
      <c r="Q537" s="683">
        <f>O538-O537</f>
        <v>-592724</v>
      </c>
      <c r="R537" s="689" t="s">
        <v>738</v>
      </c>
      <c r="AF537" s="426">
        <v>554785</v>
      </c>
    </row>
    <row r="538" spans="1:32" ht="23.1" customHeight="1">
      <c r="A538" s="412"/>
      <c r="B538" s="412"/>
      <c r="C538" s="412"/>
      <c r="D538" s="686"/>
      <c r="E538" s="686"/>
      <c r="F538" s="688"/>
      <c r="G538" s="434"/>
      <c r="H538" s="434"/>
      <c r="I538" s="434"/>
      <c r="J538" s="434"/>
      <c r="K538" s="434"/>
      <c r="L538" s="434"/>
      <c r="M538" s="434"/>
      <c r="N538" s="434"/>
      <c r="O538" s="434"/>
      <c r="P538" s="684"/>
      <c r="Q538" s="684"/>
      <c r="R538" s="690"/>
    </row>
    <row r="539" spans="1:32" s="426" customFormat="1" ht="23.1" customHeight="1">
      <c r="A539" s="423" t="s">
        <v>847</v>
      </c>
      <c r="B539" s="423" t="s">
        <v>948</v>
      </c>
      <c r="C539" s="423" t="s">
        <v>847</v>
      </c>
      <c r="D539" s="685" t="s">
        <v>848</v>
      </c>
      <c r="E539" s="685" t="s">
        <v>849</v>
      </c>
      <c r="F539" s="687" t="s">
        <v>592</v>
      </c>
      <c r="G539" s="433">
        <v>849</v>
      </c>
      <c r="H539" s="433">
        <v>676</v>
      </c>
      <c r="I539" s="433">
        <v>573924</v>
      </c>
      <c r="J539" s="433">
        <v>2292</v>
      </c>
      <c r="K539" s="433">
        <v>1945908</v>
      </c>
      <c r="L539" s="433">
        <v>0</v>
      </c>
      <c r="M539" s="433">
        <v>0</v>
      </c>
      <c r="N539" s="433">
        <v>2968</v>
      </c>
      <c r="O539" s="433">
        <v>2519832</v>
      </c>
      <c r="P539" s="683">
        <f>G540-G539</f>
        <v>-849</v>
      </c>
      <c r="Q539" s="683">
        <f>O540-O539</f>
        <v>-2519832</v>
      </c>
      <c r="R539" s="689" t="s">
        <v>850</v>
      </c>
      <c r="AD539" s="426">
        <v>574773</v>
      </c>
      <c r="AF539" s="426">
        <v>1945908</v>
      </c>
    </row>
    <row r="540" spans="1:32" ht="23.1" customHeight="1">
      <c r="A540" s="412"/>
      <c r="B540" s="412"/>
      <c r="C540" s="412"/>
      <c r="D540" s="686"/>
      <c r="E540" s="686"/>
      <c r="F540" s="688"/>
      <c r="G540" s="434"/>
      <c r="H540" s="434"/>
      <c r="I540" s="434"/>
      <c r="J540" s="434"/>
      <c r="K540" s="434"/>
      <c r="L540" s="434"/>
      <c r="M540" s="434"/>
      <c r="N540" s="434"/>
      <c r="O540" s="434"/>
      <c r="P540" s="684"/>
      <c r="Q540" s="684"/>
      <c r="R540" s="690"/>
    </row>
    <row r="541" spans="1:32" s="426" customFormat="1" ht="23.1" customHeight="1">
      <c r="A541" s="423" t="s">
        <v>783</v>
      </c>
      <c r="B541" s="423" t="s">
        <v>948</v>
      </c>
      <c r="C541" s="423" t="s">
        <v>783</v>
      </c>
      <c r="D541" s="685" t="s">
        <v>626</v>
      </c>
      <c r="E541" s="685" t="s">
        <v>784</v>
      </c>
      <c r="F541" s="687" t="s">
        <v>592</v>
      </c>
      <c r="G541" s="433">
        <v>414</v>
      </c>
      <c r="H541" s="433">
        <v>751</v>
      </c>
      <c r="I541" s="433">
        <v>310914</v>
      </c>
      <c r="J541" s="433">
        <v>2063</v>
      </c>
      <c r="K541" s="433">
        <v>854082</v>
      </c>
      <c r="L541" s="433">
        <v>0</v>
      </c>
      <c r="M541" s="433">
        <v>0</v>
      </c>
      <c r="N541" s="433">
        <v>2814</v>
      </c>
      <c r="O541" s="433">
        <v>1164996</v>
      </c>
      <c r="P541" s="683">
        <f>G542-G541</f>
        <v>-414</v>
      </c>
      <c r="Q541" s="683">
        <f>O542-O541</f>
        <v>-1164996</v>
      </c>
      <c r="R541" s="689" t="s">
        <v>785</v>
      </c>
      <c r="AD541" s="426">
        <v>310914</v>
      </c>
      <c r="AF541" s="426">
        <v>854082</v>
      </c>
    </row>
    <row r="542" spans="1:32" ht="23.1" customHeight="1">
      <c r="A542" s="412"/>
      <c r="B542" s="412"/>
      <c r="C542" s="412"/>
      <c r="D542" s="686"/>
      <c r="E542" s="686"/>
      <c r="F542" s="688"/>
      <c r="G542" s="434"/>
      <c r="H542" s="434"/>
      <c r="I542" s="434"/>
      <c r="J542" s="434"/>
      <c r="K542" s="434"/>
      <c r="L542" s="434"/>
      <c r="M542" s="434"/>
      <c r="N542" s="434"/>
      <c r="O542" s="434"/>
      <c r="P542" s="684"/>
      <c r="Q542" s="684"/>
      <c r="R542" s="690"/>
    </row>
    <row r="543" spans="1:32" s="426" customFormat="1" ht="23.1" customHeight="1">
      <c r="A543" s="423" t="s">
        <v>798</v>
      </c>
      <c r="B543" s="423" t="s">
        <v>948</v>
      </c>
      <c r="C543" s="423" t="s">
        <v>798</v>
      </c>
      <c r="D543" s="685" t="s">
        <v>631</v>
      </c>
      <c r="E543" s="685" t="s">
        <v>799</v>
      </c>
      <c r="F543" s="687" t="s">
        <v>592</v>
      </c>
      <c r="G543" s="433">
        <v>414</v>
      </c>
      <c r="H543" s="433">
        <v>3582</v>
      </c>
      <c r="I543" s="433">
        <v>1482948</v>
      </c>
      <c r="J543" s="433">
        <v>8179</v>
      </c>
      <c r="K543" s="433">
        <v>3386106</v>
      </c>
      <c r="L543" s="433">
        <v>0</v>
      </c>
      <c r="M543" s="433">
        <v>0</v>
      </c>
      <c r="N543" s="433">
        <v>11761</v>
      </c>
      <c r="O543" s="433">
        <v>4869054</v>
      </c>
      <c r="P543" s="683">
        <f>G544-G543</f>
        <v>-414</v>
      </c>
      <c r="Q543" s="683">
        <f>O544-O543</f>
        <v>-4869054</v>
      </c>
      <c r="R543" s="689" t="s">
        <v>800</v>
      </c>
      <c r="AD543" s="426">
        <v>1482948</v>
      </c>
      <c r="AF543" s="426">
        <v>3386106</v>
      </c>
    </row>
    <row r="544" spans="1:32" ht="23.1" customHeight="1">
      <c r="A544" s="412"/>
      <c r="B544" s="412"/>
      <c r="C544" s="412"/>
      <c r="D544" s="686"/>
      <c r="E544" s="686"/>
      <c r="F544" s="688"/>
      <c r="G544" s="434"/>
      <c r="H544" s="434"/>
      <c r="I544" s="434"/>
      <c r="J544" s="434"/>
      <c r="K544" s="434"/>
      <c r="L544" s="434"/>
      <c r="M544" s="434"/>
      <c r="N544" s="434"/>
      <c r="O544" s="434"/>
      <c r="P544" s="684"/>
      <c r="Q544" s="684"/>
      <c r="R544" s="690"/>
    </row>
    <row r="545" spans="1:32" s="426" customFormat="1" ht="23.1" customHeight="1">
      <c r="A545" s="423" t="s">
        <v>939</v>
      </c>
      <c r="B545" s="423" t="s">
        <v>948</v>
      </c>
      <c r="C545" s="423" t="s">
        <v>939</v>
      </c>
      <c r="D545" s="685" t="s">
        <v>940</v>
      </c>
      <c r="E545" s="685" t="s">
        <v>941</v>
      </c>
      <c r="F545" s="687" t="s">
        <v>617</v>
      </c>
      <c r="G545" s="433">
        <v>11</v>
      </c>
      <c r="H545" s="433">
        <v>1557</v>
      </c>
      <c r="I545" s="433">
        <v>17127</v>
      </c>
      <c r="J545" s="433">
        <v>18339</v>
      </c>
      <c r="K545" s="433">
        <v>201729</v>
      </c>
      <c r="L545" s="433">
        <v>0</v>
      </c>
      <c r="M545" s="433">
        <v>0</v>
      </c>
      <c r="N545" s="433">
        <v>19896</v>
      </c>
      <c r="O545" s="433">
        <v>218856</v>
      </c>
      <c r="P545" s="683">
        <f>G546-G545</f>
        <v>-11</v>
      </c>
      <c r="Q545" s="683">
        <f>O546-O545</f>
        <v>-218856</v>
      </c>
      <c r="R545" s="689" t="s">
        <v>942</v>
      </c>
      <c r="AF545" s="426">
        <v>201740</v>
      </c>
    </row>
    <row r="546" spans="1:32" ht="23.1" customHeight="1">
      <c r="A546" s="412"/>
      <c r="B546" s="412"/>
      <c r="C546" s="412"/>
      <c r="D546" s="686"/>
      <c r="E546" s="686"/>
      <c r="F546" s="688"/>
      <c r="G546" s="434"/>
      <c r="H546" s="434"/>
      <c r="I546" s="434"/>
      <c r="J546" s="434"/>
      <c r="K546" s="434"/>
      <c r="L546" s="434"/>
      <c r="M546" s="434"/>
      <c r="N546" s="434"/>
      <c r="O546" s="434"/>
      <c r="P546" s="684"/>
      <c r="Q546" s="684"/>
      <c r="R546" s="690"/>
    </row>
    <row r="547" spans="1:32" s="426" customFormat="1" ht="23.1" customHeight="1">
      <c r="A547" s="423" t="s">
        <v>810</v>
      </c>
      <c r="B547" s="423" t="s">
        <v>948</v>
      </c>
      <c r="C547" s="423" t="s">
        <v>810</v>
      </c>
      <c r="D547" s="685" t="s">
        <v>811</v>
      </c>
      <c r="E547" s="685" t="s">
        <v>812</v>
      </c>
      <c r="F547" s="687" t="s">
        <v>659</v>
      </c>
      <c r="G547" s="433">
        <v>10</v>
      </c>
      <c r="H547" s="433">
        <v>1548</v>
      </c>
      <c r="I547" s="433">
        <v>15480</v>
      </c>
      <c r="J547" s="433">
        <v>8253</v>
      </c>
      <c r="K547" s="433">
        <v>82530</v>
      </c>
      <c r="L547" s="433">
        <v>0</v>
      </c>
      <c r="M547" s="433">
        <v>0</v>
      </c>
      <c r="N547" s="433">
        <v>9801</v>
      </c>
      <c r="O547" s="433">
        <v>98010</v>
      </c>
      <c r="P547" s="683">
        <f>G548-G547</f>
        <v>-10</v>
      </c>
      <c r="Q547" s="683">
        <f>O548-O547</f>
        <v>-98010</v>
      </c>
      <c r="R547" s="689" t="s">
        <v>813</v>
      </c>
      <c r="AF547" s="426">
        <v>82530</v>
      </c>
    </row>
    <row r="548" spans="1:32" ht="23.1" customHeight="1">
      <c r="A548" s="412"/>
      <c r="B548" s="412"/>
      <c r="C548" s="412"/>
      <c r="D548" s="686"/>
      <c r="E548" s="686"/>
      <c r="F548" s="688"/>
      <c r="G548" s="434"/>
      <c r="H548" s="434"/>
      <c r="I548" s="434"/>
      <c r="J548" s="434"/>
      <c r="K548" s="434"/>
      <c r="L548" s="434"/>
      <c r="M548" s="434"/>
      <c r="N548" s="434">
        <f t="shared" si="12"/>
        <v>0</v>
      </c>
      <c r="O548" s="434"/>
      <c r="P548" s="684"/>
      <c r="Q548" s="684"/>
      <c r="R548" s="690"/>
    </row>
    <row r="549" spans="1:32" s="426" customFormat="1" ht="23.1" customHeight="1">
      <c r="A549" s="423"/>
      <c r="B549" s="423"/>
      <c r="C549" s="423"/>
      <c r="D549" s="691" t="str">
        <f>신규_공종별내역서!A197</f>
        <v>합성수지제 가요전선관-매입</v>
      </c>
      <c r="E549" s="691" t="str">
        <f>신규_공종별내역서!B197</f>
        <v>(난연성), 16㎜</v>
      </c>
      <c r="F549" s="689" t="str">
        <f>신규_공종별내역서!C197</f>
        <v>M</v>
      </c>
      <c r="G549" s="433"/>
      <c r="H549" s="433"/>
      <c r="I549" s="433"/>
      <c r="J549" s="433"/>
      <c r="K549" s="433"/>
      <c r="L549" s="433"/>
      <c r="M549" s="433"/>
      <c r="N549" s="433">
        <f t="shared" si="12"/>
        <v>0</v>
      </c>
      <c r="O549" s="433"/>
      <c r="P549" s="683">
        <f>G550-G549</f>
        <v>635.5</v>
      </c>
      <c r="Q549" s="683">
        <f>O550-O549</f>
        <v>6300982</v>
      </c>
      <c r="R549" s="687" t="str">
        <f>신규_공종별내역서!L197</f>
        <v>신규호표 65</v>
      </c>
    </row>
    <row r="550" spans="1:32" ht="23.1" customHeight="1">
      <c r="A550" s="412"/>
      <c r="B550" s="412"/>
      <c r="C550" s="412"/>
      <c r="D550" s="692"/>
      <c r="E550" s="692"/>
      <c r="F550" s="690"/>
      <c r="G550" s="434">
        <f>신규_공종별내역서!D197</f>
        <v>635.5</v>
      </c>
      <c r="H550" s="434">
        <f>신규_공종별내역서!E197</f>
        <v>516</v>
      </c>
      <c r="I550" s="434">
        <f>신규_공종별내역서!F197</f>
        <v>327918</v>
      </c>
      <c r="J550" s="434">
        <f>신규_공종별내역서!G197</f>
        <v>9399</v>
      </c>
      <c r="K550" s="434">
        <f>신규_공종별내역서!H197</f>
        <v>5973064</v>
      </c>
      <c r="L550" s="434">
        <f>신규_공종별내역서!I197</f>
        <v>0</v>
      </c>
      <c r="M550" s="434">
        <f>신규_공종별내역서!J197</f>
        <v>0</v>
      </c>
      <c r="N550" s="434">
        <f t="shared" si="12"/>
        <v>9915</v>
      </c>
      <c r="O550" s="434">
        <f>신규_공종별내역서!K197</f>
        <v>6300982</v>
      </c>
      <c r="P550" s="684"/>
      <c r="Q550" s="684"/>
      <c r="R550" s="688"/>
      <c r="AF550" s="422">
        <f ca="1">TRUNC([2]!sumcol(0,AF465:AF506))</f>
        <v>0</v>
      </c>
    </row>
    <row r="551" spans="1:32" s="426" customFormat="1" ht="23.1" customHeight="1">
      <c r="A551" s="423"/>
      <c r="B551" s="423"/>
      <c r="C551" s="423"/>
      <c r="D551" s="691" t="str">
        <f>신규_공종별내역서!A198</f>
        <v>1종금속제가요전선관</v>
      </c>
      <c r="E551" s="691" t="str">
        <f>신규_공종별내역서!B198</f>
        <v xml:space="preserve"> 16 mm 비방수</v>
      </c>
      <c r="F551" s="689" t="str">
        <f>신규_공종별내역서!C198</f>
        <v>M</v>
      </c>
      <c r="G551" s="433"/>
      <c r="H551" s="433"/>
      <c r="I551" s="433"/>
      <c r="J551" s="433"/>
      <c r="K551" s="433"/>
      <c r="L551" s="433"/>
      <c r="M551" s="433"/>
      <c r="N551" s="433">
        <f t="shared" si="12"/>
        <v>0</v>
      </c>
      <c r="O551" s="433"/>
      <c r="P551" s="683">
        <f>G552-G551</f>
        <v>32.799999999999997</v>
      </c>
      <c r="Q551" s="683">
        <f>O552-O551</f>
        <v>394944</v>
      </c>
      <c r="R551" s="687" t="str">
        <f>신규_공종별내역서!L198</f>
        <v>신규호표 72</v>
      </c>
    </row>
    <row r="552" spans="1:32" ht="23.1" customHeight="1">
      <c r="A552" s="412"/>
      <c r="B552" s="412"/>
      <c r="C552" s="412"/>
      <c r="D552" s="692"/>
      <c r="E552" s="692"/>
      <c r="F552" s="690"/>
      <c r="G552" s="434">
        <f>신규_공종별내역서!D198</f>
        <v>32.799999999999997</v>
      </c>
      <c r="H552" s="434">
        <f>신규_공종별내역서!E198</f>
        <v>649</v>
      </c>
      <c r="I552" s="434">
        <f>신규_공종별내역서!F198</f>
        <v>21287</v>
      </c>
      <c r="J552" s="434">
        <f>신규_공종별내역서!G198</f>
        <v>11392</v>
      </c>
      <c r="K552" s="434">
        <f>신규_공종별내역서!H198</f>
        <v>373657</v>
      </c>
      <c r="L552" s="434">
        <f>신규_공종별내역서!I198</f>
        <v>0</v>
      </c>
      <c r="M552" s="434">
        <f>신규_공종별내역서!J198</f>
        <v>0</v>
      </c>
      <c r="N552" s="434">
        <f t="shared" si="12"/>
        <v>12041</v>
      </c>
      <c r="O552" s="434">
        <f>신규_공종별내역서!K198</f>
        <v>394944</v>
      </c>
      <c r="P552" s="684"/>
      <c r="Q552" s="684"/>
      <c r="R552" s="688"/>
    </row>
    <row r="553" spans="1:32" s="426" customFormat="1" ht="23.1" customHeight="1">
      <c r="A553" s="423"/>
      <c r="B553" s="423"/>
      <c r="C553" s="423"/>
      <c r="D553" s="691" t="str">
        <f>신규_공종별내역서!A199</f>
        <v>1종금속제가요전선관</v>
      </c>
      <c r="E553" s="691" t="str">
        <f>신규_공종별내역서!B199</f>
        <v xml:space="preserve"> 54 mm 방수</v>
      </c>
      <c r="F553" s="689" t="str">
        <f>신규_공종별내역서!C199</f>
        <v>M</v>
      </c>
      <c r="G553" s="433"/>
      <c r="H553" s="433"/>
      <c r="I553" s="433"/>
      <c r="J553" s="433"/>
      <c r="K553" s="433"/>
      <c r="L553" s="433"/>
      <c r="M553" s="433"/>
      <c r="N553" s="433">
        <f t="shared" si="12"/>
        <v>0</v>
      </c>
      <c r="O553" s="433"/>
      <c r="P553" s="683">
        <f>G554-G553</f>
        <v>2.8</v>
      </c>
      <c r="Q553" s="683">
        <f>O554-O553</f>
        <v>145154</v>
      </c>
      <c r="R553" s="687" t="str">
        <f>신규_공종별내역서!L199</f>
        <v>신규호표 91</v>
      </c>
    </row>
    <row r="554" spans="1:32" ht="23.1" customHeight="1">
      <c r="A554" s="412"/>
      <c r="B554" s="412"/>
      <c r="C554" s="412"/>
      <c r="D554" s="692"/>
      <c r="E554" s="692"/>
      <c r="F554" s="690"/>
      <c r="G554" s="434">
        <f>신규_공종별내역서!D199</f>
        <v>2.8</v>
      </c>
      <c r="H554" s="434">
        <f>신규_공종별내역서!E199</f>
        <v>13537</v>
      </c>
      <c r="I554" s="434">
        <f>신규_공종별내역서!F199</f>
        <v>37903</v>
      </c>
      <c r="J554" s="434">
        <f>신규_공종별내역서!G199</f>
        <v>38304</v>
      </c>
      <c r="K554" s="434">
        <f>신규_공종별내역서!H199</f>
        <v>107251</v>
      </c>
      <c r="L554" s="434">
        <f>신규_공종별내역서!I199</f>
        <v>0</v>
      </c>
      <c r="M554" s="434">
        <f>신규_공종별내역서!J199</f>
        <v>0</v>
      </c>
      <c r="N554" s="434">
        <f t="shared" si="12"/>
        <v>51841</v>
      </c>
      <c r="O554" s="434">
        <f>신규_공종별내역서!K199</f>
        <v>145154</v>
      </c>
      <c r="P554" s="684"/>
      <c r="Q554" s="684"/>
      <c r="R554" s="688"/>
    </row>
    <row r="555" spans="1:32" s="426" customFormat="1" ht="23.1" customHeight="1">
      <c r="A555" s="423"/>
      <c r="B555" s="423"/>
      <c r="C555" s="423"/>
      <c r="D555" s="691" t="str">
        <f>신규_공종별내역서!A200</f>
        <v>1종금속제가요전선관</v>
      </c>
      <c r="E555" s="691" t="str">
        <f>신규_공종별내역서!B200</f>
        <v xml:space="preserve"> 36 mm 방수</v>
      </c>
      <c r="F555" s="689" t="str">
        <f>신규_공종별내역서!C200</f>
        <v>M</v>
      </c>
      <c r="G555" s="433"/>
      <c r="H555" s="433"/>
      <c r="I555" s="433"/>
      <c r="J555" s="433"/>
      <c r="K555" s="433"/>
      <c r="L555" s="433"/>
      <c r="M555" s="433"/>
      <c r="N555" s="433">
        <f t="shared" si="12"/>
        <v>0</v>
      </c>
      <c r="O555" s="433"/>
      <c r="P555" s="683">
        <f>G556-G555</f>
        <v>21.5</v>
      </c>
      <c r="Q555" s="683">
        <f>O556-O555</f>
        <v>524685</v>
      </c>
      <c r="R555" s="687" t="str">
        <f>신규_공종별내역서!L200</f>
        <v>신규호표 92</v>
      </c>
    </row>
    <row r="556" spans="1:32" ht="23.1" customHeight="1">
      <c r="A556" s="412"/>
      <c r="B556" s="412"/>
      <c r="C556" s="412"/>
      <c r="D556" s="692"/>
      <c r="E556" s="692"/>
      <c r="F556" s="690"/>
      <c r="G556" s="434">
        <f>신규_공종별내역서!D200</f>
        <v>21.5</v>
      </c>
      <c r="H556" s="434">
        <f>신규_공종별내역서!E200</f>
        <v>1879</v>
      </c>
      <c r="I556" s="434">
        <f>신규_공종별내역서!F200</f>
        <v>40398</v>
      </c>
      <c r="J556" s="434">
        <f>신규_공종별내역서!G200</f>
        <v>22525</v>
      </c>
      <c r="K556" s="434">
        <f>신규_공종별내역서!H200</f>
        <v>484287</v>
      </c>
      <c r="L556" s="434">
        <f>신규_공종별내역서!I200</f>
        <v>0</v>
      </c>
      <c r="M556" s="434">
        <f>신규_공종별내역서!J200</f>
        <v>0</v>
      </c>
      <c r="N556" s="434">
        <f t="shared" si="12"/>
        <v>24404</v>
      </c>
      <c r="O556" s="434">
        <f>신규_공종별내역서!K200</f>
        <v>524685</v>
      </c>
      <c r="P556" s="684"/>
      <c r="Q556" s="684"/>
      <c r="R556" s="688"/>
      <c r="AF556" s="422">
        <f ca="1">TRUNC([2]!sumcol(0,AF471:AF512))</f>
        <v>0</v>
      </c>
    </row>
    <row r="557" spans="1:32" s="426" customFormat="1" ht="23.1" customHeight="1">
      <c r="A557" s="423"/>
      <c r="B557" s="423"/>
      <c r="C557" s="423"/>
      <c r="D557" s="691" t="str">
        <f>신규_공종별내역서!A201</f>
        <v>1종금속제가요전선관</v>
      </c>
      <c r="E557" s="691" t="str">
        <f>신규_공종별내역서!B201</f>
        <v>박스커넥터, 16mm, 비방수</v>
      </c>
      <c r="F557" s="689" t="str">
        <f>신규_공종별내역서!C201</f>
        <v>개</v>
      </c>
      <c r="G557" s="433"/>
      <c r="H557" s="433"/>
      <c r="I557" s="433"/>
      <c r="J557" s="433"/>
      <c r="K557" s="433"/>
      <c r="L557" s="433"/>
      <c r="M557" s="433"/>
      <c r="N557" s="433">
        <f t="shared" si="12"/>
        <v>0</v>
      </c>
      <c r="O557" s="433"/>
      <c r="P557" s="683">
        <f>G558-G557</f>
        <v>20</v>
      </c>
      <c r="Q557" s="683">
        <f>O558-O557</f>
        <v>19460</v>
      </c>
      <c r="R557" s="687" t="str">
        <f>신규_공종별내역서!L201</f>
        <v/>
      </c>
    </row>
    <row r="558" spans="1:32" ht="23.1" customHeight="1">
      <c r="A558" s="412"/>
      <c r="B558" s="412"/>
      <c r="C558" s="412"/>
      <c r="D558" s="692"/>
      <c r="E558" s="692"/>
      <c r="F558" s="690"/>
      <c r="G558" s="434">
        <f>신규_공종별내역서!D201</f>
        <v>20</v>
      </c>
      <c r="H558" s="434">
        <f>신규_공종별내역서!E201</f>
        <v>973</v>
      </c>
      <c r="I558" s="434">
        <f>신규_공종별내역서!F201</f>
        <v>19460</v>
      </c>
      <c r="J558" s="434">
        <f>신규_공종별내역서!G201</f>
        <v>0</v>
      </c>
      <c r="K558" s="434">
        <f>신규_공종별내역서!H201</f>
        <v>0</v>
      </c>
      <c r="L558" s="434">
        <f>신규_공종별내역서!I201</f>
        <v>0</v>
      </c>
      <c r="M558" s="434">
        <f>신규_공종별내역서!J201</f>
        <v>0</v>
      </c>
      <c r="N558" s="434">
        <f t="shared" si="12"/>
        <v>973</v>
      </c>
      <c r="O558" s="434">
        <f>신규_공종별내역서!K201</f>
        <v>19460</v>
      </c>
      <c r="P558" s="684"/>
      <c r="Q558" s="684"/>
      <c r="R558" s="688"/>
    </row>
    <row r="559" spans="1:32" s="426" customFormat="1" ht="23.1" customHeight="1">
      <c r="A559" s="423"/>
      <c r="B559" s="423"/>
      <c r="C559" s="423"/>
      <c r="D559" s="691" t="str">
        <f>신규_공종별내역서!A202</f>
        <v>1종금속제가요전선관</v>
      </c>
      <c r="E559" s="691" t="str">
        <f>신규_공종별내역서!B202</f>
        <v>1종금속제가요전선관, 박스커넥터, 36mm, 방수</v>
      </c>
      <c r="F559" s="689" t="str">
        <f>신규_공종별내역서!C202</f>
        <v>개</v>
      </c>
      <c r="G559" s="433"/>
      <c r="H559" s="433"/>
      <c r="I559" s="433"/>
      <c r="J559" s="433"/>
      <c r="K559" s="433"/>
      <c r="L559" s="433"/>
      <c r="M559" s="433"/>
      <c r="N559" s="433">
        <f t="shared" si="12"/>
        <v>0</v>
      </c>
      <c r="O559" s="433"/>
      <c r="P559" s="683">
        <f>G560-G559</f>
        <v>2</v>
      </c>
      <c r="Q559" s="683">
        <f>O560-O559</f>
        <v>2478</v>
      </c>
      <c r="R559" s="687" t="str">
        <f>신규_공종별내역서!L202</f>
        <v/>
      </c>
    </row>
    <row r="560" spans="1:32" ht="23.1" customHeight="1">
      <c r="A560" s="412"/>
      <c r="B560" s="412"/>
      <c r="C560" s="412"/>
      <c r="D560" s="692"/>
      <c r="E560" s="692"/>
      <c r="F560" s="690"/>
      <c r="G560" s="434">
        <f>신규_공종별내역서!D202</f>
        <v>2</v>
      </c>
      <c r="H560" s="434">
        <f>신규_공종별내역서!E202</f>
        <v>1239</v>
      </c>
      <c r="I560" s="434">
        <f>신규_공종별내역서!F202</f>
        <v>2478</v>
      </c>
      <c r="J560" s="434">
        <f>신규_공종별내역서!G202</f>
        <v>0</v>
      </c>
      <c r="K560" s="434">
        <f>신규_공종별내역서!H202</f>
        <v>0</v>
      </c>
      <c r="L560" s="434">
        <f>신규_공종별내역서!I202</f>
        <v>0</v>
      </c>
      <c r="M560" s="434">
        <f>신규_공종별내역서!J202</f>
        <v>0</v>
      </c>
      <c r="N560" s="434">
        <f t="shared" si="12"/>
        <v>1239</v>
      </c>
      <c r="O560" s="434">
        <f>신규_공종별내역서!K202</f>
        <v>2478</v>
      </c>
      <c r="P560" s="684"/>
      <c r="Q560" s="684"/>
      <c r="R560" s="688"/>
    </row>
    <row r="561" spans="1:32" s="426" customFormat="1" ht="23.1" customHeight="1">
      <c r="A561" s="423"/>
      <c r="B561" s="423"/>
      <c r="C561" s="423"/>
      <c r="D561" s="691" t="str">
        <f>신규_공종별내역서!A203</f>
        <v>1종금속제가요전선관</v>
      </c>
      <c r="E561" s="691" t="str">
        <f>신규_공종별내역서!B203</f>
        <v>1종금속제가요전선관, 박스커넥터, 54mm, 방수</v>
      </c>
      <c r="F561" s="689" t="str">
        <f>신규_공종별내역서!C203</f>
        <v>개</v>
      </c>
      <c r="G561" s="433"/>
      <c r="H561" s="433"/>
      <c r="I561" s="433"/>
      <c r="J561" s="433"/>
      <c r="K561" s="433"/>
      <c r="L561" s="433"/>
      <c r="M561" s="433"/>
      <c r="N561" s="433">
        <f t="shared" si="12"/>
        <v>0</v>
      </c>
      <c r="O561" s="433"/>
      <c r="P561" s="683">
        <f>G562-G561</f>
        <v>8</v>
      </c>
      <c r="Q561" s="683">
        <f>O562-O561</f>
        <v>61552</v>
      </c>
      <c r="R561" s="687" t="str">
        <f>신규_공종별내역서!L203</f>
        <v/>
      </c>
    </row>
    <row r="562" spans="1:32" ht="23.1" customHeight="1">
      <c r="A562" s="412"/>
      <c r="B562" s="412"/>
      <c r="C562" s="412"/>
      <c r="D562" s="692"/>
      <c r="E562" s="692"/>
      <c r="F562" s="690"/>
      <c r="G562" s="434">
        <f>신규_공종별내역서!D203</f>
        <v>8</v>
      </c>
      <c r="H562" s="434">
        <f>신규_공종별내역서!E203</f>
        <v>7694</v>
      </c>
      <c r="I562" s="434">
        <f>신규_공종별내역서!F203</f>
        <v>61552</v>
      </c>
      <c r="J562" s="434">
        <f>신규_공종별내역서!G203</f>
        <v>0</v>
      </c>
      <c r="K562" s="434">
        <f>신규_공종별내역서!H203</f>
        <v>0</v>
      </c>
      <c r="L562" s="434">
        <f>신규_공종별내역서!I203</f>
        <v>0</v>
      </c>
      <c r="M562" s="434">
        <f>신규_공종별내역서!J203</f>
        <v>0</v>
      </c>
      <c r="N562" s="434">
        <f t="shared" si="12"/>
        <v>7694</v>
      </c>
      <c r="O562" s="434">
        <f>신규_공종별내역서!K203</f>
        <v>61552</v>
      </c>
      <c r="P562" s="684"/>
      <c r="Q562" s="684"/>
      <c r="R562" s="688"/>
      <c r="AF562" s="422">
        <f ca="1">TRUNC([2]!sumcol(0,AF477:AF518))</f>
        <v>0</v>
      </c>
    </row>
    <row r="563" spans="1:32" s="426" customFormat="1" ht="23.1" customHeight="1">
      <c r="A563" s="423"/>
      <c r="B563" s="423"/>
      <c r="C563" s="423"/>
      <c r="D563" s="691" t="str">
        <f>신규_공종별내역서!A204</f>
        <v>아우트렛박스</v>
      </c>
      <c r="E563" s="691" t="str">
        <f>신규_공종별내역서!B204</f>
        <v>8각  54mm</v>
      </c>
      <c r="F563" s="689" t="str">
        <f>신규_공종별내역서!C204</f>
        <v>개</v>
      </c>
      <c r="G563" s="433"/>
      <c r="H563" s="433"/>
      <c r="I563" s="433"/>
      <c r="J563" s="433"/>
      <c r="K563" s="433"/>
      <c r="L563" s="433"/>
      <c r="M563" s="433"/>
      <c r="N563" s="433">
        <f t="shared" si="12"/>
        <v>0</v>
      </c>
      <c r="O563" s="433"/>
      <c r="P563" s="683">
        <f>G564-G563</f>
        <v>22</v>
      </c>
      <c r="Q563" s="683">
        <f>O564-O563</f>
        <v>713570</v>
      </c>
      <c r="R563" s="687" t="str">
        <f>신규_공종별내역서!L204</f>
        <v>신규호표 73</v>
      </c>
    </row>
    <row r="564" spans="1:32" ht="23.1" customHeight="1">
      <c r="A564" s="412"/>
      <c r="B564" s="412"/>
      <c r="C564" s="412"/>
      <c r="D564" s="692"/>
      <c r="E564" s="692"/>
      <c r="F564" s="690"/>
      <c r="G564" s="434">
        <f>신규_공종별내역서!D204</f>
        <v>22</v>
      </c>
      <c r="H564" s="434">
        <f>신규_공종별내역서!E204</f>
        <v>1365</v>
      </c>
      <c r="I564" s="434">
        <f>신규_공종별내역서!F204</f>
        <v>30030</v>
      </c>
      <c r="J564" s="434">
        <f>신규_공종별내역서!G204</f>
        <v>31070</v>
      </c>
      <c r="K564" s="434">
        <f>신규_공종별내역서!H204</f>
        <v>683540</v>
      </c>
      <c r="L564" s="434">
        <f>신규_공종별내역서!I204</f>
        <v>0</v>
      </c>
      <c r="M564" s="434">
        <f>신규_공종별내역서!J204</f>
        <v>0</v>
      </c>
      <c r="N564" s="434">
        <f t="shared" si="12"/>
        <v>32435</v>
      </c>
      <c r="O564" s="434">
        <f>신규_공종별내역서!K204</f>
        <v>713570</v>
      </c>
      <c r="P564" s="684"/>
      <c r="Q564" s="684"/>
      <c r="R564" s="688"/>
    </row>
    <row r="565" spans="1:32" s="426" customFormat="1" ht="23.1" customHeight="1">
      <c r="A565" s="423"/>
      <c r="B565" s="423"/>
      <c r="C565" s="423"/>
      <c r="D565" s="691" t="str">
        <f>신규_공종별내역서!A205</f>
        <v>스위치박스-매입</v>
      </c>
      <c r="E565" s="691" t="str">
        <f>신규_공종별내역서!B205</f>
        <v>1 개용 54 mm</v>
      </c>
      <c r="F565" s="689" t="str">
        <f>신규_공종별내역서!C205</f>
        <v>개</v>
      </c>
      <c r="G565" s="433"/>
      <c r="H565" s="433"/>
      <c r="I565" s="433"/>
      <c r="J565" s="433"/>
      <c r="K565" s="433"/>
      <c r="L565" s="433"/>
      <c r="M565" s="433"/>
      <c r="N565" s="433">
        <f t="shared" ref="N565:N599" si="13">H565+J565</f>
        <v>0</v>
      </c>
      <c r="O565" s="433"/>
      <c r="P565" s="683">
        <f>G566-G565</f>
        <v>27</v>
      </c>
      <c r="Q565" s="683">
        <f>O566-O565</f>
        <v>1449576</v>
      </c>
      <c r="R565" s="687" t="str">
        <f>신규_공종별내역서!L205</f>
        <v>신규호표 75</v>
      </c>
    </row>
    <row r="566" spans="1:32" ht="23.1" customHeight="1">
      <c r="A566" s="412"/>
      <c r="B566" s="412"/>
      <c r="C566" s="412"/>
      <c r="D566" s="692"/>
      <c r="E566" s="692"/>
      <c r="F566" s="690"/>
      <c r="G566" s="434">
        <f>신규_공종별내역서!D205</f>
        <v>27</v>
      </c>
      <c r="H566" s="434">
        <f>신규_공종별내역서!E205</f>
        <v>1905</v>
      </c>
      <c r="I566" s="434">
        <f>신규_공종별내역서!F205</f>
        <v>51435</v>
      </c>
      <c r="J566" s="434">
        <f>신규_공종별내역서!G205</f>
        <v>51783</v>
      </c>
      <c r="K566" s="434">
        <f>신규_공종별내역서!H205</f>
        <v>1398141</v>
      </c>
      <c r="L566" s="434">
        <f>신규_공종별내역서!I205</f>
        <v>0</v>
      </c>
      <c r="M566" s="434">
        <f>신규_공종별내역서!J205</f>
        <v>0</v>
      </c>
      <c r="N566" s="434">
        <f t="shared" si="13"/>
        <v>53688</v>
      </c>
      <c r="O566" s="434">
        <f>신규_공종별내역서!K205</f>
        <v>1449576</v>
      </c>
      <c r="P566" s="684"/>
      <c r="Q566" s="684"/>
      <c r="R566" s="688"/>
    </row>
    <row r="567" spans="1:32" s="426" customFormat="1" ht="23.1" customHeight="1">
      <c r="A567" s="423"/>
      <c r="B567" s="423"/>
      <c r="C567" s="423"/>
      <c r="D567" s="691" t="str">
        <f>신규_공종별내역서!A206</f>
        <v>450/75OV 저독성난연가교폴리올레핀절연전선(HFIX)</v>
      </c>
      <c r="E567" s="691" t="str">
        <f>신규_공종별내역서!B206</f>
        <v>4㎟</v>
      </c>
      <c r="F567" s="689" t="str">
        <f>신규_공종별내역서!C206</f>
        <v>m</v>
      </c>
      <c r="G567" s="433"/>
      <c r="H567" s="433"/>
      <c r="I567" s="433"/>
      <c r="J567" s="433"/>
      <c r="K567" s="433"/>
      <c r="L567" s="433"/>
      <c r="M567" s="433"/>
      <c r="N567" s="433">
        <f t="shared" si="13"/>
        <v>0</v>
      </c>
      <c r="O567" s="433"/>
      <c r="P567" s="683">
        <f>G568-G567</f>
        <v>719.4</v>
      </c>
      <c r="Q567" s="683">
        <f>O568-O567</f>
        <v>2230139</v>
      </c>
      <c r="R567" s="687" t="str">
        <f>신규_공종별내역서!L206</f>
        <v>신규호표 93</v>
      </c>
    </row>
    <row r="568" spans="1:32" ht="23.1" customHeight="1">
      <c r="A568" s="412"/>
      <c r="B568" s="412"/>
      <c r="C568" s="412"/>
      <c r="D568" s="692"/>
      <c r="E568" s="692"/>
      <c r="F568" s="690"/>
      <c r="G568" s="434">
        <f>신규_공종별내역서!D206</f>
        <v>719.4</v>
      </c>
      <c r="H568" s="434">
        <f>신규_공종별내역서!E206</f>
        <v>751</v>
      </c>
      <c r="I568" s="434">
        <f>신규_공종별내역서!F206</f>
        <v>540269</v>
      </c>
      <c r="J568" s="434">
        <f>신규_공종별내역서!G206</f>
        <v>2349</v>
      </c>
      <c r="K568" s="434">
        <f>신규_공종별내역서!H206</f>
        <v>1689870</v>
      </c>
      <c r="L568" s="434">
        <f>신규_공종별내역서!I206</f>
        <v>0</v>
      </c>
      <c r="M568" s="434">
        <f>신규_공종별내역서!J206</f>
        <v>0</v>
      </c>
      <c r="N568" s="434">
        <f t="shared" si="13"/>
        <v>3100</v>
      </c>
      <c r="O568" s="434">
        <f>신규_공종별내역서!K206</f>
        <v>2230139</v>
      </c>
      <c r="P568" s="684"/>
      <c r="Q568" s="684"/>
      <c r="R568" s="688"/>
      <c r="AF568" s="422">
        <f ca="1">TRUNC([2]!sumcol(0,AF483:AF524))</f>
        <v>0</v>
      </c>
    </row>
    <row r="569" spans="1:32" s="426" customFormat="1" ht="23.1" customHeight="1">
      <c r="A569" s="423"/>
      <c r="B569" s="423"/>
      <c r="C569" s="423"/>
      <c r="D569" s="691" t="str">
        <f>신규_공종별내역서!A207</f>
        <v>난연 비닐 절연 접지용전선(F-GV)</v>
      </c>
      <c r="E569" s="691" t="str">
        <f>신규_공종별내역서!B207</f>
        <v>0.6/1kV  4㎟</v>
      </c>
      <c r="F569" s="689" t="str">
        <f>신규_공종별내역서!C207</f>
        <v>m</v>
      </c>
      <c r="G569" s="433"/>
      <c r="H569" s="433"/>
      <c r="I569" s="433"/>
      <c r="J569" s="433"/>
      <c r="K569" s="433"/>
      <c r="L569" s="433"/>
      <c r="M569" s="433"/>
      <c r="N569" s="433">
        <f t="shared" si="13"/>
        <v>0</v>
      </c>
      <c r="O569" s="433"/>
      <c r="P569" s="683">
        <f>G570-G569</f>
        <v>3.3</v>
      </c>
      <c r="Q569" s="683">
        <f>O570-O569</f>
        <v>10157</v>
      </c>
      <c r="R569" s="687" t="str">
        <f>신규_공종별내역서!L207</f>
        <v>신규호표 35</v>
      </c>
    </row>
    <row r="570" spans="1:32" ht="23.1" customHeight="1">
      <c r="A570" s="412"/>
      <c r="B570" s="412"/>
      <c r="C570" s="412"/>
      <c r="D570" s="692"/>
      <c r="E570" s="692"/>
      <c r="F570" s="690"/>
      <c r="G570" s="434">
        <f>신규_공종별내역서!D207</f>
        <v>3.3</v>
      </c>
      <c r="H570" s="434">
        <f>신규_공종별내역서!E207</f>
        <v>964</v>
      </c>
      <c r="I570" s="434">
        <f>신규_공종별내역서!F207</f>
        <v>3181</v>
      </c>
      <c r="J570" s="434">
        <f>신규_공종별내역서!G207</f>
        <v>2114</v>
      </c>
      <c r="K570" s="434">
        <f>신규_공종별내역서!H207</f>
        <v>6976</v>
      </c>
      <c r="L570" s="434">
        <f>신규_공종별내역서!I207</f>
        <v>0</v>
      </c>
      <c r="M570" s="434">
        <f>신규_공종별내역서!J207</f>
        <v>0</v>
      </c>
      <c r="N570" s="434">
        <f t="shared" si="13"/>
        <v>3078</v>
      </c>
      <c r="O570" s="434">
        <f>신규_공종별내역서!K207</f>
        <v>10157</v>
      </c>
      <c r="P570" s="684"/>
      <c r="Q570" s="684"/>
      <c r="R570" s="688"/>
    </row>
    <row r="571" spans="1:32" s="426" customFormat="1" ht="23.1" customHeight="1">
      <c r="A571" s="423"/>
      <c r="B571" s="423"/>
      <c r="C571" s="423"/>
      <c r="D571" s="691" t="str">
        <f>신규_공종별내역서!A208</f>
        <v>난연 비닐 절연 접지용전선(F-GV)</v>
      </c>
      <c r="E571" s="691" t="str">
        <f>신규_공종별내역서!B208</f>
        <v>0.6/1kV  16㎟</v>
      </c>
      <c r="F571" s="689" t="str">
        <f>신규_공종별내역서!C208</f>
        <v>m</v>
      </c>
      <c r="G571" s="433"/>
      <c r="H571" s="433"/>
      <c r="I571" s="433"/>
      <c r="J571" s="433"/>
      <c r="K571" s="433"/>
      <c r="L571" s="433"/>
      <c r="M571" s="433"/>
      <c r="N571" s="433">
        <f t="shared" si="13"/>
        <v>0</v>
      </c>
      <c r="O571" s="433"/>
      <c r="P571" s="683">
        <f>G572-G571</f>
        <v>23.5</v>
      </c>
      <c r="Q571" s="683">
        <f>O572-O571</f>
        <v>89018</v>
      </c>
      <c r="R571" s="687" t="str">
        <f>신규_공종별내역서!L208</f>
        <v>신규호표 94</v>
      </c>
    </row>
    <row r="572" spans="1:32" ht="23.1" customHeight="1">
      <c r="A572" s="412"/>
      <c r="B572" s="412"/>
      <c r="C572" s="412"/>
      <c r="D572" s="692"/>
      <c r="E572" s="692"/>
      <c r="F572" s="690"/>
      <c r="G572" s="434">
        <f>신규_공종별내역서!D208</f>
        <v>23.5</v>
      </c>
      <c r="H572" s="434">
        <f>신규_공종별내역서!E208</f>
        <v>1976</v>
      </c>
      <c r="I572" s="434">
        <f>신규_공종별내역서!F208</f>
        <v>46436</v>
      </c>
      <c r="J572" s="434">
        <f>신규_공종별내역서!G208</f>
        <v>1812</v>
      </c>
      <c r="K572" s="434">
        <f>신규_공종별내역서!H208</f>
        <v>42582</v>
      </c>
      <c r="L572" s="434">
        <f>신규_공종별내역서!I208</f>
        <v>0</v>
      </c>
      <c r="M572" s="434">
        <f>신규_공종별내역서!J208</f>
        <v>0</v>
      </c>
      <c r="N572" s="434">
        <f t="shared" si="13"/>
        <v>3788</v>
      </c>
      <c r="O572" s="434">
        <f>신규_공종별내역서!K208</f>
        <v>89018</v>
      </c>
      <c r="P572" s="684"/>
      <c r="Q572" s="684"/>
      <c r="R572" s="688"/>
    </row>
    <row r="573" spans="1:32" s="426" customFormat="1" ht="23.1" customHeight="1">
      <c r="A573" s="423"/>
      <c r="B573" s="423"/>
      <c r="C573" s="423"/>
      <c r="D573" s="691" t="str">
        <f>신규_공종별내역서!A209</f>
        <v>0.6/1kV 난연 전력 케이블(F-CV)</v>
      </c>
      <c r="E573" s="691" t="str">
        <f>신규_공종별내역서!B209</f>
        <v>4C 25㎟</v>
      </c>
      <c r="F573" s="689" t="str">
        <f>신규_공종별내역서!C209</f>
        <v>m</v>
      </c>
      <c r="G573" s="433"/>
      <c r="H573" s="433"/>
      <c r="I573" s="433"/>
      <c r="J573" s="433"/>
      <c r="K573" s="433"/>
      <c r="L573" s="433"/>
      <c r="M573" s="433"/>
      <c r="N573" s="433">
        <f t="shared" si="13"/>
        <v>0</v>
      </c>
      <c r="O573" s="433"/>
      <c r="P573" s="683">
        <f>G574-G573</f>
        <v>18.7</v>
      </c>
      <c r="Q573" s="683">
        <f>O574-O573</f>
        <v>693844</v>
      </c>
      <c r="R573" s="687" t="str">
        <f>신규_공종별내역서!L209</f>
        <v>신규호표 57</v>
      </c>
    </row>
    <row r="574" spans="1:32" ht="23.1" customHeight="1">
      <c r="A574" s="412"/>
      <c r="B574" s="412"/>
      <c r="C574" s="412"/>
      <c r="D574" s="692"/>
      <c r="E574" s="692"/>
      <c r="F574" s="690"/>
      <c r="G574" s="434">
        <f>신규_공종별내역서!D209</f>
        <v>18.7</v>
      </c>
      <c r="H574" s="434">
        <f>신규_공종별내역서!E209</f>
        <v>17184</v>
      </c>
      <c r="I574" s="434">
        <f>신규_공종별내역서!F209</f>
        <v>321340</v>
      </c>
      <c r="J574" s="434">
        <f>신규_공종별내역서!G209</f>
        <v>19920</v>
      </c>
      <c r="K574" s="434">
        <f>신규_공종별내역서!H209</f>
        <v>372504</v>
      </c>
      <c r="L574" s="434">
        <f>신규_공종별내역서!I209</f>
        <v>0</v>
      </c>
      <c r="M574" s="434">
        <f>신규_공종별내역서!J209</f>
        <v>0</v>
      </c>
      <c r="N574" s="434">
        <f t="shared" si="13"/>
        <v>37104</v>
      </c>
      <c r="O574" s="434">
        <f>신규_공종별내역서!K209</f>
        <v>693844</v>
      </c>
      <c r="P574" s="684"/>
      <c r="Q574" s="684"/>
      <c r="R574" s="688"/>
      <c r="AF574" s="422">
        <f ca="1">TRUNC([2]!sumcol(0,AF489:AF530))</f>
        <v>0</v>
      </c>
    </row>
    <row r="575" spans="1:32" s="426" customFormat="1" ht="23.1" customHeight="1">
      <c r="A575" s="423"/>
      <c r="B575" s="423"/>
      <c r="C575" s="423"/>
      <c r="D575" s="691" t="str">
        <f>신규_공종별내역서!A210</f>
        <v>0.6/1kV 난연 전력 케이블(F-CV)</v>
      </c>
      <c r="E575" s="691" t="str">
        <f>신규_공종별내역서!B210</f>
        <v>4C 4㎟</v>
      </c>
      <c r="F575" s="689" t="str">
        <f>신규_공종별내역서!C210</f>
        <v>m</v>
      </c>
      <c r="G575" s="433"/>
      <c r="H575" s="433"/>
      <c r="I575" s="433"/>
      <c r="J575" s="433"/>
      <c r="K575" s="433"/>
      <c r="L575" s="433"/>
      <c r="M575" s="433"/>
      <c r="N575" s="433">
        <f t="shared" si="13"/>
        <v>0</v>
      </c>
      <c r="O575" s="433"/>
      <c r="P575" s="683">
        <f>G576-G575</f>
        <v>3.3</v>
      </c>
      <c r="Q575" s="683">
        <f>O576-O575</f>
        <v>35569</v>
      </c>
      <c r="R575" s="687" t="str">
        <f>신규_공종별내역서!L210</f>
        <v>신규호표 68</v>
      </c>
    </row>
    <row r="576" spans="1:32" ht="23.1" customHeight="1">
      <c r="A576" s="412"/>
      <c r="B576" s="412"/>
      <c r="C576" s="412"/>
      <c r="D576" s="692"/>
      <c r="E576" s="692"/>
      <c r="F576" s="690"/>
      <c r="G576" s="434">
        <f>신규_공종별내역서!D210</f>
        <v>3.3</v>
      </c>
      <c r="H576" s="434">
        <f>신규_공종별내역서!E210</f>
        <v>3373</v>
      </c>
      <c r="I576" s="434">
        <f>신규_공종별내역서!F210</f>
        <v>11130</v>
      </c>
      <c r="J576" s="434">
        <f>신규_공종별내역서!G210</f>
        <v>7406</v>
      </c>
      <c r="K576" s="434">
        <f>신규_공종별내역서!H210</f>
        <v>24439</v>
      </c>
      <c r="L576" s="434">
        <f>신규_공종별내역서!I210</f>
        <v>0</v>
      </c>
      <c r="M576" s="434">
        <f>신규_공종별내역서!J210</f>
        <v>0</v>
      </c>
      <c r="N576" s="434">
        <f t="shared" si="13"/>
        <v>10779</v>
      </c>
      <c r="O576" s="434">
        <f>신규_공종별내역서!K210</f>
        <v>35569</v>
      </c>
      <c r="P576" s="684"/>
      <c r="Q576" s="684"/>
      <c r="R576" s="688"/>
    </row>
    <row r="577" spans="1:32" s="426" customFormat="1" ht="23.1" customHeight="1">
      <c r="A577" s="423"/>
      <c r="B577" s="423"/>
      <c r="C577" s="423"/>
      <c r="D577" s="691" t="str">
        <f>신규_공종별내역서!A211</f>
        <v>0.6/1kV 난연 전력 케이블(F-CV)</v>
      </c>
      <c r="E577" s="691" t="str">
        <f>신규_공종별내역서!B211</f>
        <v>4C 16㎟</v>
      </c>
      <c r="F577" s="689" t="str">
        <f>신규_공종별내역서!C211</f>
        <v>m</v>
      </c>
      <c r="G577" s="433"/>
      <c r="H577" s="433"/>
      <c r="I577" s="433"/>
      <c r="J577" s="433"/>
      <c r="K577" s="433"/>
      <c r="L577" s="433"/>
      <c r="M577" s="433"/>
      <c r="N577" s="433">
        <f t="shared" si="13"/>
        <v>0</v>
      </c>
      <c r="O577" s="433"/>
      <c r="P577" s="683">
        <f>G578-G577</f>
        <v>4.8</v>
      </c>
      <c r="Q577" s="683">
        <f>O578-O577</f>
        <v>126028</v>
      </c>
      <c r="R577" s="687" t="str">
        <f>신규_공종별내역서!L211</f>
        <v>신규호표 12</v>
      </c>
    </row>
    <row r="578" spans="1:32" ht="23.1" customHeight="1">
      <c r="A578" s="412"/>
      <c r="B578" s="412"/>
      <c r="C578" s="412"/>
      <c r="D578" s="692"/>
      <c r="E578" s="692"/>
      <c r="F578" s="690"/>
      <c r="G578" s="434">
        <f>신규_공종별내역서!D211</f>
        <v>4.8</v>
      </c>
      <c r="H578" s="434">
        <f>신규_공종별내역서!E211</f>
        <v>10984</v>
      </c>
      <c r="I578" s="434">
        <f>신규_공종별내역서!F211</f>
        <v>52723</v>
      </c>
      <c r="J578" s="434">
        <f>신규_공종별내역서!G211</f>
        <v>15272</v>
      </c>
      <c r="K578" s="434">
        <f>신규_공종별내역서!H211</f>
        <v>73305</v>
      </c>
      <c r="L578" s="434">
        <f>신규_공종별내역서!I211</f>
        <v>0</v>
      </c>
      <c r="M578" s="434">
        <f>신규_공종별내역서!J211</f>
        <v>0</v>
      </c>
      <c r="N578" s="434">
        <f t="shared" si="13"/>
        <v>26256</v>
      </c>
      <c r="O578" s="434">
        <f>신규_공종별내역서!K211</f>
        <v>126028</v>
      </c>
      <c r="P578" s="684"/>
      <c r="Q578" s="684"/>
      <c r="R578" s="688"/>
    </row>
    <row r="579" spans="1:32" s="426" customFormat="1" ht="23.1" customHeight="1">
      <c r="A579" s="423"/>
      <c r="B579" s="423"/>
      <c r="C579" s="423"/>
      <c r="D579" s="691" t="str">
        <f>신규_공종별내역서!A212</f>
        <v>러그단자</v>
      </c>
      <c r="E579" s="691" t="str">
        <f>신규_공종별내역서!B212</f>
        <v>동관단자 1H 16㎟</v>
      </c>
      <c r="F579" s="689" t="str">
        <f>신규_공종별내역서!C212</f>
        <v>개</v>
      </c>
      <c r="G579" s="433"/>
      <c r="H579" s="433"/>
      <c r="I579" s="433"/>
      <c r="J579" s="433"/>
      <c r="K579" s="433"/>
      <c r="L579" s="433"/>
      <c r="M579" s="433"/>
      <c r="N579" s="433">
        <f t="shared" si="13"/>
        <v>0</v>
      </c>
      <c r="O579" s="433"/>
      <c r="P579" s="683">
        <f>G580-G579</f>
        <v>8</v>
      </c>
      <c r="Q579" s="683">
        <f>O580-O579</f>
        <v>172088</v>
      </c>
      <c r="R579" s="687" t="str">
        <f>신규_공종별내역서!L212</f>
        <v>신규호표 14</v>
      </c>
    </row>
    <row r="580" spans="1:32" ht="23.1" customHeight="1">
      <c r="A580" s="412"/>
      <c r="B580" s="412"/>
      <c r="C580" s="412"/>
      <c r="D580" s="692"/>
      <c r="E580" s="692"/>
      <c r="F580" s="690"/>
      <c r="G580" s="434">
        <f>신규_공종별내역서!D212</f>
        <v>8</v>
      </c>
      <c r="H580" s="434">
        <f>신규_공종별내역서!E212</f>
        <v>824</v>
      </c>
      <c r="I580" s="434">
        <f>신규_공종별내역서!F212</f>
        <v>6592</v>
      </c>
      <c r="J580" s="434">
        <f>신규_공종별내역서!G212</f>
        <v>20687</v>
      </c>
      <c r="K580" s="434">
        <f>신규_공종별내역서!H212</f>
        <v>165496</v>
      </c>
      <c r="L580" s="434">
        <f>신규_공종별내역서!I212</f>
        <v>0</v>
      </c>
      <c r="M580" s="434">
        <f>신규_공종별내역서!J212</f>
        <v>0</v>
      </c>
      <c r="N580" s="434">
        <f t="shared" si="13"/>
        <v>21511</v>
      </c>
      <c r="O580" s="434">
        <f>신규_공종별내역서!K212</f>
        <v>172088</v>
      </c>
      <c r="P580" s="684"/>
      <c r="Q580" s="684"/>
      <c r="R580" s="688"/>
      <c r="AF580" s="422">
        <f ca="1">TRUNC([2]!sumcol(0,AF495:AF536))</f>
        <v>0</v>
      </c>
    </row>
    <row r="581" spans="1:32" s="426" customFormat="1" ht="23.1" customHeight="1">
      <c r="A581" s="423"/>
      <c r="B581" s="423"/>
      <c r="C581" s="423"/>
      <c r="D581" s="691" t="str">
        <f>신규_공종별내역서!A213</f>
        <v>러그단자</v>
      </c>
      <c r="E581" s="691" t="str">
        <f>신규_공종별내역서!B213</f>
        <v>동관단자 1H 25㎟</v>
      </c>
      <c r="F581" s="689" t="str">
        <f>신규_공종별내역서!C213</f>
        <v>개</v>
      </c>
      <c r="G581" s="433"/>
      <c r="H581" s="433"/>
      <c r="I581" s="433"/>
      <c r="J581" s="433"/>
      <c r="K581" s="433"/>
      <c r="L581" s="433"/>
      <c r="M581" s="433"/>
      <c r="N581" s="433">
        <f t="shared" si="13"/>
        <v>0</v>
      </c>
      <c r="O581" s="433"/>
      <c r="P581" s="683">
        <f>G582-G581</f>
        <v>12</v>
      </c>
      <c r="Q581" s="683">
        <f>O582-O581</f>
        <v>192996</v>
      </c>
      <c r="R581" s="687" t="str">
        <f>신규_공종별내역서!L213</f>
        <v>신규호표 15</v>
      </c>
    </row>
    <row r="582" spans="1:32" ht="23.1" customHeight="1">
      <c r="A582" s="412"/>
      <c r="B582" s="412"/>
      <c r="C582" s="412"/>
      <c r="D582" s="692"/>
      <c r="E582" s="692"/>
      <c r="F582" s="690"/>
      <c r="G582" s="434">
        <f>신규_공종별내역서!D213</f>
        <v>12</v>
      </c>
      <c r="H582" s="434">
        <f>신규_공종별내역서!E213</f>
        <v>760</v>
      </c>
      <c r="I582" s="434">
        <f>신규_공종별내역서!F213</f>
        <v>9120</v>
      </c>
      <c r="J582" s="434">
        <f>신규_공종별내역서!G213</f>
        <v>15323</v>
      </c>
      <c r="K582" s="434">
        <f>신규_공종별내역서!H213</f>
        <v>183876</v>
      </c>
      <c r="L582" s="434">
        <f>신규_공종별내역서!I213</f>
        <v>0</v>
      </c>
      <c r="M582" s="434">
        <f>신규_공종별내역서!J213</f>
        <v>0</v>
      </c>
      <c r="N582" s="434">
        <f t="shared" si="13"/>
        <v>16083</v>
      </c>
      <c r="O582" s="434">
        <f>신규_공종별내역서!K213</f>
        <v>192996</v>
      </c>
      <c r="P582" s="684"/>
      <c r="Q582" s="684"/>
      <c r="R582" s="688"/>
    </row>
    <row r="583" spans="1:32" s="426" customFormat="1" ht="23.1" customHeight="1">
      <c r="D583" s="437"/>
      <c r="E583" s="437"/>
      <c r="F583" s="438"/>
      <c r="G583" s="439"/>
      <c r="H583" s="439"/>
      <c r="I583" s="439"/>
      <c r="J583" s="439"/>
      <c r="K583" s="439"/>
      <c r="L583" s="439"/>
      <c r="M583" s="439"/>
      <c r="N583" s="439">
        <f t="shared" si="13"/>
        <v>0</v>
      </c>
      <c r="O583" s="439"/>
      <c r="P583" s="439"/>
      <c r="Q583" s="439"/>
      <c r="R583" s="429"/>
    </row>
    <row r="584" spans="1:32" ht="23.1" customHeight="1">
      <c r="D584" s="440"/>
      <c r="E584" s="440"/>
      <c r="F584" s="441"/>
      <c r="G584" s="442"/>
      <c r="H584" s="442"/>
      <c r="I584" s="442"/>
      <c r="J584" s="442"/>
      <c r="K584" s="442"/>
      <c r="L584" s="442"/>
      <c r="M584" s="442"/>
      <c r="N584" s="442">
        <f t="shared" si="13"/>
        <v>0</v>
      </c>
      <c r="O584" s="442"/>
      <c r="P584" s="442"/>
      <c r="Q584" s="442"/>
      <c r="R584" s="428"/>
    </row>
    <row r="585" spans="1:32" s="426" customFormat="1" ht="23.1" customHeight="1">
      <c r="D585" s="437"/>
      <c r="E585" s="437"/>
      <c r="F585" s="438"/>
      <c r="G585" s="439"/>
      <c r="H585" s="439"/>
      <c r="I585" s="439"/>
      <c r="J585" s="439"/>
      <c r="K585" s="439"/>
      <c r="L585" s="439"/>
      <c r="M585" s="439"/>
      <c r="N585" s="439">
        <f t="shared" si="13"/>
        <v>0</v>
      </c>
      <c r="O585" s="439"/>
      <c r="P585" s="439"/>
      <c r="Q585" s="439"/>
      <c r="R585" s="429"/>
      <c r="AF585" s="426">
        <v>13385311</v>
      </c>
    </row>
    <row r="586" spans="1:32" ht="23.1" customHeight="1">
      <c r="D586" s="440"/>
      <c r="E586" s="440"/>
      <c r="F586" s="441"/>
      <c r="G586" s="442"/>
      <c r="H586" s="442"/>
      <c r="I586" s="442"/>
      <c r="J586" s="442"/>
      <c r="K586" s="442"/>
      <c r="L586" s="442"/>
      <c r="M586" s="442"/>
      <c r="N586" s="442">
        <f t="shared" si="13"/>
        <v>0</v>
      </c>
      <c r="O586" s="442"/>
      <c r="P586" s="442"/>
      <c r="Q586" s="442"/>
      <c r="R586" s="428"/>
      <c r="AF586" s="422">
        <f ca="1">TRUNC([2]!sumcol(0,AF501:AF542))</f>
        <v>0</v>
      </c>
    </row>
    <row r="587" spans="1:32" s="426" customFormat="1" ht="23.1" customHeight="1">
      <c r="D587" s="437"/>
      <c r="E587" s="437"/>
      <c r="F587" s="438"/>
      <c r="G587" s="439"/>
      <c r="H587" s="439"/>
      <c r="I587" s="439"/>
      <c r="J587" s="439"/>
      <c r="K587" s="439"/>
      <c r="L587" s="439"/>
      <c r="M587" s="439"/>
      <c r="N587" s="439">
        <f t="shared" si="13"/>
        <v>0</v>
      </c>
      <c r="O587" s="439"/>
      <c r="P587" s="439"/>
      <c r="Q587" s="439"/>
      <c r="R587" s="429"/>
    </row>
    <row r="588" spans="1:32" ht="23.1" customHeight="1">
      <c r="D588" s="440"/>
      <c r="E588" s="440"/>
      <c r="F588" s="441"/>
      <c r="G588" s="442"/>
      <c r="H588" s="442"/>
      <c r="I588" s="442"/>
      <c r="J588" s="442"/>
      <c r="K588" s="442"/>
      <c r="L588" s="442"/>
      <c r="M588" s="442"/>
      <c r="N588" s="442">
        <f t="shared" si="13"/>
        <v>0</v>
      </c>
      <c r="O588" s="442"/>
      <c r="P588" s="442"/>
      <c r="Q588" s="442"/>
      <c r="R588" s="428"/>
    </row>
    <row r="589" spans="1:32" s="426" customFormat="1" ht="23.1" customHeight="1">
      <c r="D589" s="437"/>
      <c r="E589" s="437"/>
      <c r="F589" s="438"/>
      <c r="G589" s="439"/>
      <c r="H589" s="439"/>
      <c r="I589" s="439"/>
      <c r="J589" s="439"/>
      <c r="K589" s="439"/>
      <c r="L589" s="439"/>
      <c r="M589" s="439"/>
      <c r="N589" s="439">
        <f t="shared" si="13"/>
        <v>0</v>
      </c>
      <c r="O589" s="439"/>
      <c r="P589" s="439"/>
      <c r="Q589" s="439"/>
      <c r="R589" s="429"/>
    </row>
    <row r="590" spans="1:32" ht="23.1" customHeight="1">
      <c r="D590" s="440"/>
      <c r="E590" s="440"/>
      <c r="F590" s="441"/>
      <c r="G590" s="442"/>
      <c r="H590" s="442"/>
      <c r="I590" s="442"/>
      <c r="J590" s="442"/>
      <c r="K590" s="442"/>
      <c r="L590" s="442"/>
      <c r="M590" s="442"/>
      <c r="N590" s="442">
        <f t="shared" si="13"/>
        <v>0</v>
      </c>
      <c r="O590" s="442"/>
      <c r="P590" s="442"/>
      <c r="Q590" s="442"/>
      <c r="R590" s="428"/>
    </row>
    <row r="591" spans="1:32" s="426" customFormat="1" ht="23.1" customHeight="1">
      <c r="D591" s="437"/>
      <c r="E591" s="437"/>
      <c r="F591" s="438"/>
      <c r="G591" s="439"/>
      <c r="H591" s="439"/>
      <c r="I591" s="439"/>
      <c r="J591" s="439"/>
      <c r="K591" s="439"/>
      <c r="L591" s="439"/>
      <c r="M591" s="439"/>
      <c r="N591" s="439">
        <f t="shared" si="13"/>
        <v>0</v>
      </c>
      <c r="O591" s="439"/>
      <c r="P591" s="439"/>
      <c r="Q591" s="439"/>
      <c r="R591" s="429"/>
      <c r="AF591" s="426">
        <v>13385311</v>
      </c>
    </row>
    <row r="592" spans="1:32" ht="23.1" customHeight="1">
      <c r="D592" s="440"/>
      <c r="E592" s="440"/>
      <c r="F592" s="441"/>
      <c r="G592" s="442"/>
      <c r="H592" s="442"/>
      <c r="I592" s="442"/>
      <c r="J592" s="442"/>
      <c r="K592" s="442"/>
      <c r="L592" s="442"/>
      <c r="M592" s="442"/>
      <c r="N592" s="442">
        <f t="shared" si="13"/>
        <v>0</v>
      </c>
      <c r="O592" s="442"/>
      <c r="P592" s="442"/>
      <c r="Q592" s="442"/>
      <c r="R592" s="428"/>
      <c r="AF592" s="422">
        <f ca="1">TRUNC([2]!sumcol(0,AF506:AF548))</f>
        <v>0</v>
      </c>
    </row>
    <row r="593" spans="1:32" s="426" customFormat="1" ht="23.1" customHeight="1">
      <c r="D593" s="437"/>
      <c r="E593" s="437"/>
      <c r="F593" s="438"/>
      <c r="G593" s="439"/>
      <c r="H593" s="439"/>
      <c r="I593" s="439"/>
      <c r="J593" s="439"/>
      <c r="K593" s="439"/>
      <c r="L593" s="439"/>
      <c r="M593" s="439"/>
      <c r="N593" s="439">
        <f t="shared" si="13"/>
        <v>0</v>
      </c>
      <c r="O593" s="439"/>
      <c r="P593" s="439"/>
      <c r="Q593" s="439"/>
      <c r="R593" s="429"/>
    </row>
    <row r="594" spans="1:32" ht="23.1" customHeight="1">
      <c r="D594" s="440"/>
      <c r="E594" s="440"/>
      <c r="F594" s="441"/>
      <c r="G594" s="442"/>
      <c r="H594" s="442"/>
      <c r="I594" s="442"/>
      <c r="J594" s="442"/>
      <c r="K594" s="442"/>
      <c r="L594" s="442"/>
      <c r="M594" s="442"/>
      <c r="N594" s="442">
        <f t="shared" si="13"/>
        <v>0</v>
      </c>
      <c r="O594" s="442"/>
      <c r="P594" s="442"/>
      <c r="Q594" s="442"/>
      <c r="R594" s="428"/>
    </row>
    <row r="595" spans="1:32" s="426" customFormat="1" ht="23.1" customHeight="1">
      <c r="D595" s="437"/>
      <c r="E595" s="437"/>
      <c r="F595" s="438"/>
      <c r="G595" s="439"/>
      <c r="H595" s="439"/>
      <c r="I595" s="439"/>
      <c r="J595" s="439"/>
      <c r="K595" s="439"/>
      <c r="L595" s="439"/>
      <c r="M595" s="439"/>
      <c r="N595" s="439">
        <f t="shared" si="13"/>
        <v>0</v>
      </c>
      <c r="O595" s="439"/>
      <c r="P595" s="439"/>
      <c r="Q595" s="439"/>
      <c r="R595" s="429"/>
    </row>
    <row r="596" spans="1:32" ht="23.1" customHeight="1">
      <c r="D596" s="440"/>
      <c r="E596" s="440"/>
      <c r="F596" s="441"/>
      <c r="G596" s="442"/>
      <c r="H596" s="442"/>
      <c r="I596" s="442"/>
      <c r="J596" s="442"/>
      <c r="K596" s="442"/>
      <c r="L596" s="442"/>
      <c r="M596" s="442"/>
      <c r="N596" s="442">
        <f t="shared" si="13"/>
        <v>0</v>
      </c>
      <c r="O596" s="442"/>
      <c r="P596" s="442"/>
      <c r="Q596" s="442"/>
      <c r="R596" s="428"/>
    </row>
    <row r="597" spans="1:32" s="426" customFormat="1" ht="23.1" customHeight="1">
      <c r="A597" s="423"/>
      <c r="B597" s="423" t="s">
        <v>715</v>
      </c>
      <c r="C597" s="423"/>
      <c r="D597" s="436" t="s">
        <v>216</v>
      </c>
      <c r="E597" s="436"/>
      <c r="F597" s="429"/>
      <c r="G597" s="433"/>
      <c r="H597" s="433"/>
      <c r="I597" s="433">
        <f>I507+I509+I511+I513+I515+I517+I519+I521+I523+I525+I527+I529+I531+I533+I535+I537+I539+I541+I543+I545+I547+I549+I551+I553+I555+I557+I559+I561+I563+I565+I567+I569+I571+I573+I575+I577+I579+I581+I583+I585+I587+I589+I591+I593+I595</f>
        <v>2915089</v>
      </c>
      <c r="J597" s="433"/>
      <c r="K597" s="433">
        <f>K507+K509+K511+K513+K515+K517+K519+K521+K523+K525+K527+K529+K531+K533+K535+K537+K539+K541+K543+K545+K547+K549+K551+K553+K555+K557+K559+K561+K563+K565+K567+K569+K571+K573+K575+K577+K579+K581+K583+K585+K587+K589+K591+K593+K595</f>
        <v>13385262</v>
      </c>
      <c r="L597" s="433"/>
      <c r="M597" s="433">
        <v>0</v>
      </c>
      <c r="N597" s="433">
        <f t="shared" si="13"/>
        <v>0</v>
      </c>
      <c r="O597" s="433">
        <f>O507+O509+O511+O513+O515+O517+O519+O521+O523+O525+O527+O529+O531+O533+O535+O537+O539+O541+O543+O545+O547+O549+O551+O553+O555+O557+O559+O561+O563+O565+O567+O569+O571+O573+O575+O577+O579+O581+O583+O585+O587+O589+O591+O593+O595</f>
        <v>16300351</v>
      </c>
      <c r="P597" s="433"/>
      <c r="Q597" s="683">
        <f>O598-O597</f>
        <v>-3138111</v>
      </c>
      <c r="R597" s="429"/>
    </row>
    <row r="598" spans="1:32" ht="23.1" customHeight="1">
      <c r="A598" s="412"/>
      <c r="B598" s="412" t="s">
        <v>715</v>
      </c>
      <c r="C598" s="412"/>
      <c r="D598" s="435" t="s">
        <v>216</v>
      </c>
      <c r="E598" s="435"/>
      <c r="F598" s="428"/>
      <c r="G598" s="434"/>
      <c r="H598" s="434"/>
      <c r="I598" s="434">
        <f>I508+I510+I512+I514+I516+I518+I520+I522+I524+I526+I528+I530+I532+I534+I536+I538+I540+I542+I544+I546+I548+I550+I552+I554+I556+I558+I560+I562+I564+I566+I568+I570+I572+I574+I576+I578+I580+I582+I584+I586+I588+I590+I592+I594+I596</f>
        <v>1583252</v>
      </c>
      <c r="J598" s="434"/>
      <c r="K598" s="434">
        <f>K508+K510+K512+K514+K516+K518+K520+K522+K524+K526+K528+K530+K532+K534+K536+K538+K540+K542+K544+K546+K548+K550+K552+K554+K556+K558+K560+K562+K564+K566+K568+K570+K572+K574+K576+K578+K580+K582+K584+K586+K588+K590+K592+K594+K596</f>
        <v>11578988</v>
      </c>
      <c r="L598" s="434"/>
      <c r="M598" s="434">
        <v>0</v>
      </c>
      <c r="N598" s="434">
        <f t="shared" si="13"/>
        <v>0</v>
      </c>
      <c r="O598" s="434">
        <f>O508+O510+O512+O514+O516+O518+O520+O522+O524+O526+O528+O530+O532+O534+O536+O538+O540+O542+O544+O546+O548+O550+O552+O554+O556+O558+O560+O562+O564+O566+O568+O570+O572+O574+O576+O578+O580+O582+O584+O586+O588+O590+O592+O594+O596</f>
        <v>13162240</v>
      </c>
      <c r="P598" s="434"/>
      <c r="Q598" s="684"/>
      <c r="R598" s="428"/>
    </row>
    <row r="599" spans="1:32" ht="23.1" customHeight="1">
      <c r="A599" s="412"/>
      <c r="B599" s="412" t="s">
        <v>208</v>
      </c>
      <c r="C599" s="412"/>
      <c r="D599" s="417" t="s">
        <v>961</v>
      </c>
      <c r="E599" s="418"/>
      <c r="F599" s="419"/>
      <c r="G599" s="420"/>
      <c r="H599" s="420"/>
      <c r="I599" s="420"/>
      <c r="J599" s="420"/>
      <c r="K599" s="420"/>
      <c r="L599" s="420"/>
      <c r="M599" s="420"/>
      <c r="N599" s="420">
        <f t="shared" si="13"/>
        <v>0</v>
      </c>
      <c r="O599" s="420"/>
      <c r="P599" s="420"/>
      <c r="Q599" s="420"/>
      <c r="R599" s="421"/>
    </row>
    <row r="600" spans="1:32" s="426" customFormat="1" ht="23.1" customHeight="1">
      <c r="A600" s="423" t="s">
        <v>962</v>
      </c>
      <c r="B600" s="423" t="s">
        <v>963</v>
      </c>
      <c r="C600" s="423" t="s">
        <v>962</v>
      </c>
      <c r="D600" s="685" t="s">
        <v>590</v>
      </c>
      <c r="E600" s="685" t="s">
        <v>964</v>
      </c>
      <c r="F600" s="687" t="s">
        <v>592</v>
      </c>
      <c r="G600" s="433">
        <v>26</v>
      </c>
      <c r="H600" s="433">
        <v>494</v>
      </c>
      <c r="I600" s="433">
        <v>12844</v>
      </c>
      <c r="J600" s="433">
        <v>11461</v>
      </c>
      <c r="K600" s="433">
        <v>297986</v>
      </c>
      <c r="L600" s="433">
        <v>0</v>
      </c>
      <c r="M600" s="433">
        <v>0</v>
      </c>
      <c r="N600" s="433">
        <v>11955</v>
      </c>
      <c r="O600" s="433">
        <v>310830</v>
      </c>
      <c r="P600" s="683">
        <f>G601-G600</f>
        <v>-26</v>
      </c>
      <c r="Q600" s="683">
        <f>O601-O600</f>
        <v>-310830</v>
      </c>
      <c r="R600" s="689" t="s">
        <v>965</v>
      </c>
      <c r="AC600" s="426">
        <v>12870</v>
      </c>
      <c r="AD600" s="426">
        <v>12870</v>
      </c>
      <c r="AF600" s="426">
        <v>298012</v>
      </c>
    </row>
    <row r="601" spans="1:32" ht="23.1" customHeight="1">
      <c r="A601" s="412"/>
      <c r="B601" s="412"/>
      <c r="C601" s="412"/>
      <c r="D601" s="686"/>
      <c r="E601" s="686"/>
      <c r="F601" s="688"/>
      <c r="G601" s="434"/>
      <c r="H601" s="434"/>
      <c r="I601" s="434"/>
      <c r="J601" s="434"/>
      <c r="K601" s="434"/>
      <c r="L601" s="434"/>
      <c r="M601" s="434"/>
      <c r="N601" s="434"/>
      <c r="O601" s="434"/>
      <c r="P601" s="684"/>
      <c r="Q601" s="684"/>
      <c r="R601" s="690"/>
    </row>
    <row r="602" spans="1:32" s="426" customFormat="1" ht="23.1" customHeight="1">
      <c r="A602" s="423" t="s">
        <v>966</v>
      </c>
      <c r="B602" s="423" t="s">
        <v>963</v>
      </c>
      <c r="C602" s="423" t="s">
        <v>966</v>
      </c>
      <c r="D602" s="685" t="s">
        <v>590</v>
      </c>
      <c r="E602" s="685" t="s">
        <v>967</v>
      </c>
      <c r="F602" s="687" t="s">
        <v>592</v>
      </c>
      <c r="G602" s="433">
        <v>7</v>
      </c>
      <c r="H602" s="433">
        <v>994</v>
      </c>
      <c r="I602" s="433">
        <v>6958</v>
      </c>
      <c r="J602" s="433">
        <v>18339</v>
      </c>
      <c r="K602" s="433">
        <v>128373</v>
      </c>
      <c r="L602" s="433">
        <v>0</v>
      </c>
      <c r="M602" s="433">
        <v>0</v>
      </c>
      <c r="N602" s="433">
        <v>19333</v>
      </c>
      <c r="O602" s="433">
        <v>135331</v>
      </c>
      <c r="P602" s="683">
        <f>G603-G602</f>
        <v>-7</v>
      </c>
      <c r="Q602" s="683">
        <f>O603-O602</f>
        <v>-135331</v>
      </c>
      <c r="R602" s="689" t="s">
        <v>968</v>
      </c>
      <c r="AC602" s="426">
        <v>6958</v>
      </c>
      <c r="AD602" s="426">
        <v>6958</v>
      </c>
      <c r="AF602" s="426">
        <v>128380</v>
      </c>
    </row>
    <row r="603" spans="1:32" ht="23.1" customHeight="1">
      <c r="A603" s="412"/>
      <c r="B603" s="412"/>
      <c r="C603" s="412"/>
      <c r="D603" s="686"/>
      <c r="E603" s="686"/>
      <c r="F603" s="688"/>
      <c r="G603" s="434"/>
      <c r="H603" s="434"/>
      <c r="I603" s="434"/>
      <c r="J603" s="434"/>
      <c r="K603" s="434"/>
      <c r="L603" s="434"/>
      <c r="M603" s="434"/>
      <c r="N603" s="434"/>
      <c r="O603" s="434"/>
      <c r="P603" s="684"/>
      <c r="Q603" s="684"/>
      <c r="R603" s="690"/>
    </row>
    <row r="604" spans="1:32" s="426" customFormat="1" ht="23.1" customHeight="1">
      <c r="A604" s="423" t="s">
        <v>588</v>
      </c>
      <c r="B604" s="423" t="s">
        <v>963</v>
      </c>
      <c r="C604" s="423" t="s">
        <v>588</v>
      </c>
      <c r="D604" s="685" t="s">
        <v>590</v>
      </c>
      <c r="E604" s="685" t="s">
        <v>591</v>
      </c>
      <c r="F604" s="687" t="s">
        <v>592</v>
      </c>
      <c r="G604" s="433">
        <v>15</v>
      </c>
      <c r="H604" s="433">
        <v>3223</v>
      </c>
      <c r="I604" s="433">
        <v>48345</v>
      </c>
      <c r="J604" s="433">
        <v>64190</v>
      </c>
      <c r="K604" s="433">
        <v>962850</v>
      </c>
      <c r="L604" s="433">
        <v>0</v>
      </c>
      <c r="M604" s="433">
        <v>0</v>
      </c>
      <c r="N604" s="433">
        <v>67413</v>
      </c>
      <c r="O604" s="433">
        <v>1011195</v>
      </c>
      <c r="P604" s="683">
        <f>G605-G604</f>
        <v>-15</v>
      </c>
      <c r="Q604" s="683">
        <f>O605-O604</f>
        <v>-1011195</v>
      </c>
      <c r="R604" s="689" t="s">
        <v>593</v>
      </c>
      <c r="AC604" s="426">
        <v>48360</v>
      </c>
      <c r="AD604" s="426">
        <v>48360</v>
      </c>
      <c r="AF604" s="426">
        <v>962850</v>
      </c>
    </row>
    <row r="605" spans="1:32" ht="23.1" customHeight="1">
      <c r="A605" s="412"/>
      <c r="B605" s="412"/>
      <c r="C605" s="412"/>
      <c r="D605" s="686"/>
      <c r="E605" s="686"/>
      <c r="F605" s="688"/>
      <c r="G605" s="434"/>
      <c r="H605" s="434"/>
      <c r="I605" s="434"/>
      <c r="J605" s="434"/>
      <c r="K605" s="434"/>
      <c r="L605" s="434"/>
      <c r="M605" s="434"/>
      <c r="N605" s="434"/>
      <c r="O605" s="434"/>
      <c r="P605" s="684"/>
      <c r="Q605" s="684"/>
      <c r="R605" s="690"/>
    </row>
    <row r="606" spans="1:32" s="426" customFormat="1" ht="23.1" customHeight="1">
      <c r="A606" s="423" t="s">
        <v>969</v>
      </c>
      <c r="B606" s="423" t="s">
        <v>963</v>
      </c>
      <c r="C606" s="423" t="s">
        <v>969</v>
      </c>
      <c r="D606" s="685" t="s">
        <v>596</v>
      </c>
      <c r="E606" s="685" t="s">
        <v>970</v>
      </c>
      <c r="F606" s="687" t="s">
        <v>592</v>
      </c>
      <c r="G606" s="433">
        <v>91</v>
      </c>
      <c r="H606" s="433">
        <v>380</v>
      </c>
      <c r="I606" s="433">
        <v>34580</v>
      </c>
      <c r="J606" s="433">
        <v>3278</v>
      </c>
      <c r="K606" s="433">
        <v>298298</v>
      </c>
      <c r="L606" s="433">
        <v>0</v>
      </c>
      <c r="M606" s="433">
        <v>0</v>
      </c>
      <c r="N606" s="433">
        <v>3658</v>
      </c>
      <c r="O606" s="433">
        <v>332878</v>
      </c>
      <c r="P606" s="683">
        <f>G607-G606</f>
        <v>-91</v>
      </c>
      <c r="Q606" s="683">
        <f>O607-O606</f>
        <v>-332878</v>
      </c>
      <c r="R606" s="689" t="s">
        <v>971</v>
      </c>
      <c r="AC606" s="426">
        <v>34671</v>
      </c>
      <c r="AD606" s="426">
        <v>34671</v>
      </c>
      <c r="AF606" s="426">
        <v>298389</v>
      </c>
    </row>
    <row r="607" spans="1:32" ht="23.1" customHeight="1">
      <c r="A607" s="412"/>
      <c r="B607" s="412"/>
      <c r="C607" s="412"/>
      <c r="D607" s="686"/>
      <c r="E607" s="686"/>
      <c r="F607" s="688"/>
      <c r="G607" s="434"/>
      <c r="H607" s="434"/>
      <c r="I607" s="434"/>
      <c r="J607" s="434"/>
      <c r="K607" s="434"/>
      <c r="L607" s="434"/>
      <c r="M607" s="434"/>
      <c r="N607" s="434"/>
      <c r="O607" s="434"/>
      <c r="P607" s="684"/>
      <c r="Q607" s="684"/>
      <c r="R607" s="690"/>
    </row>
    <row r="608" spans="1:32" s="426" customFormat="1" ht="23.1" customHeight="1">
      <c r="A608" s="423" t="s">
        <v>972</v>
      </c>
      <c r="B608" s="423" t="s">
        <v>963</v>
      </c>
      <c r="C608" s="423" t="s">
        <v>972</v>
      </c>
      <c r="D608" s="685" t="s">
        <v>596</v>
      </c>
      <c r="E608" s="685" t="s">
        <v>973</v>
      </c>
      <c r="F608" s="687" t="s">
        <v>592</v>
      </c>
      <c r="G608" s="433">
        <v>91</v>
      </c>
      <c r="H608" s="433">
        <v>1003</v>
      </c>
      <c r="I608" s="433">
        <v>91273</v>
      </c>
      <c r="J608" s="433">
        <v>5030</v>
      </c>
      <c r="K608" s="433">
        <v>457730</v>
      </c>
      <c r="L608" s="433">
        <v>0</v>
      </c>
      <c r="M608" s="433">
        <v>0</v>
      </c>
      <c r="N608" s="433">
        <v>6033</v>
      </c>
      <c r="O608" s="433">
        <v>549003</v>
      </c>
      <c r="P608" s="683">
        <f>G609-G608</f>
        <v>-91</v>
      </c>
      <c r="Q608" s="683">
        <f>O609-O608</f>
        <v>-549003</v>
      </c>
      <c r="R608" s="689" t="s">
        <v>974</v>
      </c>
      <c r="AC608" s="426">
        <v>91273</v>
      </c>
      <c r="AD608" s="426">
        <v>91273</v>
      </c>
      <c r="AF608" s="426">
        <v>457730</v>
      </c>
    </row>
    <row r="609" spans="1:32" ht="23.1" customHeight="1">
      <c r="A609" s="412"/>
      <c r="B609" s="412"/>
      <c r="C609" s="412"/>
      <c r="D609" s="686"/>
      <c r="E609" s="686"/>
      <c r="F609" s="688"/>
      <c r="G609" s="434"/>
      <c r="H609" s="434"/>
      <c r="I609" s="434"/>
      <c r="J609" s="434"/>
      <c r="K609" s="434"/>
      <c r="L609" s="434"/>
      <c r="M609" s="434"/>
      <c r="N609" s="434"/>
      <c r="O609" s="434"/>
      <c r="P609" s="684"/>
      <c r="Q609" s="684"/>
      <c r="R609" s="690"/>
    </row>
    <row r="610" spans="1:32" s="426" customFormat="1" ht="23.1" customHeight="1">
      <c r="A610" s="423" t="s">
        <v>727</v>
      </c>
      <c r="B610" s="423" t="s">
        <v>963</v>
      </c>
      <c r="C610" s="423" t="s">
        <v>727</v>
      </c>
      <c r="D610" s="685" t="s">
        <v>609</v>
      </c>
      <c r="E610" s="685" t="s">
        <v>728</v>
      </c>
      <c r="F610" s="687" t="s">
        <v>611</v>
      </c>
      <c r="G610" s="433">
        <v>4</v>
      </c>
      <c r="H610" s="433">
        <v>10411</v>
      </c>
      <c r="I610" s="433">
        <v>41644</v>
      </c>
      <c r="J610" s="433">
        <v>49113</v>
      </c>
      <c r="K610" s="433">
        <v>196452</v>
      </c>
      <c r="L610" s="433">
        <v>0</v>
      </c>
      <c r="M610" s="433">
        <v>0</v>
      </c>
      <c r="N610" s="433">
        <v>59524</v>
      </c>
      <c r="O610" s="433">
        <v>238096</v>
      </c>
      <c r="P610" s="683">
        <f>G611-G610</f>
        <v>-4</v>
      </c>
      <c r="Q610" s="683">
        <f>O611-O610</f>
        <v>-238096</v>
      </c>
      <c r="R610" s="689" t="s">
        <v>729</v>
      </c>
      <c r="AF610" s="426">
        <v>196456</v>
      </c>
    </row>
    <row r="611" spans="1:32" ht="23.1" customHeight="1">
      <c r="A611" s="412"/>
      <c r="B611" s="412"/>
      <c r="C611" s="412"/>
      <c r="D611" s="686"/>
      <c r="E611" s="686"/>
      <c r="F611" s="688"/>
      <c r="G611" s="434"/>
      <c r="H611" s="434"/>
      <c r="I611" s="434"/>
      <c r="J611" s="434"/>
      <c r="K611" s="434"/>
      <c r="L611" s="434"/>
      <c r="M611" s="434"/>
      <c r="N611" s="434"/>
      <c r="O611" s="434"/>
      <c r="P611" s="684"/>
      <c r="Q611" s="684"/>
      <c r="R611" s="690"/>
    </row>
    <row r="612" spans="1:32" s="426" customFormat="1" ht="23.1" customHeight="1">
      <c r="A612" s="423" t="s">
        <v>608</v>
      </c>
      <c r="B612" s="423" t="s">
        <v>963</v>
      </c>
      <c r="C612" s="423" t="s">
        <v>608</v>
      </c>
      <c r="D612" s="685" t="s">
        <v>609</v>
      </c>
      <c r="E612" s="685" t="s">
        <v>610</v>
      </c>
      <c r="F612" s="687" t="s">
        <v>611</v>
      </c>
      <c r="G612" s="433">
        <v>4</v>
      </c>
      <c r="H612" s="433">
        <v>15857</v>
      </c>
      <c r="I612" s="433">
        <v>63428</v>
      </c>
      <c r="J612" s="433">
        <v>49113</v>
      </c>
      <c r="K612" s="433">
        <v>196452</v>
      </c>
      <c r="L612" s="433">
        <v>0</v>
      </c>
      <c r="M612" s="433">
        <v>0</v>
      </c>
      <c r="N612" s="433">
        <v>64970</v>
      </c>
      <c r="O612" s="433">
        <v>259880</v>
      </c>
      <c r="P612" s="683">
        <f>G613-G612</f>
        <v>-4</v>
      </c>
      <c r="Q612" s="683">
        <f>O613-O612</f>
        <v>-259880</v>
      </c>
      <c r="R612" s="689" t="s">
        <v>612</v>
      </c>
      <c r="AF612" s="426">
        <v>196456</v>
      </c>
    </row>
    <row r="613" spans="1:32" ht="23.1" customHeight="1">
      <c r="A613" s="412"/>
      <c r="B613" s="412"/>
      <c r="C613" s="412"/>
      <c r="D613" s="686"/>
      <c r="E613" s="686"/>
      <c r="F613" s="688"/>
      <c r="G613" s="434"/>
      <c r="H613" s="434"/>
      <c r="I613" s="434"/>
      <c r="J613" s="434"/>
      <c r="K613" s="434"/>
      <c r="L613" s="434"/>
      <c r="M613" s="434"/>
      <c r="N613" s="434"/>
      <c r="O613" s="434"/>
      <c r="P613" s="684"/>
      <c r="Q613" s="684"/>
      <c r="R613" s="690"/>
    </row>
    <row r="614" spans="1:32" s="426" customFormat="1" ht="23.1" customHeight="1">
      <c r="A614" s="423" t="s">
        <v>975</v>
      </c>
      <c r="B614" s="423" t="s">
        <v>963</v>
      </c>
      <c r="C614" s="423" t="s">
        <v>975</v>
      </c>
      <c r="D614" s="685" t="s">
        <v>615</v>
      </c>
      <c r="E614" s="685" t="s">
        <v>976</v>
      </c>
      <c r="F614" s="687" t="s">
        <v>617</v>
      </c>
      <c r="G614" s="433">
        <v>1</v>
      </c>
      <c r="H614" s="433">
        <v>687</v>
      </c>
      <c r="I614" s="433">
        <v>687</v>
      </c>
      <c r="J614" s="433">
        <v>0</v>
      </c>
      <c r="K614" s="433">
        <v>0</v>
      </c>
      <c r="L614" s="433">
        <v>0</v>
      </c>
      <c r="M614" s="433">
        <v>0</v>
      </c>
      <c r="N614" s="433">
        <v>687</v>
      </c>
      <c r="O614" s="433">
        <v>687</v>
      </c>
      <c r="P614" s="683">
        <f>G615-G614</f>
        <v>-1</v>
      </c>
      <c r="Q614" s="683">
        <f>O615-O614</f>
        <v>-687</v>
      </c>
      <c r="R614" s="689" t="s">
        <v>977</v>
      </c>
    </row>
    <row r="615" spans="1:32" ht="23.1" customHeight="1">
      <c r="A615" s="412"/>
      <c r="B615" s="412"/>
      <c r="C615" s="412"/>
      <c r="D615" s="686"/>
      <c r="E615" s="686"/>
      <c r="F615" s="688"/>
      <c r="G615" s="434"/>
      <c r="H615" s="434"/>
      <c r="I615" s="434"/>
      <c r="J615" s="434"/>
      <c r="K615" s="434"/>
      <c r="L615" s="434"/>
      <c r="M615" s="434"/>
      <c r="N615" s="434"/>
      <c r="O615" s="434"/>
      <c r="P615" s="684"/>
      <c r="Q615" s="684"/>
      <c r="R615" s="690"/>
    </row>
    <row r="616" spans="1:32" s="426" customFormat="1" ht="23.1" customHeight="1">
      <c r="A616" s="423" t="s">
        <v>614</v>
      </c>
      <c r="B616" s="423" t="s">
        <v>963</v>
      </c>
      <c r="C616" s="423" t="s">
        <v>614</v>
      </c>
      <c r="D616" s="685" t="s">
        <v>615</v>
      </c>
      <c r="E616" s="685" t="s">
        <v>616</v>
      </c>
      <c r="F616" s="687" t="s">
        <v>617</v>
      </c>
      <c r="G616" s="433">
        <v>2</v>
      </c>
      <c r="H616" s="433">
        <v>3124</v>
      </c>
      <c r="I616" s="433">
        <v>6248</v>
      </c>
      <c r="J616" s="433">
        <v>0</v>
      </c>
      <c r="K616" s="433">
        <v>0</v>
      </c>
      <c r="L616" s="433">
        <v>0</v>
      </c>
      <c r="M616" s="433">
        <v>0</v>
      </c>
      <c r="N616" s="433">
        <v>3124</v>
      </c>
      <c r="O616" s="433">
        <v>6248</v>
      </c>
      <c r="P616" s="683">
        <f>G617-G616</f>
        <v>-2</v>
      </c>
      <c r="Q616" s="683">
        <f>O617-O616</f>
        <v>-6248</v>
      </c>
      <c r="R616" s="689" t="s">
        <v>618</v>
      </c>
    </row>
    <row r="617" spans="1:32" ht="23.1" customHeight="1">
      <c r="A617" s="412"/>
      <c r="B617" s="412"/>
      <c r="C617" s="412"/>
      <c r="D617" s="686"/>
      <c r="E617" s="686"/>
      <c r="F617" s="688"/>
      <c r="G617" s="434"/>
      <c r="H617" s="434"/>
      <c r="I617" s="434"/>
      <c r="J617" s="434"/>
      <c r="K617" s="434"/>
      <c r="L617" s="434"/>
      <c r="M617" s="434"/>
      <c r="N617" s="434"/>
      <c r="O617" s="434"/>
      <c r="P617" s="684"/>
      <c r="Q617" s="684"/>
      <c r="R617" s="690"/>
    </row>
    <row r="618" spans="1:32" s="426" customFormat="1" ht="23.1" customHeight="1">
      <c r="A618" s="423" t="s">
        <v>978</v>
      </c>
      <c r="B618" s="423" t="s">
        <v>963</v>
      </c>
      <c r="C618" s="423" t="s">
        <v>978</v>
      </c>
      <c r="D618" s="685" t="s">
        <v>626</v>
      </c>
      <c r="E618" s="685" t="s">
        <v>979</v>
      </c>
      <c r="F618" s="687" t="s">
        <v>592</v>
      </c>
      <c r="G618" s="433">
        <v>45</v>
      </c>
      <c r="H618" s="433">
        <v>1749</v>
      </c>
      <c r="I618" s="433">
        <v>78705</v>
      </c>
      <c r="J618" s="433">
        <v>1604</v>
      </c>
      <c r="K618" s="433">
        <v>72180</v>
      </c>
      <c r="L618" s="433">
        <v>0</v>
      </c>
      <c r="M618" s="433">
        <v>0</v>
      </c>
      <c r="N618" s="433">
        <v>3353</v>
      </c>
      <c r="O618" s="433">
        <v>150885</v>
      </c>
      <c r="P618" s="683">
        <f>G619-G618</f>
        <v>-45</v>
      </c>
      <c r="Q618" s="683">
        <f>O619-O618</f>
        <v>-150885</v>
      </c>
      <c r="R618" s="689" t="s">
        <v>980</v>
      </c>
      <c r="AD618" s="426">
        <v>78705</v>
      </c>
      <c r="AF618" s="426">
        <v>72180</v>
      </c>
    </row>
    <row r="619" spans="1:32" ht="23.1" customHeight="1">
      <c r="A619" s="412"/>
      <c r="B619" s="412"/>
      <c r="C619" s="412"/>
      <c r="D619" s="686"/>
      <c r="E619" s="686"/>
      <c r="F619" s="688"/>
      <c r="G619" s="434"/>
      <c r="H619" s="434"/>
      <c r="I619" s="434"/>
      <c r="J619" s="434"/>
      <c r="K619" s="434"/>
      <c r="L619" s="434"/>
      <c r="M619" s="434"/>
      <c r="N619" s="434"/>
      <c r="O619" s="434"/>
      <c r="P619" s="684"/>
      <c r="Q619" s="684"/>
      <c r="R619" s="690"/>
    </row>
    <row r="620" spans="1:32" s="426" customFormat="1" ht="23.1" customHeight="1">
      <c r="A620" s="423" t="s">
        <v>981</v>
      </c>
      <c r="B620" s="423" t="s">
        <v>963</v>
      </c>
      <c r="C620" s="423" t="s">
        <v>981</v>
      </c>
      <c r="D620" s="685" t="s">
        <v>631</v>
      </c>
      <c r="E620" s="685" t="s">
        <v>982</v>
      </c>
      <c r="F620" s="687" t="s">
        <v>592</v>
      </c>
      <c r="G620" s="433">
        <v>56</v>
      </c>
      <c r="H620" s="433">
        <v>1514</v>
      </c>
      <c r="I620" s="433">
        <v>84784</v>
      </c>
      <c r="J620" s="433">
        <v>1718</v>
      </c>
      <c r="K620" s="433">
        <v>96208</v>
      </c>
      <c r="L620" s="433">
        <v>0</v>
      </c>
      <c r="M620" s="433">
        <v>0</v>
      </c>
      <c r="N620" s="433">
        <v>3232</v>
      </c>
      <c r="O620" s="433">
        <v>180992</v>
      </c>
      <c r="P620" s="683">
        <f>G621-G620</f>
        <v>-56</v>
      </c>
      <c r="Q620" s="683">
        <f>O621-O620</f>
        <v>-180992</v>
      </c>
      <c r="R620" s="689" t="s">
        <v>983</v>
      </c>
      <c r="AD620" s="426">
        <v>84840</v>
      </c>
      <c r="AF620" s="426">
        <v>96264</v>
      </c>
    </row>
    <row r="621" spans="1:32" ht="23.1" customHeight="1">
      <c r="A621" s="412"/>
      <c r="B621" s="412"/>
      <c r="C621" s="412"/>
      <c r="D621" s="686"/>
      <c r="E621" s="686"/>
      <c r="F621" s="688"/>
      <c r="G621" s="434"/>
      <c r="H621" s="434"/>
      <c r="I621" s="434"/>
      <c r="J621" s="434"/>
      <c r="K621" s="434"/>
      <c r="L621" s="434"/>
      <c r="M621" s="434"/>
      <c r="N621" s="434"/>
      <c r="O621" s="434"/>
      <c r="P621" s="684"/>
      <c r="Q621" s="684"/>
      <c r="R621" s="690"/>
    </row>
    <row r="622" spans="1:32" s="426" customFormat="1" ht="23.1" customHeight="1">
      <c r="A622" s="423" t="s">
        <v>984</v>
      </c>
      <c r="B622" s="423" t="s">
        <v>963</v>
      </c>
      <c r="C622" s="423" t="s">
        <v>984</v>
      </c>
      <c r="D622" s="685" t="s">
        <v>631</v>
      </c>
      <c r="E622" s="685" t="s">
        <v>985</v>
      </c>
      <c r="F622" s="687" t="s">
        <v>592</v>
      </c>
      <c r="G622" s="433">
        <v>112</v>
      </c>
      <c r="H622" s="433">
        <v>16086</v>
      </c>
      <c r="I622" s="433">
        <v>1801632</v>
      </c>
      <c r="J622" s="433">
        <v>6361</v>
      </c>
      <c r="K622" s="433">
        <v>712432</v>
      </c>
      <c r="L622" s="433">
        <v>0</v>
      </c>
      <c r="M622" s="433">
        <v>0</v>
      </c>
      <c r="N622" s="433">
        <v>22447</v>
      </c>
      <c r="O622" s="433">
        <v>2514064</v>
      </c>
      <c r="P622" s="683">
        <f>G623-G622</f>
        <v>-112</v>
      </c>
      <c r="Q622" s="683">
        <f>O623-O622</f>
        <v>-2514064</v>
      </c>
      <c r="R622" s="689" t="s">
        <v>986</v>
      </c>
      <c r="AD622" s="426">
        <v>1801632</v>
      </c>
      <c r="AF622" s="426">
        <v>712544</v>
      </c>
    </row>
    <row r="623" spans="1:32" ht="23.1" customHeight="1">
      <c r="A623" s="412"/>
      <c r="B623" s="412"/>
      <c r="C623" s="412"/>
      <c r="D623" s="686"/>
      <c r="E623" s="686"/>
      <c r="F623" s="688"/>
      <c r="G623" s="434"/>
      <c r="H623" s="434"/>
      <c r="I623" s="434"/>
      <c r="J623" s="434"/>
      <c r="K623" s="434"/>
      <c r="L623" s="434"/>
      <c r="M623" s="434"/>
      <c r="N623" s="434"/>
      <c r="O623" s="434"/>
      <c r="P623" s="684"/>
      <c r="Q623" s="684"/>
      <c r="R623" s="690"/>
    </row>
    <row r="624" spans="1:32" s="426" customFormat="1" ht="23.1" customHeight="1">
      <c r="A624" s="423" t="s">
        <v>987</v>
      </c>
      <c r="B624" s="423" t="s">
        <v>963</v>
      </c>
      <c r="C624" s="423" t="s">
        <v>987</v>
      </c>
      <c r="D624" s="685" t="s">
        <v>988</v>
      </c>
      <c r="E624" s="685" t="s">
        <v>989</v>
      </c>
      <c r="F624" s="687" t="s">
        <v>592</v>
      </c>
      <c r="G624" s="433">
        <v>55</v>
      </c>
      <c r="H624" s="433">
        <v>268</v>
      </c>
      <c r="I624" s="433">
        <v>14740</v>
      </c>
      <c r="J624" s="433">
        <v>1615</v>
      </c>
      <c r="K624" s="433">
        <v>88825</v>
      </c>
      <c r="L624" s="433">
        <v>0</v>
      </c>
      <c r="M624" s="433">
        <v>0</v>
      </c>
      <c r="N624" s="433">
        <v>1883</v>
      </c>
      <c r="O624" s="433">
        <v>103565</v>
      </c>
      <c r="P624" s="683">
        <f>G625-G624</f>
        <v>-55</v>
      </c>
      <c r="Q624" s="683">
        <f>O625-O624</f>
        <v>-103565</v>
      </c>
      <c r="R624" s="689" t="s">
        <v>990</v>
      </c>
      <c r="AD624" s="426">
        <v>14740</v>
      </c>
      <c r="AF624" s="426">
        <v>88825</v>
      </c>
    </row>
    <row r="625" spans="1:32" ht="23.1" customHeight="1">
      <c r="A625" s="412"/>
      <c r="B625" s="412"/>
      <c r="C625" s="412"/>
      <c r="D625" s="686"/>
      <c r="E625" s="686"/>
      <c r="F625" s="688"/>
      <c r="G625" s="434"/>
      <c r="H625" s="434"/>
      <c r="I625" s="434"/>
      <c r="J625" s="434"/>
      <c r="K625" s="434"/>
      <c r="L625" s="434"/>
      <c r="M625" s="434"/>
      <c r="N625" s="434"/>
      <c r="O625" s="434"/>
      <c r="P625" s="684"/>
      <c r="Q625" s="684"/>
      <c r="R625" s="690"/>
    </row>
    <row r="626" spans="1:32" s="426" customFormat="1" ht="23.1" customHeight="1">
      <c r="A626" s="423" t="s">
        <v>991</v>
      </c>
      <c r="B626" s="423" t="s">
        <v>963</v>
      </c>
      <c r="C626" s="423" t="s">
        <v>991</v>
      </c>
      <c r="D626" s="685" t="s">
        <v>992</v>
      </c>
      <c r="E626" s="685" t="s">
        <v>993</v>
      </c>
      <c r="F626" s="687" t="s">
        <v>617</v>
      </c>
      <c r="G626" s="433">
        <v>16</v>
      </c>
      <c r="H626" s="433">
        <v>665</v>
      </c>
      <c r="I626" s="433">
        <v>10640</v>
      </c>
      <c r="J626" s="433">
        <v>25982</v>
      </c>
      <c r="K626" s="433">
        <v>415712</v>
      </c>
      <c r="L626" s="433">
        <v>0</v>
      </c>
      <c r="M626" s="433">
        <v>0</v>
      </c>
      <c r="N626" s="433">
        <v>26647</v>
      </c>
      <c r="O626" s="433">
        <v>426352</v>
      </c>
      <c r="P626" s="683">
        <f>G627-G626</f>
        <v>-16</v>
      </c>
      <c r="Q626" s="683">
        <f>O627-O626</f>
        <v>-426352</v>
      </c>
      <c r="R626" s="689" t="s">
        <v>994</v>
      </c>
      <c r="AF626" s="426">
        <v>415728</v>
      </c>
    </row>
    <row r="627" spans="1:32" ht="23.1" customHeight="1">
      <c r="A627" s="412"/>
      <c r="B627" s="412"/>
      <c r="C627" s="412"/>
      <c r="D627" s="686"/>
      <c r="E627" s="686"/>
      <c r="F627" s="688"/>
      <c r="G627" s="434"/>
      <c r="H627" s="434"/>
      <c r="I627" s="434"/>
      <c r="J627" s="434"/>
      <c r="K627" s="434"/>
      <c r="L627" s="434"/>
      <c r="M627" s="434"/>
      <c r="N627" s="434"/>
      <c r="O627" s="434"/>
      <c r="P627" s="684"/>
      <c r="Q627" s="684"/>
      <c r="R627" s="690"/>
    </row>
    <row r="628" spans="1:32" s="426" customFormat="1" ht="23.1" customHeight="1">
      <c r="A628" s="423" t="s">
        <v>651</v>
      </c>
      <c r="B628" s="423" t="s">
        <v>963</v>
      </c>
      <c r="C628" s="423" t="s">
        <v>651</v>
      </c>
      <c r="D628" s="685" t="s">
        <v>652</v>
      </c>
      <c r="E628" s="685" t="s">
        <v>653</v>
      </c>
      <c r="F628" s="687" t="s">
        <v>592</v>
      </c>
      <c r="G628" s="433">
        <v>45</v>
      </c>
      <c r="H628" s="433">
        <v>243</v>
      </c>
      <c r="I628" s="433">
        <v>10935</v>
      </c>
      <c r="J628" s="433">
        <v>251</v>
      </c>
      <c r="K628" s="433">
        <v>11295</v>
      </c>
      <c r="L628" s="433">
        <v>0</v>
      </c>
      <c r="M628" s="433">
        <v>0</v>
      </c>
      <c r="N628" s="433">
        <v>494</v>
      </c>
      <c r="O628" s="433">
        <v>22230</v>
      </c>
      <c r="P628" s="683">
        <f>G629-G628</f>
        <v>-45</v>
      </c>
      <c r="Q628" s="683">
        <f>O629-O628</f>
        <v>-22230</v>
      </c>
      <c r="R628" s="689" t="s">
        <v>654</v>
      </c>
      <c r="AF628" s="426">
        <v>11295</v>
      </c>
    </row>
    <row r="629" spans="1:32" ht="23.1" customHeight="1">
      <c r="A629" s="412"/>
      <c r="B629" s="412"/>
      <c r="C629" s="412"/>
      <c r="D629" s="686"/>
      <c r="E629" s="686"/>
      <c r="F629" s="688"/>
      <c r="G629" s="434"/>
      <c r="H629" s="434"/>
      <c r="I629" s="434"/>
      <c r="J629" s="434"/>
      <c r="K629" s="434"/>
      <c r="L629" s="434"/>
      <c r="M629" s="434"/>
      <c r="N629" s="434"/>
      <c r="O629" s="434"/>
      <c r="P629" s="684"/>
      <c r="Q629" s="684"/>
      <c r="R629" s="690"/>
    </row>
    <row r="630" spans="1:32" s="426" customFormat="1" ht="23.1" customHeight="1">
      <c r="A630" s="423" t="s">
        <v>817</v>
      </c>
      <c r="B630" s="423" t="s">
        <v>963</v>
      </c>
      <c r="C630" s="423" t="s">
        <v>817</v>
      </c>
      <c r="D630" s="685" t="s">
        <v>818</v>
      </c>
      <c r="E630" s="685" t="s">
        <v>819</v>
      </c>
      <c r="F630" s="687" t="s">
        <v>659</v>
      </c>
      <c r="G630" s="433">
        <v>2</v>
      </c>
      <c r="H630" s="433">
        <v>46798</v>
      </c>
      <c r="I630" s="433">
        <v>93596</v>
      </c>
      <c r="J630" s="433">
        <v>112041</v>
      </c>
      <c r="K630" s="433">
        <v>224082</v>
      </c>
      <c r="L630" s="433">
        <v>2512</v>
      </c>
      <c r="M630" s="433">
        <v>5024</v>
      </c>
      <c r="N630" s="433">
        <v>161351</v>
      </c>
      <c r="O630" s="433">
        <v>322702</v>
      </c>
      <c r="P630" s="683">
        <f>G631-G630</f>
        <v>-2</v>
      </c>
      <c r="Q630" s="683">
        <f>O631-O630</f>
        <v>-322702</v>
      </c>
      <c r="R630" s="689" t="s">
        <v>820</v>
      </c>
      <c r="AF630" s="426">
        <v>224082</v>
      </c>
    </row>
    <row r="631" spans="1:32" ht="23.1" customHeight="1">
      <c r="A631" s="412"/>
      <c r="B631" s="412"/>
      <c r="C631" s="412"/>
      <c r="D631" s="686"/>
      <c r="E631" s="686"/>
      <c r="F631" s="688"/>
      <c r="G631" s="434"/>
      <c r="H631" s="434"/>
      <c r="I631" s="434"/>
      <c r="J631" s="434"/>
      <c r="K631" s="434"/>
      <c r="L631" s="434"/>
      <c r="M631" s="434"/>
      <c r="N631" s="434"/>
      <c r="O631" s="434"/>
      <c r="P631" s="684"/>
      <c r="Q631" s="684"/>
      <c r="R631" s="690"/>
    </row>
    <row r="632" spans="1:32" s="426" customFormat="1" ht="23.1" customHeight="1">
      <c r="A632" s="423" t="s">
        <v>670</v>
      </c>
      <c r="B632" s="423" t="s">
        <v>963</v>
      </c>
      <c r="C632" s="423" t="s">
        <v>670</v>
      </c>
      <c r="D632" s="685" t="s">
        <v>671</v>
      </c>
      <c r="E632" s="685" t="s">
        <v>672</v>
      </c>
      <c r="F632" s="687" t="s">
        <v>673</v>
      </c>
      <c r="G632" s="433">
        <v>32.4</v>
      </c>
      <c r="H632" s="433">
        <v>333</v>
      </c>
      <c r="I632" s="433">
        <v>10789</v>
      </c>
      <c r="J632" s="433">
        <v>804</v>
      </c>
      <c r="K632" s="433">
        <v>26049</v>
      </c>
      <c r="L632" s="433">
        <v>418</v>
      </c>
      <c r="M632" s="433">
        <v>13543</v>
      </c>
      <c r="N632" s="433">
        <v>1555</v>
      </c>
      <c r="O632" s="433">
        <v>50381</v>
      </c>
      <c r="P632" s="683">
        <f>G633-G632</f>
        <v>-32.4</v>
      </c>
      <c r="Q632" s="683">
        <f>O633-O632</f>
        <v>-50381</v>
      </c>
      <c r="R632" s="689" t="s">
        <v>670</v>
      </c>
    </row>
    <row r="633" spans="1:32" ht="23.1" customHeight="1">
      <c r="A633" s="412"/>
      <c r="B633" s="412"/>
      <c r="C633" s="412"/>
      <c r="D633" s="686"/>
      <c r="E633" s="686"/>
      <c r="F633" s="688"/>
      <c r="G633" s="434"/>
      <c r="H633" s="434"/>
      <c r="I633" s="434"/>
      <c r="J633" s="434"/>
      <c r="K633" s="434"/>
      <c r="L633" s="434"/>
      <c r="M633" s="434"/>
      <c r="N633" s="434"/>
      <c r="O633" s="434"/>
      <c r="P633" s="684"/>
      <c r="Q633" s="684"/>
      <c r="R633" s="690"/>
    </row>
    <row r="634" spans="1:32" s="426" customFormat="1" ht="23.1" customHeight="1">
      <c r="A634" s="423" t="s">
        <v>674</v>
      </c>
      <c r="B634" s="423" t="s">
        <v>963</v>
      </c>
      <c r="C634" s="423" t="s">
        <v>674</v>
      </c>
      <c r="D634" s="685" t="s">
        <v>675</v>
      </c>
      <c r="E634" s="685" t="s">
        <v>672</v>
      </c>
      <c r="F634" s="687" t="s">
        <v>673</v>
      </c>
      <c r="G634" s="433">
        <v>32.4</v>
      </c>
      <c r="H634" s="433">
        <v>333</v>
      </c>
      <c r="I634" s="433">
        <v>10789</v>
      </c>
      <c r="J634" s="433">
        <v>804</v>
      </c>
      <c r="K634" s="433">
        <v>26049</v>
      </c>
      <c r="L634" s="433">
        <v>418</v>
      </c>
      <c r="M634" s="433">
        <v>13543</v>
      </c>
      <c r="N634" s="433">
        <v>1555</v>
      </c>
      <c r="O634" s="433">
        <v>50381</v>
      </c>
      <c r="P634" s="683">
        <f>G635-G634</f>
        <v>-32.4</v>
      </c>
      <c r="Q634" s="683">
        <f>O635-O634</f>
        <v>-50381</v>
      </c>
      <c r="R634" s="689" t="s">
        <v>674</v>
      </c>
    </row>
    <row r="635" spans="1:32" ht="23.1" customHeight="1">
      <c r="A635" s="412"/>
      <c r="B635" s="412"/>
      <c r="C635" s="412"/>
      <c r="D635" s="686"/>
      <c r="E635" s="686"/>
      <c r="F635" s="688"/>
      <c r="G635" s="434"/>
      <c r="H635" s="434"/>
      <c r="I635" s="434"/>
      <c r="J635" s="434"/>
      <c r="K635" s="434"/>
      <c r="L635" s="434"/>
      <c r="M635" s="434"/>
      <c r="N635" s="434"/>
      <c r="O635" s="434"/>
      <c r="P635" s="684"/>
      <c r="Q635" s="684"/>
      <c r="R635" s="690"/>
    </row>
    <row r="636" spans="1:32" s="426" customFormat="1" ht="23.1" customHeight="1">
      <c r="A636" s="423" t="s">
        <v>995</v>
      </c>
      <c r="B636" s="423" t="s">
        <v>963</v>
      </c>
      <c r="C636" s="423" t="s">
        <v>995</v>
      </c>
      <c r="D636" s="685" t="s">
        <v>996</v>
      </c>
      <c r="E636" s="685" t="s">
        <v>997</v>
      </c>
      <c r="F636" s="687" t="s">
        <v>998</v>
      </c>
      <c r="G636" s="433">
        <v>1</v>
      </c>
      <c r="H636" s="433">
        <v>0</v>
      </c>
      <c r="I636" s="433">
        <v>0</v>
      </c>
      <c r="J636" s="433">
        <v>0</v>
      </c>
      <c r="K636" s="433">
        <v>0</v>
      </c>
      <c r="L636" s="433">
        <v>0</v>
      </c>
      <c r="M636" s="433">
        <v>0</v>
      </c>
      <c r="N636" s="433" t="s">
        <v>378</v>
      </c>
      <c r="O636" s="433">
        <v>0</v>
      </c>
      <c r="P636" s="683">
        <f>G637-G636</f>
        <v>-1</v>
      </c>
      <c r="Q636" s="683"/>
      <c r="R636" s="689" t="s">
        <v>999</v>
      </c>
    </row>
    <row r="637" spans="1:32" ht="23.1" customHeight="1">
      <c r="A637" s="412"/>
      <c r="B637" s="412"/>
      <c r="C637" s="412"/>
      <c r="D637" s="686"/>
      <c r="E637" s="686"/>
      <c r="F637" s="688"/>
      <c r="G637" s="434"/>
      <c r="H637" s="434"/>
      <c r="I637" s="434"/>
      <c r="J637" s="434"/>
      <c r="K637" s="434"/>
      <c r="L637" s="434"/>
      <c r="M637" s="434"/>
      <c r="N637" s="434">
        <f t="shared" ref="N637:N686" si="14">H637+J637</f>
        <v>0</v>
      </c>
      <c r="O637" s="434"/>
      <c r="P637" s="684"/>
      <c r="Q637" s="684"/>
      <c r="R637" s="690"/>
    </row>
    <row r="638" spans="1:32" s="426" customFormat="1" ht="23.1" customHeight="1">
      <c r="D638" s="437"/>
      <c r="E638" s="437"/>
      <c r="F638" s="438"/>
      <c r="G638" s="439"/>
      <c r="H638" s="439"/>
      <c r="I638" s="439"/>
      <c r="J638" s="439"/>
      <c r="K638" s="439"/>
      <c r="L638" s="439"/>
      <c r="M638" s="439"/>
      <c r="N638" s="439">
        <f t="shared" si="14"/>
        <v>0</v>
      </c>
      <c r="O638" s="439"/>
      <c r="P638" s="439"/>
      <c r="Q638" s="439"/>
      <c r="R638" s="429"/>
      <c r="AF638" s="426">
        <v>4159191</v>
      </c>
    </row>
    <row r="639" spans="1:32" ht="23.1" customHeight="1">
      <c r="D639" s="440"/>
      <c r="E639" s="440"/>
      <c r="F639" s="441"/>
      <c r="G639" s="442"/>
      <c r="H639" s="442"/>
      <c r="I639" s="442"/>
      <c r="J639" s="442"/>
      <c r="K639" s="442"/>
      <c r="L639" s="442"/>
      <c r="M639" s="442"/>
      <c r="N639" s="442">
        <f t="shared" si="14"/>
        <v>0</v>
      </c>
      <c r="O639" s="442"/>
      <c r="P639" s="442"/>
      <c r="Q639" s="442"/>
      <c r="R639" s="428"/>
      <c r="AF639" s="422">
        <f ca="1">TRUNC([2]!sumcol(0,AF599:AF637))</f>
        <v>0</v>
      </c>
    </row>
    <row r="640" spans="1:32" s="426" customFormat="1" ht="23.1" customHeight="1">
      <c r="D640" s="437"/>
      <c r="E640" s="437"/>
      <c r="F640" s="438"/>
      <c r="G640" s="439"/>
      <c r="H640" s="439"/>
      <c r="I640" s="439"/>
      <c r="J640" s="439"/>
      <c r="K640" s="439"/>
      <c r="L640" s="439"/>
      <c r="M640" s="439"/>
      <c r="N640" s="439">
        <f t="shared" si="14"/>
        <v>0</v>
      </c>
      <c r="O640" s="439"/>
      <c r="P640" s="439"/>
      <c r="Q640" s="439"/>
      <c r="R640" s="429"/>
    </row>
    <row r="641" spans="1:18" ht="23.1" customHeight="1">
      <c r="D641" s="440"/>
      <c r="E641" s="440"/>
      <c r="F641" s="441"/>
      <c r="G641" s="442"/>
      <c r="H641" s="442"/>
      <c r="I641" s="442"/>
      <c r="J641" s="442"/>
      <c r="K641" s="442"/>
      <c r="L641" s="442"/>
      <c r="M641" s="442"/>
      <c r="N641" s="442">
        <f t="shared" si="14"/>
        <v>0</v>
      </c>
      <c r="O641" s="442"/>
      <c r="P641" s="442"/>
      <c r="Q641" s="442"/>
      <c r="R641" s="428"/>
    </row>
    <row r="642" spans="1:18" s="426" customFormat="1" ht="23.1" customHeight="1">
      <c r="D642" s="437"/>
      <c r="E642" s="437"/>
      <c r="F642" s="438"/>
      <c r="G642" s="439"/>
      <c r="H642" s="439"/>
      <c r="I642" s="439"/>
      <c r="J642" s="439"/>
      <c r="K642" s="439"/>
      <c r="L642" s="439"/>
      <c r="M642" s="439"/>
      <c r="N642" s="439">
        <f t="shared" si="14"/>
        <v>0</v>
      </c>
      <c r="O642" s="439"/>
      <c r="P642" s="439"/>
      <c r="Q642" s="439"/>
      <c r="R642" s="429"/>
    </row>
    <row r="643" spans="1:18" ht="23.1" customHeight="1">
      <c r="D643" s="440"/>
      <c r="E643" s="440"/>
      <c r="F643" s="441"/>
      <c r="G643" s="442"/>
      <c r="H643" s="442"/>
      <c r="I643" s="442"/>
      <c r="J643" s="442"/>
      <c r="K643" s="442"/>
      <c r="L643" s="442"/>
      <c r="M643" s="442"/>
      <c r="N643" s="442">
        <f t="shared" si="14"/>
        <v>0</v>
      </c>
      <c r="O643" s="442"/>
      <c r="P643" s="442"/>
      <c r="Q643" s="442"/>
      <c r="R643" s="428"/>
    </row>
    <row r="644" spans="1:18" s="426" customFormat="1" ht="23.1" customHeight="1">
      <c r="D644" s="437"/>
      <c r="E644" s="437"/>
      <c r="F644" s="438"/>
      <c r="G644" s="439"/>
      <c r="H644" s="439"/>
      <c r="I644" s="439"/>
      <c r="J644" s="439"/>
      <c r="K644" s="439"/>
      <c r="L644" s="439"/>
      <c r="M644" s="439"/>
      <c r="N644" s="439">
        <f t="shared" si="14"/>
        <v>0</v>
      </c>
      <c r="O644" s="439"/>
      <c r="P644" s="439"/>
      <c r="Q644" s="439"/>
      <c r="R644" s="429"/>
    </row>
    <row r="645" spans="1:18" ht="23.1" customHeight="1">
      <c r="D645" s="440"/>
      <c r="E645" s="440"/>
      <c r="F645" s="441"/>
      <c r="G645" s="442"/>
      <c r="H645" s="442"/>
      <c r="I645" s="442"/>
      <c r="J645" s="442"/>
      <c r="K645" s="442"/>
      <c r="L645" s="442"/>
      <c r="M645" s="442"/>
      <c r="N645" s="442">
        <f t="shared" si="14"/>
        <v>0</v>
      </c>
      <c r="O645" s="442"/>
      <c r="P645" s="442"/>
      <c r="Q645" s="442"/>
      <c r="R645" s="428"/>
    </row>
    <row r="646" spans="1:18" s="426" customFormat="1" ht="23.1" customHeight="1">
      <c r="D646" s="437"/>
      <c r="E646" s="437"/>
      <c r="F646" s="438"/>
      <c r="G646" s="439"/>
      <c r="H646" s="439"/>
      <c r="I646" s="439"/>
      <c r="J646" s="439"/>
      <c r="K646" s="439"/>
      <c r="L646" s="439"/>
      <c r="M646" s="439"/>
      <c r="N646" s="439">
        <f t="shared" si="14"/>
        <v>0</v>
      </c>
      <c r="O646" s="439"/>
      <c r="P646" s="439"/>
      <c r="Q646" s="439"/>
      <c r="R646" s="429"/>
    </row>
    <row r="647" spans="1:18" ht="23.1" customHeight="1">
      <c r="D647" s="440"/>
      <c r="E647" s="440"/>
      <c r="F647" s="441"/>
      <c r="G647" s="442"/>
      <c r="H647" s="442"/>
      <c r="I647" s="442"/>
      <c r="J647" s="442"/>
      <c r="K647" s="442"/>
      <c r="L647" s="442"/>
      <c r="M647" s="442"/>
      <c r="N647" s="442">
        <f t="shared" si="14"/>
        <v>0</v>
      </c>
      <c r="O647" s="442"/>
      <c r="P647" s="442"/>
      <c r="Q647" s="442"/>
      <c r="R647" s="428"/>
    </row>
    <row r="648" spans="1:18" s="426" customFormat="1" ht="23.1" customHeight="1">
      <c r="B648" s="426" t="s">
        <v>715</v>
      </c>
      <c r="D648" s="437" t="s">
        <v>216</v>
      </c>
      <c r="E648" s="437"/>
      <c r="F648" s="438"/>
      <c r="G648" s="439"/>
      <c r="H648" s="439"/>
      <c r="I648" s="439">
        <f>I600+I602+I604+I606+I608+I610+I612+I614+I616+I618+I620+I622+I624+I626+I628+I630+I632+I634+I636+I638+I640+I642+I644+I646</f>
        <v>2422617</v>
      </c>
      <c r="J648" s="439"/>
      <c r="K648" s="439">
        <f>K600+K602+K604+K606+K608+K610+K612+K614+K616+K618+K620+K622+K624+K626+K628+K630+K632+K634+K636+K638+K640+K642+K644+K646</f>
        <v>4210973</v>
      </c>
      <c r="L648" s="439"/>
      <c r="M648" s="439">
        <f>M600+M602+M604+M606+M608+M610+M612+M614+M616+M618+M620+M622+M624+M626+M628+M630+M632+M634+M636+M638+M640+M642+M644+M646</f>
        <v>32110</v>
      </c>
      <c r="N648" s="439">
        <f t="shared" si="14"/>
        <v>0</v>
      </c>
      <c r="O648" s="439">
        <f>O600+O602+O604+O606+O608+O610+O612+O614+O616+O618+O620+O622+O624+O626+O628+O630+O632+O634+O636+O638+O640+O642+O644+O646</f>
        <v>6665700</v>
      </c>
      <c r="P648" s="439"/>
      <c r="Q648" s="683">
        <f ca="1">O649-O648</f>
        <v>-6665700</v>
      </c>
      <c r="R648" s="429"/>
    </row>
    <row r="649" spans="1:18" ht="23.1" customHeight="1">
      <c r="B649" s="422" t="s">
        <v>715</v>
      </c>
      <c r="D649" s="440" t="s">
        <v>216</v>
      </c>
      <c r="E649" s="440"/>
      <c r="F649" s="441"/>
      <c r="G649" s="442"/>
      <c r="H649" s="442"/>
      <c r="I649" s="442">
        <f ca="1">TRUNC([2]!sumcol(0,I599:I647))</f>
        <v>0</v>
      </c>
      <c r="J649" s="442"/>
      <c r="K649" s="442">
        <f ca="1">TRUNC([2]!sumcol(0,K599:K647))</f>
        <v>0</v>
      </c>
      <c r="L649" s="442"/>
      <c r="M649" s="442">
        <f ca="1">TRUNC([2]!sumcol(0,M599:M647))</f>
        <v>0</v>
      </c>
      <c r="N649" s="442">
        <f t="shared" si="14"/>
        <v>0</v>
      </c>
      <c r="O649" s="442">
        <f ca="1">TRUNC([2]!sumcol(0,O599:O647))</f>
        <v>0</v>
      </c>
      <c r="P649" s="442"/>
      <c r="Q649" s="684"/>
      <c r="R649" s="428"/>
    </row>
    <row r="650" spans="1:18" ht="23.1" customHeight="1">
      <c r="B650" s="422" t="s">
        <v>208</v>
      </c>
      <c r="D650" s="449" t="s">
        <v>546</v>
      </c>
      <c r="E650" s="450"/>
      <c r="F650" s="451"/>
      <c r="G650" s="452"/>
      <c r="H650" s="452"/>
      <c r="I650" s="452"/>
      <c r="J650" s="452"/>
      <c r="K650" s="452"/>
      <c r="L650" s="452"/>
      <c r="M650" s="452"/>
      <c r="N650" s="452">
        <f t="shared" si="14"/>
        <v>0</v>
      </c>
      <c r="O650" s="452"/>
      <c r="P650" s="452"/>
      <c r="Q650" s="452"/>
      <c r="R650" s="421"/>
    </row>
    <row r="651" spans="1:18" s="426" customFormat="1" ht="23.1" customHeight="1">
      <c r="A651" s="426" t="s">
        <v>1000</v>
      </c>
      <c r="B651" s="426" t="s">
        <v>1001</v>
      </c>
      <c r="C651" s="426" t="s">
        <v>1000</v>
      </c>
      <c r="D651" s="437" t="s">
        <v>996</v>
      </c>
      <c r="E651" s="437" t="s">
        <v>997</v>
      </c>
      <c r="F651" s="438" t="s">
        <v>998</v>
      </c>
      <c r="G651" s="439">
        <v>1</v>
      </c>
      <c r="H651" s="439">
        <f>합산자재!L98</f>
        <v>179032531.96829</v>
      </c>
      <c r="I651" s="439">
        <f t="shared" ref="I651:I656" si="15">TRUNC(G651*H651)</f>
        <v>179032531</v>
      </c>
      <c r="J651" s="439">
        <v>0</v>
      </c>
      <c r="K651" s="439">
        <v>0</v>
      </c>
      <c r="L651" s="439">
        <v>0</v>
      </c>
      <c r="M651" s="439">
        <v>0</v>
      </c>
      <c r="N651" s="439">
        <f t="shared" si="14"/>
        <v>179032531.96829</v>
      </c>
      <c r="O651" s="439">
        <f>G651*I651</f>
        <v>179032531</v>
      </c>
      <c r="P651" s="683"/>
      <c r="Q651" s="683"/>
      <c r="R651" s="429"/>
    </row>
    <row r="652" spans="1:18" ht="23.1" customHeight="1">
      <c r="A652" s="422" t="s">
        <v>1002</v>
      </c>
      <c r="B652" s="422" t="s">
        <v>237</v>
      </c>
      <c r="C652" s="422" t="s">
        <v>1002</v>
      </c>
      <c r="D652" s="440" t="s">
        <v>544</v>
      </c>
      <c r="E652" s="440" t="s">
        <v>545</v>
      </c>
      <c r="F652" s="441" t="s">
        <v>212</v>
      </c>
      <c r="G652" s="442">
        <v>1</v>
      </c>
      <c r="H652" s="442">
        <f>신규_단가대비표!O145</f>
        <v>179032531.96829</v>
      </c>
      <c r="I652" s="442">
        <f t="shared" si="15"/>
        <v>179032531</v>
      </c>
      <c r="J652" s="442">
        <f>합산자재!I98</f>
        <v>0</v>
      </c>
      <c r="K652" s="442">
        <f>TRUNC(G652*J652)</f>
        <v>0</v>
      </c>
      <c r="L652" s="442">
        <f>합산자재!J98</f>
        <v>0</v>
      </c>
      <c r="M652" s="442">
        <f>TRUNC(G652*L652)</f>
        <v>0</v>
      </c>
      <c r="N652" s="442">
        <f t="shared" si="14"/>
        <v>179032531.96829</v>
      </c>
      <c r="O652" s="442">
        <f>SUM(0,I652,K652,M652)</f>
        <v>179032531</v>
      </c>
      <c r="P652" s="684"/>
      <c r="Q652" s="684"/>
      <c r="R652" s="428"/>
    </row>
    <row r="653" spans="1:18" s="426" customFormat="1" ht="23.1" customHeight="1">
      <c r="A653" s="426" t="s">
        <v>1003</v>
      </c>
      <c r="B653" s="426" t="s">
        <v>1001</v>
      </c>
      <c r="C653" s="426" t="s">
        <v>1003</v>
      </c>
      <c r="D653" s="437" t="s">
        <v>1004</v>
      </c>
      <c r="E653" s="437" t="s">
        <v>1005</v>
      </c>
      <c r="F653" s="438" t="s">
        <v>998</v>
      </c>
      <c r="G653" s="439">
        <v>1</v>
      </c>
      <c r="H653" s="439">
        <f>합산자재!L110</f>
        <v>947410.10000000009</v>
      </c>
      <c r="I653" s="439">
        <f t="shared" si="15"/>
        <v>947410</v>
      </c>
      <c r="J653" s="439">
        <v>0</v>
      </c>
      <c r="K653" s="439">
        <v>0</v>
      </c>
      <c r="L653" s="439">
        <v>0</v>
      </c>
      <c r="M653" s="439">
        <v>0</v>
      </c>
      <c r="N653" s="439">
        <f t="shared" si="14"/>
        <v>947410.10000000009</v>
      </c>
      <c r="O653" s="439">
        <f>G653*I653</f>
        <v>947410</v>
      </c>
      <c r="P653" s="683">
        <f>G654-G653</f>
        <v>-1</v>
      </c>
      <c r="Q653" s="683">
        <f>O654-O653</f>
        <v>-947410</v>
      </c>
      <c r="R653" s="429"/>
    </row>
    <row r="654" spans="1:18" ht="23.1" customHeight="1">
      <c r="A654" s="422" t="s">
        <v>1006</v>
      </c>
      <c r="B654" s="422" t="s">
        <v>237</v>
      </c>
      <c r="C654" s="422" t="s">
        <v>1006</v>
      </c>
      <c r="D654" s="440" t="s">
        <v>547</v>
      </c>
      <c r="E654" s="440" t="s">
        <v>548</v>
      </c>
      <c r="F654" s="441" t="s">
        <v>212</v>
      </c>
      <c r="G654" s="442"/>
      <c r="H654" s="442"/>
      <c r="I654" s="442">
        <f t="shared" si="15"/>
        <v>0</v>
      </c>
      <c r="J654" s="442">
        <f>합산자재!I110</f>
        <v>0</v>
      </c>
      <c r="K654" s="442">
        <f>TRUNC(G654*J654)</f>
        <v>0</v>
      </c>
      <c r="L654" s="442">
        <f>합산자재!J110</f>
        <v>0</v>
      </c>
      <c r="M654" s="442">
        <f>TRUNC(G654*L654)</f>
        <v>0</v>
      </c>
      <c r="N654" s="442">
        <f t="shared" si="14"/>
        <v>0</v>
      </c>
      <c r="O654" s="442">
        <f>SUM(0,I654,K654,M654)</f>
        <v>0</v>
      </c>
      <c r="P654" s="684"/>
      <c r="Q654" s="684"/>
      <c r="R654" s="428"/>
    </row>
    <row r="655" spans="1:18" s="426" customFormat="1" ht="23.1" customHeight="1">
      <c r="A655" s="426" t="s">
        <v>1007</v>
      </c>
      <c r="B655" s="426" t="s">
        <v>1001</v>
      </c>
      <c r="C655" s="426" t="s">
        <v>1007</v>
      </c>
      <c r="D655" s="437" t="s">
        <v>1004</v>
      </c>
      <c r="E655" s="437" t="s">
        <v>1008</v>
      </c>
      <c r="F655" s="438" t="s">
        <v>998</v>
      </c>
      <c r="G655" s="439">
        <v>1</v>
      </c>
      <c r="H655" s="439">
        <f>합산자재!L111</f>
        <v>687720.56443999999</v>
      </c>
      <c r="I655" s="439">
        <f t="shared" si="15"/>
        <v>687720</v>
      </c>
      <c r="J655" s="439">
        <v>0</v>
      </c>
      <c r="K655" s="439">
        <v>0</v>
      </c>
      <c r="L655" s="439">
        <v>0</v>
      </c>
      <c r="M655" s="439">
        <v>0</v>
      </c>
      <c r="N655" s="439">
        <f t="shared" si="14"/>
        <v>687720.56443999999</v>
      </c>
      <c r="O655" s="439">
        <f>G655*I655</f>
        <v>687720</v>
      </c>
      <c r="P655" s="683">
        <f>G656-G655</f>
        <v>-1</v>
      </c>
      <c r="Q655" s="683">
        <f>O656-O655</f>
        <v>-687720</v>
      </c>
      <c r="R655" s="429"/>
    </row>
    <row r="656" spans="1:18" ht="23.1" customHeight="1">
      <c r="A656" s="422" t="s">
        <v>1009</v>
      </c>
      <c r="B656" s="422" t="s">
        <v>237</v>
      </c>
      <c r="C656" s="422" t="s">
        <v>1009</v>
      </c>
      <c r="D656" s="440" t="s">
        <v>547</v>
      </c>
      <c r="E656" s="440" t="s">
        <v>549</v>
      </c>
      <c r="F656" s="441" t="s">
        <v>212</v>
      </c>
      <c r="G656" s="442"/>
      <c r="H656" s="442"/>
      <c r="I656" s="442">
        <f t="shared" si="15"/>
        <v>0</v>
      </c>
      <c r="J656" s="442">
        <f>합산자재!I111</f>
        <v>0</v>
      </c>
      <c r="K656" s="442">
        <f>TRUNC(G656*J656)</f>
        <v>0</v>
      </c>
      <c r="L656" s="442">
        <f>합산자재!J111</f>
        <v>0</v>
      </c>
      <c r="M656" s="442">
        <f>TRUNC(G656*L656)</f>
        <v>0</v>
      </c>
      <c r="N656" s="442">
        <f t="shared" si="14"/>
        <v>0</v>
      </c>
      <c r="O656" s="442">
        <f>SUM(0,I656,K656,M656)</f>
        <v>0</v>
      </c>
      <c r="P656" s="684"/>
      <c r="Q656" s="684"/>
      <c r="R656" s="428"/>
    </row>
    <row r="657" spans="4:32" s="426" customFormat="1" ht="23.1" customHeight="1">
      <c r="D657" s="437"/>
      <c r="E657" s="437"/>
      <c r="F657" s="438"/>
      <c r="G657" s="439"/>
      <c r="H657" s="439"/>
      <c r="I657" s="439"/>
      <c r="J657" s="439"/>
      <c r="K657" s="439"/>
      <c r="L657" s="439"/>
      <c r="M657" s="439"/>
      <c r="N657" s="439">
        <f t="shared" si="14"/>
        <v>0</v>
      </c>
      <c r="O657" s="439"/>
      <c r="P657" s="439"/>
      <c r="Q657" s="439"/>
      <c r="R657" s="429"/>
      <c r="AF657" s="426">
        <v>0</v>
      </c>
    </row>
    <row r="658" spans="4:32" ht="23.1" customHeight="1">
      <c r="D658" s="440"/>
      <c r="E658" s="440"/>
      <c r="F658" s="441"/>
      <c r="G658" s="442"/>
      <c r="H658" s="442"/>
      <c r="I658" s="442"/>
      <c r="J658" s="442"/>
      <c r="K658" s="442"/>
      <c r="L658" s="442"/>
      <c r="M658" s="442"/>
      <c r="N658" s="442">
        <f t="shared" si="14"/>
        <v>0</v>
      </c>
      <c r="O658" s="442"/>
      <c r="P658" s="442"/>
      <c r="Q658" s="442"/>
      <c r="R658" s="428"/>
      <c r="AF658" s="422">
        <f ca="1">TRUNC([2]!sumcol(0,AF650:AF656))</f>
        <v>0</v>
      </c>
    </row>
    <row r="659" spans="4:32" s="426" customFormat="1" ht="23.1" customHeight="1">
      <c r="D659" s="437"/>
      <c r="E659" s="437"/>
      <c r="F659" s="438"/>
      <c r="G659" s="439"/>
      <c r="H659" s="439"/>
      <c r="I659" s="439"/>
      <c r="J659" s="439"/>
      <c r="K659" s="439"/>
      <c r="L659" s="439"/>
      <c r="M659" s="439"/>
      <c r="N659" s="439">
        <f t="shared" si="14"/>
        <v>0</v>
      </c>
      <c r="O659" s="439"/>
      <c r="P659" s="439"/>
      <c r="Q659" s="439"/>
      <c r="R659" s="429"/>
    </row>
    <row r="660" spans="4:32" ht="23.1" customHeight="1">
      <c r="D660" s="440"/>
      <c r="E660" s="440"/>
      <c r="F660" s="441"/>
      <c r="G660" s="442"/>
      <c r="H660" s="442"/>
      <c r="I660" s="442"/>
      <c r="J660" s="442"/>
      <c r="K660" s="442"/>
      <c r="L660" s="442"/>
      <c r="M660" s="442"/>
      <c r="N660" s="442">
        <f t="shared" si="14"/>
        <v>0</v>
      </c>
      <c r="O660" s="442"/>
      <c r="P660" s="442"/>
      <c r="Q660" s="442"/>
      <c r="R660" s="428"/>
    </row>
    <row r="661" spans="4:32" s="426" customFormat="1" ht="23.1" customHeight="1">
      <c r="D661" s="437"/>
      <c r="E661" s="437"/>
      <c r="F661" s="438"/>
      <c r="G661" s="439"/>
      <c r="H661" s="439"/>
      <c r="I661" s="439"/>
      <c r="J661" s="439"/>
      <c r="K661" s="439"/>
      <c r="L661" s="439"/>
      <c r="M661" s="439"/>
      <c r="N661" s="439">
        <f t="shared" si="14"/>
        <v>0</v>
      </c>
      <c r="O661" s="439"/>
      <c r="P661" s="439"/>
      <c r="Q661" s="439"/>
      <c r="R661" s="429"/>
    </row>
    <row r="662" spans="4:32" ht="23.1" customHeight="1">
      <c r="D662" s="440"/>
      <c r="E662" s="440"/>
      <c r="F662" s="441"/>
      <c r="G662" s="442"/>
      <c r="H662" s="442"/>
      <c r="I662" s="442"/>
      <c r="J662" s="442"/>
      <c r="K662" s="442"/>
      <c r="L662" s="442"/>
      <c r="M662" s="442"/>
      <c r="N662" s="442">
        <f t="shared" si="14"/>
        <v>0</v>
      </c>
      <c r="O662" s="442"/>
      <c r="P662" s="442"/>
      <c r="Q662" s="442"/>
      <c r="R662" s="428"/>
    </row>
    <row r="663" spans="4:32" s="426" customFormat="1" ht="23.1" customHeight="1">
      <c r="D663" s="437"/>
      <c r="E663" s="437"/>
      <c r="F663" s="438"/>
      <c r="G663" s="439"/>
      <c r="H663" s="439"/>
      <c r="I663" s="439"/>
      <c r="J663" s="439"/>
      <c r="K663" s="439"/>
      <c r="L663" s="439"/>
      <c r="M663" s="439"/>
      <c r="N663" s="439">
        <f t="shared" si="14"/>
        <v>0</v>
      </c>
      <c r="O663" s="439"/>
      <c r="P663" s="439"/>
      <c r="Q663" s="439"/>
      <c r="R663" s="429"/>
    </row>
    <row r="664" spans="4:32" ht="23.1" customHeight="1">
      <c r="D664" s="440"/>
      <c r="E664" s="440"/>
      <c r="F664" s="441"/>
      <c r="G664" s="442"/>
      <c r="H664" s="442"/>
      <c r="I664" s="442"/>
      <c r="J664" s="442"/>
      <c r="K664" s="442"/>
      <c r="L664" s="442"/>
      <c r="M664" s="442"/>
      <c r="N664" s="442">
        <f t="shared" si="14"/>
        <v>0</v>
      </c>
      <c r="O664" s="442"/>
      <c r="P664" s="442"/>
      <c r="Q664" s="442"/>
      <c r="R664" s="428"/>
    </row>
    <row r="665" spans="4:32" s="426" customFormat="1" ht="23.1" customHeight="1">
      <c r="D665" s="437"/>
      <c r="E665" s="437"/>
      <c r="F665" s="438"/>
      <c r="G665" s="439"/>
      <c r="H665" s="439"/>
      <c r="I665" s="439"/>
      <c r="J665" s="439"/>
      <c r="K665" s="439"/>
      <c r="L665" s="439"/>
      <c r="M665" s="439"/>
      <c r="N665" s="439">
        <f t="shared" si="14"/>
        <v>0</v>
      </c>
      <c r="O665" s="439"/>
      <c r="P665" s="439"/>
      <c r="Q665" s="439"/>
      <c r="R665" s="429"/>
    </row>
    <row r="666" spans="4:32" ht="23.1" customHeight="1">
      <c r="D666" s="440"/>
      <c r="E666" s="440"/>
      <c r="F666" s="441"/>
      <c r="G666" s="442"/>
      <c r="H666" s="442"/>
      <c r="I666" s="442"/>
      <c r="J666" s="442"/>
      <c r="K666" s="442"/>
      <c r="L666" s="442"/>
      <c r="M666" s="442"/>
      <c r="N666" s="442">
        <f t="shared" si="14"/>
        <v>0</v>
      </c>
      <c r="O666" s="442"/>
      <c r="P666" s="442"/>
      <c r="Q666" s="442"/>
      <c r="R666" s="428"/>
    </row>
    <row r="667" spans="4:32" s="426" customFormat="1" ht="23.1" customHeight="1">
      <c r="D667" s="437"/>
      <c r="E667" s="437"/>
      <c r="F667" s="438"/>
      <c r="G667" s="439"/>
      <c r="H667" s="439"/>
      <c r="I667" s="439"/>
      <c r="J667" s="439"/>
      <c r="K667" s="439"/>
      <c r="L667" s="439"/>
      <c r="M667" s="439"/>
      <c r="N667" s="439">
        <f t="shared" si="14"/>
        <v>0</v>
      </c>
      <c r="O667" s="439"/>
      <c r="P667" s="439"/>
      <c r="Q667" s="439"/>
      <c r="R667" s="429"/>
    </row>
    <row r="668" spans="4:32" ht="23.1" customHeight="1">
      <c r="D668" s="440"/>
      <c r="E668" s="440"/>
      <c r="F668" s="441"/>
      <c r="G668" s="442"/>
      <c r="H668" s="442"/>
      <c r="I668" s="442"/>
      <c r="J668" s="442"/>
      <c r="K668" s="442"/>
      <c r="L668" s="442"/>
      <c r="M668" s="442"/>
      <c r="N668" s="442">
        <f t="shared" si="14"/>
        <v>0</v>
      </c>
      <c r="O668" s="442"/>
      <c r="P668" s="442"/>
      <c r="Q668" s="442"/>
      <c r="R668" s="428"/>
    </row>
    <row r="669" spans="4:32" s="426" customFormat="1" ht="23.1" customHeight="1">
      <c r="D669" s="437"/>
      <c r="E669" s="437"/>
      <c r="F669" s="438"/>
      <c r="G669" s="439"/>
      <c r="H669" s="439"/>
      <c r="I669" s="439"/>
      <c r="J669" s="439"/>
      <c r="K669" s="439"/>
      <c r="L669" s="439"/>
      <c r="M669" s="439"/>
      <c r="N669" s="439">
        <f t="shared" si="14"/>
        <v>0</v>
      </c>
      <c r="O669" s="439"/>
      <c r="P669" s="439"/>
      <c r="Q669" s="439"/>
      <c r="R669" s="429"/>
    </row>
    <row r="670" spans="4:32" ht="23.1" customHeight="1">
      <c r="D670" s="440"/>
      <c r="E670" s="440"/>
      <c r="F670" s="441"/>
      <c r="G670" s="442"/>
      <c r="H670" s="442"/>
      <c r="I670" s="442"/>
      <c r="J670" s="442"/>
      <c r="K670" s="442"/>
      <c r="L670" s="442"/>
      <c r="M670" s="442"/>
      <c r="N670" s="442">
        <f t="shared" si="14"/>
        <v>0</v>
      </c>
      <c r="O670" s="442"/>
      <c r="P670" s="442"/>
      <c r="Q670" s="442"/>
      <c r="R670" s="428"/>
    </row>
    <row r="671" spans="4:32" s="426" customFormat="1" ht="23.1" customHeight="1">
      <c r="D671" s="437"/>
      <c r="E671" s="437"/>
      <c r="F671" s="438"/>
      <c r="G671" s="439"/>
      <c r="H671" s="439"/>
      <c r="I671" s="439"/>
      <c r="J671" s="439"/>
      <c r="K671" s="439"/>
      <c r="L671" s="439"/>
      <c r="M671" s="439"/>
      <c r="N671" s="439">
        <f t="shared" si="14"/>
        <v>0</v>
      </c>
      <c r="O671" s="439"/>
      <c r="P671" s="439"/>
      <c r="Q671" s="439"/>
      <c r="R671" s="429"/>
    </row>
    <row r="672" spans="4:32" ht="23.1" customHeight="1">
      <c r="D672" s="440"/>
      <c r="E672" s="440"/>
      <c r="F672" s="441"/>
      <c r="G672" s="442"/>
      <c r="H672" s="442"/>
      <c r="I672" s="442"/>
      <c r="J672" s="442"/>
      <c r="K672" s="442"/>
      <c r="L672" s="442"/>
      <c r="M672" s="442"/>
      <c r="N672" s="442">
        <f t="shared" si="14"/>
        <v>0</v>
      </c>
      <c r="O672" s="442"/>
      <c r="P672" s="442"/>
      <c r="Q672" s="442"/>
      <c r="R672" s="428"/>
    </row>
    <row r="673" spans="1:32" s="426" customFormat="1" ht="23.1" customHeight="1">
      <c r="B673" s="426" t="s">
        <v>715</v>
      </c>
      <c r="D673" s="437" t="s">
        <v>216</v>
      </c>
      <c r="E673" s="437"/>
      <c r="F673" s="438"/>
      <c r="G673" s="439"/>
      <c r="H673" s="439"/>
      <c r="I673" s="439">
        <f>I651+I653+I655</f>
        <v>180667661</v>
      </c>
      <c r="J673" s="439"/>
      <c r="K673" s="439">
        <f ca="1">K625+K627+K629+K631+K633+K635+K637+K639+K641+K643+K645+K647+K649+K651+K653+K655+K657+K659+K661+K663+K665+K667+K669+K671</f>
        <v>0</v>
      </c>
      <c r="L673" s="439"/>
      <c r="M673" s="439">
        <f ca="1">M625+M627+M629+M631+M633+M635+M637+M639+M641+M643+M645+M647+M649+M651+M653+M655+M657+M659+M661+M663+M665+M667+M669+M671</f>
        <v>0</v>
      </c>
      <c r="N673" s="439">
        <f t="shared" si="14"/>
        <v>0</v>
      </c>
      <c r="O673" s="439">
        <f>O651+O653+O655</f>
        <v>180667661</v>
      </c>
      <c r="P673" s="439"/>
      <c r="Q673" s="683">
        <f ca="1">O674-O673</f>
        <v>-1635130</v>
      </c>
      <c r="R673" s="429"/>
    </row>
    <row r="674" spans="1:32" ht="23.1" customHeight="1">
      <c r="B674" s="422" t="s">
        <v>715</v>
      </c>
      <c r="D674" s="440" t="s">
        <v>216</v>
      </c>
      <c r="E674" s="440"/>
      <c r="F674" s="441"/>
      <c r="G674" s="442"/>
      <c r="H674" s="442"/>
      <c r="I674" s="442">
        <f ca="1">TRUNC([2]!sumcol(0,I624:I672))</f>
        <v>179032531</v>
      </c>
      <c r="J674" s="442"/>
      <c r="K674" s="442">
        <f ca="1">TRUNC([2]!sumcol(0,K624:K672))</f>
        <v>0</v>
      </c>
      <c r="L674" s="442"/>
      <c r="M674" s="442">
        <f ca="1">TRUNC([2]!sumcol(0,M624:M672))</f>
        <v>0</v>
      </c>
      <c r="N674" s="442">
        <f t="shared" si="14"/>
        <v>0</v>
      </c>
      <c r="O674" s="442">
        <f ca="1">TRUNC([2]!sumcol(0,O624:O672))</f>
        <v>179032531</v>
      </c>
      <c r="P674" s="442"/>
      <c r="Q674" s="684"/>
      <c r="R674" s="428"/>
    </row>
    <row r="675" spans="1:32" ht="23.1" customHeight="1">
      <c r="B675" s="422" t="s">
        <v>208</v>
      </c>
      <c r="D675" s="449" t="s">
        <v>1010</v>
      </c>
      <c r="E675" s="450"/>
      <c r="F675" s="451"/>
      <c r="G675" s="452"/>
      <c r="H675" s="452"/>
      <c r="I675" s="452"/>
      <c r="J675" s="452"/>
      <c r="K675" s="452"/>
      <c r="L675" s="452"/>
      <c r="M675" s="452"/>
      <c r="N675" s="452">
        <f t="shared" si="14"/>
        <v>0</v>
      </c>
      <c r="O675" s="452"/>
      <c r="P675" s="452"/>
      <c r="Q675" s="452"/>
      <c r="R675" s="421"/>
    </row>
    <row r="676" spans="1:32" s="426" customFormat="1" ht="23.1" customHeight="1">
      <c r="A676" s="426" t="s">
        <v>1011</v>
      </c>
      <c r="B676" s="426" t="s">
        <v>1012</v>
      </c>
      <c r="C676" s="426" t="s">
        <v>1011</v>
      </c>
      <c r="D676" s="437" t="s">
        <v>822</v>
      </c>
      <c r="E676" s="437" t="s">
        <v>823</v>
      </c>
      <c r="F676" s="438" t="s">
        <v>824</v>
      </c>
      <c r="G676" s="439">
        <v>1</v>
      </c>
      <c r="H676" s="439">
        <f>합산자재!L95</f>
        <v>799445.00727000006</v>
      </c>
      <c r="I676" s="439">
        <f t="shared" ref="I676:I683" si="16">TRUNC(G676*H676)</f>
        <v>799445</v>
      </c>
      <c r="J676" s="439">
        <v>0</v>
      </c>
      <c r="K676" s="439">
        <v>0</v>
      </c>
      <c r="L676" s="439">
        <v>0</v>
      </c>
      <c r="M676" s="439">
        <v>0</v>
      </c>
      <c r="N676" s="439">
        <f t="shared" si="14"/>
        <v>799445.00727000006</v>
      </c>
      <c r="O676" s="439">
        <f>G676*I676</f>
        <v>799445</v>
      </c>
      <c r="P676" s="683">
        <f>G677-G676</f>
        <v>-1</v>
      </c>
      <c r="Q676" s="683">
        <f>O677-O676</f>
        <v>-799445</v>
      </c>
      <c r="R676" s="429"/>
    </row>
    <row r="677" spans="1:32" ht="23.1" customHeight="1">
      <c r="A677" s="422" t="s">
        <v>1013</v>
      </c>
      <c r="B677" s="422" t="s">
        <v>239</v>
      </c>
      <c r="C677" s="422" t="s">
        <v>1013</v>
      </c>
      <c r="D677" s="440" t="s">
        <v>418</v>
      </c>
      <c r="E677" s="440" t="s">
        <v>419</v>
      </c>
      <c r="F677" s="441" t="s">
        <v>321</v>
      </c>
      <c r="G677" s="442"/>
      <c r="H677" s="442"/>
      <c r="I677" s="442">
        <f t="shared" si="16"/>
        <v>0</v>
      </c>
      <c r="J677" s="442">
        <f>합산자재!I95</f>
        <v>0</v>
      </c>
      <c r="K677" s="442">
        <f>TRUNC(G677*J677)</f>
        <v>0</v>
      </c>
      <c r="L677" s="442">
        <f>합산자재!J95</f>
        <v>0</v>
      </c>
      <c r="M677" s="442">
        <f>TRUNC(G677*L677)</f>
        <v>0</v>
      </c>
      <c r="N677" s="442">
        <f t="shared" si="14"/>
        <v>0</v>
      </c>
      <c r="O677" s="442">
        <f>SUM(0,I677,K677,M677)</f>
        <v>0</v>
      </c>
      <c r="P677" s="684"/>
      <c r="Q677" s="684"/>
      <c r="R677" s="428"/>
    </row>
    <row r="678" spans="1:32" s="426" customFormat="1" ht="23.1" customHeight="1">
      <c r="A678" s="426" t="s">
        <v>1014</v>
      </c>
      <c r="B678" s="426" t="s">
        <v>1012</v>
      </c>
      <c r="C678" s="426" t="s">
        <v>1014</v>
      </c>
      <c r="D678" s="437" t="s">
        <v>822</v>
      </c>
      <c r="E678" s="437" t="s">
        <v>827</v>
      </c>
      <c r="F678" s="438" t="s">
        <v>824</v>
      </c>
      <c r="G678" s="439">
        <v>1</v>
      </c>
      <c r="H678" s="439">
        <f>합산자재!L96</f>
        <v>14316076.725860002</v>
      </c>
      <c r="I678" s="439">
        <f t="shared" si="16"/>
        <v>14316076</v>
      </c>
      <c r="J678" s="439">
        <v>0</v>
      </c>
      <c r="K678" s="439">
        <v>0</v>
      </c>
      <c r="L678" s="439">
        <v>0</v>
      </c>
      <c r="M678" s="439">
        <v>0</v>
      </c>
      <c r="N678" s="439">
        <f t="shared" si="14"/>
        <v>14316076.725860002</v>
      </c>
      <c r="O678" s="439">
        <f>G678*I678</f>
        <v>14316076</v>
      </c>
      <c r="P678" s="683">
        <f t="shared" ref="P678" si="17">G679-G678</f>
        <v>-1</v>
      </c>
      <c r="Q678" s="683">
        <f t="shared" ref="Q678" si="18">O679-O678</f>
        <v>-14316076</v>
      </c>
      <c r="R678" s="429"/>
    </row>
    <row r="679" spans="1:32" ht="23.1" customHeight="1">
      <c r="A679" s="422" t="s">
        <v>1015</v>
      </c>
      <c r="B679" s="422" t="s">
        <v>239</v>
      </c>
      <c r="C679" s="422" t="s">
        <v>1015</v>
      </c>
      <c r="D679" s="440" t="s">
        <v>418</v>
      </c>
      <c r="E679" s="440" t="s">
        <v>420</v>
      </c>
      <c r="F679" s="441" t="s">
        <v>321</v>
      </c>
      <c r="G679" s="442"/>
      <c r="H679" s="442"/>
      <c r="I679" s="442">
        <f t="shared" si="16"/>
        <v>0</v>
      </c>
      <c r="J679" s="442">
        <f>합산자재!I96</f>
        <v>0</v>
      </c>
      <c r="K679" s="442">
        <f>TRUNC(G679*J679)</f>
        <v>0</v>
      </c>
      <c r="L679" s="442">
        <f>합산자재!J96</f>
        <v>0</v>
      </c>
      <c r="M679" s="442">
        <f>TRUNC(G679*L679)</f>
        <v>0</v>
      </c>
      <c r="N679" s="442">
        <f t="shared" si="14"/>
        <v>0</v>
      </c>
      <c r="O679" s="442">
        <f>SUM(0,I679,K679,M679)</f>
        <v>0</v>
      </c>
      <c r="P679" s="684"/>
      <c r="Q679" s="684"/>
      <c r="R679" s="428"/>
    </row>
    <row r="680" spans="1:32" s="426" customFormat="1" ht="23.1" customHeight="1">
      <c r="A680" s="426" t="s">
        <v>1016</v>
      </c>
      <c r="B680" s="426" t="s">
        <v>1012</v>
      </c>
      <c r="C680" s="426" t="s">
        <v>1016</v>
      </c>
      <c r="D680" s="437" t="s">
        <v>822</v>
      </c>
      <c r="E680" s="437" t="s">
        <v>830</v>
      </c>
      <c r="F680" s="438" t="s">
        <v>824</v>
      </c>
      <c r="G680" s="439">
        <v>1</v>
      </c>
      <c r="H680" s="439">
        <f>합산자재!L97</f>
        <v>6048835.4098900007</v>
      </c>
      <c r="I680" s="439">
        <f t="shared" si="16"/>
        <v>6048835</v>
      </c>
      <c r="J680" s="439">
        <v>0</v>
      </c>
      <c r="K680" s="439">
        <v>0</v>
      </c>
      <c r="L680" s="439">
        <v>0</v>
      </c>
      <c r="M680" s="439">
        <v>0</v>
      </c>
      <c r="N680" s="439">
        <f t="shared" si="14"/>
        <v>6048835.4098900007</v>
      </c>
      <c r="O680" s="439">
        <f>G680*I680</f>
        <v>6048835</v>
      </c>
      <c r="P680" s="683">
        <f t="shared" ref="P680" si="19">G681-G680</f>
        <v>-1</v>
      </c>
      <c r="Q680" s="683">
        <f t="shared" ref="Q680" si="20">O681-O680</f>
        <v>-6048835</v>
      </c>
      <c r="R680" s="429"/>
    </row>
    <row r="681" spans="1:32" ht="23.1" customHeight="1">
      <c r="A681" s="422" t="s">
        <v>1017</v>
      </c>
      <c r="B681" s="422" t="s">
        <v>239</v>
      </c>
      <c r="C681" s="422" t="s">
        <v>1017</v>
      </c>
      <c r="D681" s="440" t="s">
        <v>418</v>
      </c>
      <c r="E681" s="440" t="s">
        <v>421</v>
      </c>
      <c r="F681" s="441" t="s">
        <v>321</v>
      </c>
      <c r="G681" s="442"/>
      <c r="H681" s="442"/>
      <c r="I681" s="442">
        <f t="shared" si="16"/>
        <v>0</v>
      </c>
      <c r="J681" s="442">
        <f>합산자재!I97</f>
        <v>0</v>
      </c>
      <c r="K681" s="442">
        <f>TRUNC(G681*J681)</f>
        <v>0</v>
      </c>
      <c r="L681" s="442">
        <f>합산자재!J97</f>
        <v>0</v>
      </c>
      <c r="M681" s="442">
        <f>TRUNC(G681*L681)</f>
        <v>0</v>
      </c>
      <c r="N681" s="442">
        <f t="shared" si="14"/>
        <v>0</v>
      </c>
      <c r="O681" s="442">
        <f>SUM(0,I681,K681,M681)</f>
        <v>0</v>
      </c>
      <c r="P681" s="684"/>
      <c r="Q681" s="684"/>
      <c r="R681" s="428"/>
    </row>
    <row r="682" spans="1:32" s="426" customFormat="1" ht="23.1" customHeight="1">
      <c r="A682" s="426" t="s">
        <v>1018</v>
      </c>
      <c r="B682" s="426" t="s">
        <v>1012</v>
      </c>
      <c r="C682" s="426" t="s">
        <v>1018</v>
      </c>
      <c r="D682" s="437" t="s">
        <v>1019</v>
      </c>
      <c r="E682" s="437" t="s">
        <v>1020</v>
      </c>
      <c r="F682" s="438" t="s">
        <v>998</v>
      </c>
      <c r="G682" s="439">
        <v>1</v>
      </c>
      <c r="H682" s="439">
        <f>합산자재!H112</f>
        <v>469277.9</v>
      </c>
      <c r="I682" s="439">
        <f t="shared" si="16"/>
        <v>469277</v>
      </c>
      <c r="J682" s="439">
        <v>0</v>
      </c>
      <c r="K682" s="439">
        <v>0</v>
      </c>
      <c r="L682" s="439">
        <v>0</v>
      </c>
      <c r="M682" s="439">
        <v>0</v>
      </c>
      <c r="N682" s="439">
        <f t="shared" si="14"/>
        <v>469277.9</v>
      </c>
      <c r="O682" s="439">
        <f>G682*I682</f>
        <v>469277</v>
      </c>
      <c r="P682" s="683">
        <f t="shared" ref="P682" si="21">G683-G682</f>
        <v>-1</v>
      </c>
      <c r="Q682" s="683">
        <f t="shared" ref="Q682" si="22">O683-O682</f>
        <v>-469277</v>
      </c>
      <c r="R682" s="429"/>
    </row>
    <row r="683" spans="1:32" ht="23.1" customHeight="1">
      <c r="A683" s="422" t="s">
        <v>1021</v>
      </c>
      <c r="B683" s="422" t="s">
        <v>239</v>
      </c>
      <c r="C683" s="422" t="s">
        <v>1021</v>
      </c>
      <c r="D683" s="440" t="s">
        <v>550</v>
      </c>
      <c r="E683" s="440" t="s">
        <v>551</v>
      </c>
      <c r="F683" s="441" t="s">
        <v>212</v>
      </c>
      <c r="G683" s="442"/>
      <c r="H683" s="442"/>
      <c r="I683" s="442">
        <f t="shared" si="16"/>
        <v>0</v>
      </c>
      <c r="J683" s="442">
        <f>합산자재!I112</f>
        <v>0</v>
      </c>
      <c r="K683" s="442">
        <f>TRUNC(G683*J683)</f>
        <v>0</v>
      </c>
      <c r="L683" s="442">
        <f>합산자재!J112</f>
        <v>0</v>
      </c>
      <c r="M683" s="442">
        <f>TRUNC(G683*L683)</f>
        <v>0</v>
      </c>
      <c r="N683" s="442">
        <f t="shared" si="14"/>
        <v>0</v>
      </c>
      <c r="O683" s="442">
        <f>SUM(0,I683,K683,M683)</f>
        <v>0</v>
      </c>
      <c r="P683" s="684"/>
      <c r="Q683" s="684"/>
      <c r="R683" s="428"/>
    </row>
    <row r="684" spans="1:32" s="426" customFormat="1" ht="23.1" customHeight="1">
      <c r="D684" s="437"/>
      <c r="E684" s="437"/>
      <c r="F684" s="438"/>
      <c r="G684" s="439"/>
      <c r="H684" s="439"/>
      <c r="I684" s="439"/>
      <c r="J684" s="439"/>
      <c r="K684" s="439"/>
      <c r="L684" s="439"/>
      <c r="M684" s="439"/>
      <c r="N684" s="439">
        <f t="shared" si="14"/>
        <v>0</v>
      </c>
      <c r="O684" s="439"/>
      <c r="P684" s="439"/>
      <c r="Q684" s="439"/>
      <c r="R684" s="429"/>
      <c r="AF684" s="426">
        <v>0</v>
      </c>
    </row>
    <row r="685" spans="1:32" ht="23.1" customHeight="1">
      <c r="D685" s="440"/>
      <c r="E685" s="440"/>
      <c r="F685" s="441"/>
      <c r="G685" s="442"/>
      <c r="H685" s="442"/>
      <c r="I685" s="442"/>
      <c r="J685" s="442"/>
      <c r="K685" s="442"/>
      <c r="L685" s="442"/>
      <c r="M685" s="442"/>
      <c r="N685" s="442">
        <f t="shared" si="14"/>
        <v>0</v>
      </c>
      <c r="O685" s="442"/>
      <c r="P685" s="442"/>
      <c r="Q685" s="442"/>
      <c r="R685" s="428"/>
      <c r="AF685" s="422">
        <f ca="1">TRUNC([2]!sumcol(0,AF675:AF683))</f>
        <v>0</v>
      </c>
    </row>
    <row r="686" spans="1:32" s="426" customFormat="1" ht="23.1" customHeight="1">
      <c r="D686" s="437"/>
      <c r="E686" s="437"/>
      <c r="F686" s="438"/>
      <c r="G686" s="439"/>
      <c r="H686" s="439"/>
      <c r="I686" s="439"/>
      <c r="J686" s="439"/>
      <c r="K686" s="439"/>
      <c r="L686" s="439"/>
      <c r="M686" s="439"/>
      <c r="N686" s="439">
        <f t="shared" si="14"/>
        <v>0</v>
      </c>
      <c r="O686" s="439"/>
      <c r="P686" s="683">
        <f t="shared" ref="P686" si="23">G687-G686</f>
        <v>1</v>
      </c>
      <c r="Q686" s="683">
        <f t="shared" ref="Q686" si="24">O687-O686</f>
        <v>1697490</v>
      </c>
      <c r="R686" s="429"/>
    </row>
    <row r="687" spans="1:32" ht="23.1" customHeight="1">
      <c r="D687" s="440" t="s">
        <v>552</v>
      </c>
      <c r="E687" s="440" t="s">
        <v>553</v>
      </c>
      <c r="F687" s="441" t="s">
        <v>321</v>
      </c>
      <c r="G687" s="442">
        <v>1</v>
      </c>
      <c r="H687" s="442">
        <f>신규_단가대비표!O61</f>
        <v>1697490.6139100001</v>
      </c>
      <c r="I687" s="442">
        <f>TRUNC(G687*H687)</f>
        <v>1697490</v>
      </c>
      <c r="J687" s="442">
        <v>0</v>
      </c>
      <c r="K687" s="442">
        <v>0</v>
      </c>
      <c r="L687" s="442">
        <v>0</v>
      </c>
      <c r="M687" s="442">
        <v>0</v>
      </c>
      <c r="N687" s="442">
        <f>H687+J687+L687</f>
        <v>1697490.6139100001</v>
      </c>
      <c r="O687" s="442">
        <f>I687+K687+M687</f>
        <v>1697490</v>
      </c>
      <c r="P687" s="684"/>
      <c r="Q687" s="684"/>
      <c r="R687" s="428"/>
      <c r="T687" s="454"/>
    </row>
    <row r="688" spans="1:32" s="426" customFormat="1" ht="23.1" customHeight="1">
      <c r="D688" s="437"/>
      <c r="E688" s="437"/>
      <c r="F688" s="438"/>
      <c r="G688" s="439"/>
      <c r="H688" s="439"/>
      <c r="I688" s="439"/>
      <c r="J688" s="439"/>
      <c r="K688" s="439"/>
      <c r="L688" s="439"/>
      <c r="M688" s="439"/>
      <c r="N688" s="439"/>
      <c r="O688" s="439"/>
      <c r="P688" s="683">
        <f t="shared" ref="P688" si="25">G689-G688</f>
        <v>1</v>
      </c>
      <c r="Q688" s="683">
        <f t="shared" ref="Q688" si="26">O689-O688</f>
        <v>9205408</v>
      </c>
      <c r="R688" s="429"/>
    </row>
    <row r="689" spans="4:20" ht="23.1" customHeight="1">
      <c r="D689" s="440" t="s">
        <v>555</v>
      </c>
      <c r="E689" s="440" t="s">
        <v>553</v>
      </c>
      <c r="F689" s="441" t="s">
        <v>321</v>
      </c>
      <c r="G689" s="442">
        <v>1</v>
      </c>
      <c r="H689" s="442">
        <f>TRUNC(신규_단가대비표!O62,0)</f>
        <v>9205408</v>
      </c>
      <c r="I689" s="442">
        <f>TRUNC(G689*H689)</f>
        <v>9205408</v>
      </c>
      <c r="J689" s="442">
        <v>0</v>
      </c>
      <c r="K689" s="442">
        <v>0</v>
      </c>
      <c r="L689" s="442">
        <v>0</v>
      </c>
      <c r="M689" s="442">
        <v>0</v>
      </c>
      <c r="N689" s="442">
        <f t="shared" ref="N689:N690" si="27">H689+J689+L689</f>
        <v>9205408</v>
      </c>
      <c r="O689" s="442">
        <f>I689+K689+M689</f>
        <v>9205408</v>
      </c>
      <c r="P689" s="684"/>
      <c r="Q689" s="684"/>
      <c r="R689" s="428"/>
      <c r="T689" s="454"/>
    </row>
    <row r="690" spans="4:20" s="426" customFormat="1" ht="23.1" customHeight="1">
      <c r="D690" s="437"/>
      <c r="E690" s="437"/>
      <c r="F690" s="438"/>
      <c r="G690" s="439"/>
      <c r="H690" s="439"/>
      <c r="I690" s="439"/>
      <c r="J690" s="439"/>
      <c r="K690" s="439"/>
      <c r="L690" s="439"/>
      <c r="M690" s="439"/>
      <c r="N690" s="442">
        <f t="shared" si="27"/>
        <v>0</v>
      </c>
      <c r="O690" s="439"/>
      <c r="P690" s="683">
        <f t="shared" ref="P690" si="28">G691-G690</f>
        <v>1</v>
      </c>
      <c r="Q690" s="683">
        <f t="shared" ref="Q690" si="29">O691-O690</f>
        <v>3047380</v>
      </c>
      <c r="R690" s="429"/>
    </row>
    <row r="691" spans="4:20" ht="23.1" customHeight="1">
      <c r="D691" s="440" t="s">
        <v>556</v>
      </c>
      <c r="E691" s="440" t="s">
        <v>320</v>
      </c>
      <c r="F691" s="441" t="s">
        <v>321</v>
      </c>
      <c r="G691" s="442">
        <v>1</v>
      </c>
      <c r="H691" s="442">
        <f>신규_단가대비표!O76</f>
        <v>3047380.00385</v>
      </c>
      <c r="I691" s="442">
        <f>TRUNC(G691*H691)</f>
        <v>3047380</v>
      </c>
      <c r="J691" s="442">
        <v>0</v>
      </c>
      <c r="K691" s="442">
        <v>0</v>
      </c>
      <c r="L691" s="442">
        <v>0</v>
      </c>
      <c r="M691" s="442">
        <v>0</v>
      </c>
      <c r="N691" s="442">
        <f>H691+J691+L691</f>
        <v>3047380.00385</v>
      </c>
      <c r="O691" s="442">
        <f>I691+K691+M691</f>
        <v>3047380</v>
      </c>
      <c r="P691" s="684"/>
      <c r="Q691" s="684"/>
      <c r="R691" s="428"/>
      <c r="T691" s="454"/>
    </row>
    <row r="692" spans="4:20" s="426" customFormat="1" ht="23.1" customHeight="1">
      <c r="D692" s="437"/>
      <c r="E692" s="437"/>
      <c r="F692" s="438"/>
      <c r="G692" s="439"/>
      <c r="H692" s="439"/>
      <c r="I692" s="439"/>
      <c r="J692" s="439"/>
      <c r="K692" s="439"/>
      <c r="L692" s="439"/>
      <c r="M692" s="439"/>
      <c r="N692" s="439"/>
      <c r="O692" s="439"/>
      <c r="P692" s="683">
        <f t="shared" ref="P692" si="30">G693-G692</f>
        <v>1</v>
      </c>
      <c r="Q692" s="683">
        <f t="shared" ref="Q692" si="31">O693-O692</f>
        <v>274749</v>
      </c>
      <c r="R692" s="429"/>
    </row>
    <row r="693" spans="4:20" ht="23.1" customHeight="1">
      <c r="D693" s="440" t="s">
        <v>557</v>
      </c>
      <c r="E693" s="440" t="s">
        <v>558</v>
      </c>
      <c r="F693" s="441" t="s">
        <v>321</v>
      </c>
      <c r="G693" s="442">
        <v>1</v>
      </c>
      <c r="H693" s="442">
        <f>신규_단가대비표!O64</f>
        <v>274749.81443000003</v>
      </c>
      <c r="I693" s="442">
        <f>TRUNC(G693*H693)</f>
        <v>274749</v>
      </c>
      <c r="J693" s="442">
        <v>0</v>
      </c>
      <c r="K693" s="442">
        <v>0</v>
      </c>
      <c r="L693" s="442">
        <v>0</v>
      </c>
      <c r="M693" s="442">
        <v>0</v>
      </c>
      <c r="N693" s="442">
        <f>H693+J693+L693</f>
        <v>274749.81443000003</v>
      </c>
      <c r="O693" s="442">
        <f>I693+K693+M693</f>
        <v>274749</v>
      </c>
      <c r="P693" s="684"/>
      <c r="Q693" s="684"/>
      <c r="R693" s="428"/>
      <c r="T693" s="454"/>
    </row>
    <row r="694" spans="4:20" s="426" customFormat="1" ht="23.1" customHeight="1">
      <c r="D694" s="437"/>
      <c r="E694" s="437"/>
      <c r="F694" s="438"/>
      <c r="G694" s="439"/>
      <c r="H694" s="439"/>
      <c r="I694" s="439"/>
      <c r="J694" s="439"/>
      <c r="K694" s="439"/>
      <c r="L694" s="439"/>
      <c r="M694" s="439"/>
      <c r="N694" s="439"/>
      <c r="O694" s="439"/>
      <c r="P694" s="683">
        <f t="shared" ref="P694" si="32">G695-G694</f>
        <v>1</v>
      </c>
      <c r="Q694" s="683">
        <f t="shared" ref="Q694" si="33">O695-O694</f>
        <v>2648620</v>
      </c>
      <c r="R694" s="429"/>
    </row>
    <row r="695" spans="4:20" ht="23.1" customHeight="1">
      <c r="D695" s="440" t="s">
        <v>559</v>
      </c>
      <c r="E695" s="440" t="s">
        <v>558</v>
      </c>
      <c r="F695" s="441" t="s">
        <v>321</v>
      </c>
      <c r="G695" s="442">
        <v>1</v>
      </c>
      <c r="H695" s="442">
        <f>신규_단가대비표!O63</f>
        <v>2648620.4053400001</v>
      </c>
      <c r="I695" s="442">
        <f>TRUNC(G695*H695)</f>
        <v>2648620</v>
      </c>
      <c r="J695" s="442">
        <v>0</v>
      </c>
      <c r="K695" s="442">
        <v>0</v>
      </c>
      <c r="L695" s="442">
        <v>0</v>
      </c>
      <c r="M695" s="442">
        <v>0</v>
      </c>
      <c r="N695" s="442">
        <f>H695+J695+L695</f>
        <v>2648620.4053400001</v>
      </c>
      <c r="O695" s="442">
        <f>I695+K695+M695</f>
        <v>2648620</v>
      </c>
      <c r="P695" s="684"/>
      <c r="Q695" s="684"/>
      <c r="R695" s="428"/>
      <c r="T695" s="454"/>
    </row>
    <row r="696" spans="4:20" s="426" customFormat="1" ht="23.1" customHeight="1">
      <c r="D696" s="437"/>
      <c r="E696" s="437"/>
      <c r="F696" s="438"/>
      <c r="G696" s="439"/>
      <c r="H696" s="439"/>
      <c r="I696" s="439"/>
      <c r="J696" s="439"/>
      <c r="K696" s="439"/>
      <c r="L696" s="439"/>
      <c r="M696" s="439"/>
      <c r="N696" s="439"/>
      <c r="O696" s="439"/>
      <c r="P696" s="683">
        <f t="shared" ref="P696" si="34">G697-G696</f>
        <v>1</v>
      </c>
      <c r="Q696" s="683">
        <f t="shared" ref="Q696" si="35">O697-O696</f>
        <v>2352035</v>
      </c>
      <c r="R696" s="429"/>
    </row>
    <row r="697" spans="4:20" ht="23.1" customHeight="1">
      <c r="D697" s="440" t="s">
        <v>560</v>
      </c>
      <c r="E697" s="440" t="s">
        <v>558</v>
      </c>
      <c r="F697" s="441" t="s">
        <v>321</v>
      </c>
      <c r="G697" s="442">
        <v>1</v>
      </c>
      <c r="H697" s="442">
        <f>신규_단가대비표!O65</f>
        <v>2352035.88711</v>
      </c>
      <c r="I697" s="442">
        <f>TRUNC(G697*H697)</f>
        <v>2352035</v>
      </c>
      <c r="J697" s="442">
        <v>0</v>
      </c>
      <c r="K697" s="442">
        <v>0</v>
      </c>
      <c r="L697" s="442">
        <v>0</v>
      </c>
      <c r="M697" s="442">
        <v>0</v>
      </c>
      <c r="N697" s="442">
        <f>H697+J697+L697</f>
        <v>2352035.88711</v>
      </c>
      <c r="O697" s="442">
        <f>I697+K697+M697</f>
        <v>2352035</v>
      </c>
      <c r="P697" s="684"/>
      <c r="Q697" s="684"/>
      <c r="R697" s="428"/>
      <c r="T697" s="454"/>
    </row>
    <row r="698" spans="4:20" s="426" customFormat="1" ht="23.1" customHeight="1">
      <c r="D698" s="437"/>
      <c r="E698" s="437"/>
      <c r="F698" s="438"/>
      <c r="G698" s="439"/>
      <c r="H698" s="439"/>
      <c r="I698" s="439"/>
      <c r="J698" s="439"/>
      <c r="K698" s="439"/>
      <c r="L698" s="439"/>
      <c r="M698" s="439"/>
      <c r="N698" s="439"/>
      <c r="O698" s="439"/>
      <c r="P698" s="683">
        <f t="shared" ref="P698" si="36">G699-G698</f>
        <v>1</v>
      </c>
      <c r="Q698" s="683">
        <f t="shared" ref="Q698" si="37">O699-O698</f>
        <v>1175383</v>
      </c>
      <c r="R698" s="429"/>
    </row>
    <row r="699" spans="4:20" ht="23.1" customHeight="1">
      <c r="D699" s="440" t="s">
        <v>561</v>
      </c>
      <c r="E699" s="440" t="s">
        <v>558</v>
      </c>
      <c r="F699" s="441" t="s">
        <v>321</v>
      </c>
      <c r="G699" s="442">
        <v>1</v>
      </c>
      <c r="H699" s="442">
        <f>신규_단가대비표!O66</f>
        <v>1175383.53296</v>
      </c>
      <c r="I699" s="442">
        <f>TRUNC(G699*H699)</f>
        <v>1175383</v>
      </c>
      <c r="J699" s="442">
        <v>0</v>
      </c>
      <c r="K699" s="442">
        <v>0</v>
      </c>
      <c r="L699" s="442">
        <v>0</v>
      </c>
      <c r="M699" s="442">
        <v>0</v>
      </c>
      <c r="N699" s="442">
        <f>H699+J699+L699</f>
        <v>1175383.53296</v>
      </c>
      <c r="O699" s="442">
        <f>I699+K699+M699</f>
        <v>1175383</v>
      </c>
      <c r="P699" s="684"/>
      <c r="Q699" s="684"/>
      <c r="R699" s="428"/>
      <c r="T699" s="454"/>
    </row>
    <row r="700" spans="4:20" s="426" customFormat="1" ht="23.1" customHeight="1">
      <c r="D700" s="437"/>
      <c r="E700" s="437"/>
      <c r="F700" s="438"/>
      <c r="G700" s="439"/>
      <c r="H700" s="439"/>
      <c r="I700" s="439"/>
      <c r="J700" s="439"/>
      <c r="K700" s="439"/>
      <c r="L700" s="439"/>
      <c r="M700" s="439"/>
      <c r="N700" s="439"/>
      <c r="O700" s="439"/>
      <c r="P700" s="683">
        <f t="shared" ref="P700" si="38">G701-G700</f>
        <v>1</v>
      </c>
      <c r="Q700" s="683">
        <f t="shared" ref="Q700" si="39">O701-O700</f>
        <v>3237100</v>
      </c>
      <c r="R700" s="429"/>
    </row>
    <row r="701" spans="4:20" ht="23.1" customHeight="1">
      <c r="D701" s="440" t="s">
        <v>562</v>
      </c>
      <c r="E701" s="440" t="s">
        <v>563</v>
      </c>
      <c r="F701" s="441" t="s">
        <v>321</v>
      </c>
      <c r="G701" s="442">
        <v>1</v>
      </c>
      <c r="H701" s="442">
        <f>신규_단가대비표!O67</f>
        <v>3237100.2045200001</v>
      </c>
      <c r="I701" s="442">
        <f>TRUNC(G701*H701)</f>
        <v>3237100</v>
      </c>
      <c r="J701" s="442">
        <v>0</v>
      </c>
      <c r="K701" s="442">
        <v>0</v>
      </c>
      <c r="L701" s="442">
        <v>0</v>
      </c>
      <c r="M701" s="442">
        <v>0</v>
      </c>
      <c r="N701" s="442">
        <f>H701+J701+L701</f>
        <v>3237100.2045200001</v>
      </c>
      <c r="O701" s="442">
        <f>I701+K701+M701</f>
        <v>3237100</v>
      </c>
      <c r="P701" s="684"/>
      <c r="Q701" s="684"/>
      <c r="R701" s="428"/>
    </row>
    <row r="702" spans="4:20" s="426" customFormat="1" ht="23.1" customHeight="1">
      <c r="D702" s="437"/>
      <c r="E702" s="437"/>
      <c r="F702" s="438"/>
      <c r="G702" s="439"/>
      <c r="H702" s="439"/>
      <c r="I702" s="439"/>
      <c r="J702" s="439"/>
      <c r="K702" s="439"/>
      <c r="L702" s="439"/>
      <c r="M702" s="439"/>
      <c r="N702" s="439">
        <f t="shared" ref="N702:N765" si="40">H702+J702</f>
        <v>0</v>
      </c>
      <c r="O702" s="439"/>
      <c r="P702" s="439"/>
      <c r="Q702" s="439"/>
      <c r="R702" s="429"/>
    </row>
    <row r="703" spans="4:20" ht="23.1" customHeight="1">
      <c r="D703" s="440"/>
      <c r="E703" s="440"/>
      <c r="F703" s="441"/>
      <c r="G703" s="442"/>
      <c r="H703" s="442"/>
      <c r="I703" s="442"/>
      <c r="J703" s="442"/>
      <c r="K703" s="442"/>
      <c r="L703" s="442"/>
      <c r="M703" s="442"/>
      <c r="N703" s="442">
        <f t="shared" si="40"/>
        <v>0</v>
      </c>
      <c r="O703" s="442"/>
      <c r="P703" s="442"/>
      <c r="Q703" s="442"/>
      <c r="R703" s="428"/>
    </row>
    <row r="704" spans="4:20" s="426" customFormat="1" ht="23.1" hidden="1" customHeight="1">
      <c r="D704" s="437"/>
      <c r="E704" s="437"/>
      <c r="F704" s="438"/>
      <c r="G704" s="439"/>
      <c r="H704" s="439"/>
      <c r="I704" s="439"/>
      <c r="J704" s="439"/>
      <c r="K704" s="439"/>
      <c r="L704" s="439"/>
      <c r="M704" s="439"/>
      <c r="N704" s="439">
        <f t="shared" si="40"/>
        <v>0</v>
      </c>
      <c r="O704" s="439"/>
      <c r="P704" s="439"/>
      <c r="Q704" s="439"/>
      <c r="R704" s="429"/>
    </row>
    <row r="705" spans="4:18" ht="23.1" hidden="1" customHeight="1">
      <c r="D705" s="440"/>
      <c r="E705" s="440"/>
      <c r="F705" s="441"/>
      <c r="G705" s="442"/>
      <c r="H705" s="442"/>
      <c r="I705" s="442"/>
      <c r="J705" s="442"/>
      <c r="K705" s="442"/>
      <c r="L705" s="442"/>
      <c r="M705" s="442"/>
      <c r="N705" s="442">
        <f t="shared" si="40"/>
        <v>0</v>
      </c>
      <c r="O705" s="442"/>
      <c r="P705" s="442"/>
      <c r="Q705" s="442"/>
      <c r="R705" s="428"/>
    </row>
    <row r="706" spans="4:18" s="426" customFormat="1" ht="23.1" hidden="1" customHeight="1">
      <c r="D706" s="437"/>
      <c r="E706" s="437"/>
      <c r="F706" s="438"/>
      <c r="G706" s="439"/>
      <c r="H706" s="439"/>
      <c r="I706" s="439"/>
      <c r="J706" s="439"/>
      <c r="K706" s="439"/>
      <c r="L706" s="439"/>
      <c r="M706" s="439"/>
      <c r="N706" s="439">
        <f t="shared" si="40"/>
        <v>0</v>
      </c>
      <c r="O706" s="439"/>
      <c r="P706" s="439"/>
      <c r="Q706" s="439"/>
      <c r="R706" s="429"/>
    </row>
    <row r="707" spans="4:18" ht="23.1" hidden="1" customHeight="1">
      <c r="D707" s="440"/>
      <c r="E707" s="440"/>
      <c r="F707" s="441"/>
      <c r="G707" s="442"/>
      <c r="H707" s="442"/>
      <c r="I707" s="442"/>
      <c r="J707" s="442"/>
      <c r="K707" s="442"/>
      <c r="L707" s="442"/>
      <c r="M707" s="442"/>
      <c r="N707" s="442">
        <f t="shared" si="40"/>
        <v>0</v>
      </c>
      <c r="O707" s="442"/>
      <c r="P707" s="442"/>
      <c r="Q707" s="442"/>
      <c r="R707" s="428"/>
    </row>
    <row r="708" spans="4:18" s="426" customFormat="1" ht="23.1" customHeight="1">
      <c r="D708" s="437"/>
      <c r="E708" s="437"/>
      <c r="F708" s="438"/>
      <c r="G708" s="439"/>
      <c r="H708" s="439"/>
      <c r="I708" s="439"/>
      <c r="J708" s="439"/>
      <c r="K708" s="439"/>
      <c r="L708" s="439"/>
      <c r="M708" s="439"/>
      <c r="N708" s="439">
        <f t="shared" si="40"/>
        <v>0</v>
      </c>
      <c r="O708" s="439"/>
      <c r="P708" s="439"/>
      <c r="Q708" s="439"/>
      <c r="R708" s="429"/>
    </row>
    <row r="709" spans="4:18" ht="23.1" customHeight="1">
      <c r="D709" s="440"/>
      <c r="E709" s="440"/>
      <c r="F709" s="441"/>
      <c r="G709" s="442"/>
      <c r="H709" s="442"/>
      <c r="I709" s="442"/>
      <c r="J709" s="442"/>
      <c r="K709" s="442"/>
      <c r="L709" s="442"/>
      <c r="M709" s="442"/>
      <c r="N709" s="442">
        <f t="shared" si="40"/>
        <v>0</v>
      </c>
      <c r="O709" s="442"/>
      <c r="P709" s="442"/>
      <c r="Q709" s="442"/>
      <c r="R709" s="428"/>
    </row>
    <row r="710" spans="4:18" s="426" customFormat="1" ht="23.1" customHeight="1">
      <c r="D710" s="437"/>
      <c r="E710" s="437"/>
      <c r="F710" s="438"/>
      <c r="G710" s="439"/>
      <c r="H710" s="439"/>
      <c r="I710" s="439"/>
      <c r="J710" s="439"/>
      <c r="K710" s="439"/>
      <c r="L710" s="439"/>
      <c r="M710" s="439"/>
      <c r="N710" s="439">
        <f t="shared" si="40"/>
        <v>0</v>
      </c>
      <c r="O710" s="439"/>
      <c r="P710" s="439"/>
      <c r="Q710" s="439"/>
      <c r="R710" s="429"/>
    </row>
    <row r="711" spans="4:18" ht="23.1" customHeight="1">
      <c r="D711" s="440"/>
      <c r="E711" s="440"/>
      <c r="F711" s="441"/>
      <c r="G711" s="442"/>
      <c r="H711" s="442"/>
      <c r="I711" s="442"/>
      <c r="J711" s="442"/>
      <c r="K711" s="442"/>
      <c r="L711" s="442"/>
      <c r="M711" s="442"/>
      <c r="N711" s="442">
        <f t="shared" si="40"/>
        <v>0</v>
      </c>
      <c r="O711" s="442"/>
      <c r="P711" s="442"/>
      <c r="Q711" s="442"/>
      <c r="R711" s="428"/>
    </row>
    <row r="712" spans="4:18" s="426" customFormat="1" ht="23.1" customHeight="1">
      <c r="D712" s="437"/>
      <c r="E712" s="437"/>
      <c r="F712" s="438"/>
      <c r="G712" s="439"/>
      <c r="H712" s="439"/>
      <c r="I712" s="439"/>
      <c r="J712" s="439"/>
      <c r="K712" s="439"/>
      <c r="L712" s="439"/>
      <c r="M712" s="439"/>
      <c r="N712" s="439">
        <f t="shared" si="40"/>
        <v>0</v>
      </c>
      <c r="O712" s="439"/>
      <c r="P712" s="439"/>
      <c r="Q712" s="439"/>
      <c r="R712" s="429"/>
    </row>
    <row r="713" spans="4:18" ht="23.1" customHeight="1">
      <c r="D713" s="440"/>
      <c r="E713" s="440"/>
      <c r="F713" s="441"/>
      <c r="G713" s="442"/>
      <c r="H713" s="442"/>
      <c r="I713" s="442"/>
      <c r="J713" s="442"/>
      <c r="K713" s="442"/>
      <c r="L713" s="442"/>
      <c r="M713" s="442"/>
      <c r="N713" s="442">
        <f t="shared" si="40"/>
        <v>0</v>
      </c>
      <c r="O713" s="442"/>
      <c r="P713" s="442"/>
      <c r="Q713" s="442"/>
      <c r="R713" s="428"/>
    </row>
    <row r="714" spans="4:18" s="426" customFormat="1" ht="23.1" customHeight="1">
      <c r="D714" s="437"/>
      <c r="E714" s="437"/>
      <c r="F714" s="438"/>
      <c r="G714" s="439"/>
      <c r="H714" s="439"/>
      <c r="I714" s="439"/>
      <c r="J714" s="439"/>
      <c r="K714" s="439"/>
      <c r="L714" s="439"/>
      <c r="M714" s="439"/>
      <c r="N714" s="439">
        <f t="shared" si="40"/>
        <v>0</v>
      </c>
      <c r="O714" s="439"/>
      <c r="P714" s="439"/>
      <c r="Q714" s="439"/>
      <c r="R714" s="429"/>
    </row>
    <row r="715" spans="4:18" ht="23.1" customHeight="1">
      <c r="D715" s="440"/>
      <c r="E715" s="440"/>
      <c r="F715" s="441"/>
      <c r="G715" s="442"/>
      <c r="H715" s="442"/>
      <c r="I715" s="442"/>
      <c r="J715" s="442"/>
      <c r="K715" s="442"/>
      <c r="L715" s="442"/>
      <c r="M715" s="442"/>
      <c r="N715" s="442">
        <f t="shared" si="40"/>
        <v>0</v>
      </c>
      <c r="O715" s="442"/>
      <c r="P715" s="442"/>
      <c r="Q715" s="442"/>
      <c r="R715" s="428"/>
    </row>
    <row r="716" spans="4:18" s="426" customFormat="1" ht="23.1" customHeight="1">
      <c r="D716" s="437"/>
      <c r="E716" s="437"/>
      <c r="F716" s="438"/>
      <c r="G716" s="439"/>
      <c r="H716" s="439"/>
      <c r="I716" s="439"/>
      <c r="J716" s="439"/>
      <c r="K716" s="439"/>
      <c r="L716" s="439"/>
      <c r="M716" s="439"/>
      <c r="N716" s="439">
        <f t="shared" si="40"/>
        <v>0</v>
      </c>
      <c r="O716" s="439"/>
      <c r="P716" s="439"/>
      <c r="Q716" s="439"/>
      <c r="R716" s="429"/>
    </row>
    <row r="717" spans="4:18" ht="23.1" customHeight="1">
      <c r="D717" s="440"/>
      <c r="E717" s="440"/>
      <c r="F717" s="441"/>
      <c r="G717" s="442"/>
      <c r="H717" s="442"/>
      <c r="I717" s="442"/>
      <c r="J717" s="442"/>
      <c r="K717" s="442"/>
      <c r="L717" s="442"/>
      <c r="M717" s="442"/>
      <c r="N717" s="442">
        <f t="shared" si="40"/>
        <v>0</v>
      </c>
      <c r="O717" s="442"/>
      <c r="P717" s="442"/>
      <c r="Q717" s="442"/>
      <c r="R717" s="428"/>
    </row>
    <row r="718" spans="4:18" s="426" customFormat="1" ht="23.1" customHeight="1">
      <c r="D718" s="437"/>
      <c r="E718" s="437"/>
      <c r="F718" s="438"/>
      <c r="G718" s="439"/>
      <c r="H718" s="439"/>
      <c r="I718" s="439"/>
      <c r="J718" s="439"/>
      <c r="K718" s="439"/>
      <c r="L718" s="439"/>
      <c r="M718" s="439"/>
      <c r="N718" s="439">
        <f t="shared" si="40"/>
        <v>0</v>
      </c>
      <c r="O718" s="439"/>
      <c r="P718" s="439"/>
      <c r="Q718" s="439"/>
      <c r="R718" s="429"/>
    </row>
    <row r="719" spans="4:18" ht="23.1" customHeight="1">
      <c r="D719" s="440"/>
      <c r="E719" s="440"/>
      <c r="F719" s="441"/>
      <c r="G719" s="442"/>
      <c r="H719" s="442"/>
      <c r="I719" s="442"/>
      <c r="J719" s="442"/>
      <c r="K719" s="442"/>
      <c r="L719" s="442"/>
      <c r="M719" s="442"/>
      <c r="N719" s="442">
        <f t="shared" si="40"/>
        <v>0</v>
      </c>
      <c r="O719" s="442"/>
      <c r="P719" s="442"/>
      <c r="Q719" s="442"/>
      <c r="R719" s="428"/>
    </row>
    <row r="720" spans="4:18" s="426" customFormat="1" ht="23.1" customHeight="1">
      <c r="D720" s="437"/>
      <c r="E720" s="437"/>
      <c r="F720" s="438"/>
      <c r="G720" s="439"/>
      <c r="H720" s="439"/>
      <c r="I720" s="439"/>
      <c r="J720" s="439"/>
      <c r="K720" s="439"/>
      <c r="L720" s="439"/>
      <c r="M720" s="439"/>
      <c r="N720" s="439">
        <f t="shared" si="40"/>
        <v>0</v>
      </c>
      <c r="O720" s="439"/>
      <c r="P720" s="439"/>
      <c r="Q720" s="439"/>
      <c r="R720" s="429"/>
    </row>
    <row r="721" spans="1:18" ht="23.1" customHeight="1">
      <c r="D721" s="440"/>
      <c r="E721" s="440"/>
      <c r="F721" s="441"/>
      <c r="G721" s="442"/>
      <c r="H721" s="442"/>
      <c r="I721" s="442"/>
      <c r="J721" s="442"/>
      <c r="K721" s="442"/>
      <c r="L721" s="442"/>
      <c r="M721" s="442"/>
      <c r="N721" s="442">
        <f t="shared" si="40"/>
        <v>0</v>
      </c>
      <c r="O721" s="442"/>
      <c r="P721" s="442"/>
      <c r="Q721" s="442"/>
      <c r="R721" s="428"/>
    </row>
    <row r="722" spans="1:18" s="426" customFormat="1" ht="23.1" customHeight="1">
      <c r="D722" s="437"/>
      <c r="E722" s="437"/>
      <c r="F722" s="438"/>
      <c r="G722" s="439"/>
      <c r="H722" s="439"/>
      <c r="I722" s="439"/>
      <c r="J722" s="439"/>
      <c r="K722" s="439"/>
      <c r="L722" s="439"/>
      <c r="M722" s="439"/>
      <c r="N722" s="439">
        <f t="shared" si="40"/>
        <v>0</v>
      </c>
      <c r="O722" s="439"/>
      <c r="P722" s="439"/>
      <c r="Q722" s="439"/>
      <c r="R722" s="429"/>
    </row>
    <row r="723" spans="1:18" ht="23.1" customHeight="1">
      <c r="D723" s="440"/>
      <c r="E723" s="440"/>
      <c r="F723" s="441"/>
      <c r="G723" s="442"/>
      <c r="H723" s="442"/>
      <c r="I723" s="442"/>
      <c r="J723" s="442"/>
      <c r="K723" s="442"/>
      <c r="L723" s="442"/>
      <c r="M723" s="442"/>
      <c r="N723" s="442">
        <f t="shared" si="40"/>
        <v>0</v>
      </c>
      <c r="O723" s="442"/>
      <c r="P723" s="442"/>
      <c r="Q723" s="442"/>
      <c r="R723" s="428"/>
    </row>
    <row r="724" spans="1:18" s="426" customFormat="1" ht="23.1" customHeight="1">
      <c r="B724" s="426" t="s">
        <v>715</v>
      </c>
      <c r="D724" s="437" t="s">
        <v>216</v>
      </c>
      <c r="E724" s="437"/>
      <c r="F724" s="438"/>
      <c r="G724" s="439"/>
      <c r="H724" s="439"/>
      <c r="I724" s="439">
        <f>I676+I678+I680+I682+I684+I686+I688+I690+I692+I694+I696+I698+I700+I702+I704+I706+I708+I710+I712+I714+I716+I718+I720+I722</f>
        <v>21633633</v>
      </c>
      <c r="J724" s="439"/>
      <c r="K724" s="439">
        <v>0</v>
      </c>
      <c r="L724" s="439"/>
      <c r="M724" s="439">
        <v>0</v>
      </c>
      <c r="N724" s="439">
        <f t="shared" si="40"/>
        <v>0</v>
      </c>
      <c r="O724" s="439">
        <f>O676+O678+O680+O682+O684+O686+O688+O690+O692+O694+O696+O698+O700+O702+O704+O706+O708+O710+O712+O714+O716+O718+O720+O722</f>
        <v>21633633</v>
      </c>
      <c r="P724" s="439"/>
      <c r="Q724" s="439"/>
      <c r="R724" s="429"/>
    </row>
    <row r="725" spans="1:18" ht="23.1" customHeight="1">
      <c r="B725" s="422" t="s">
        <v>715</v>
      </c>
      <c r="D725" s="440" t="s">
        <v>216</v>
      </c>
      <c r="E725" s="440"/>
      <c r="F725" s="441"/>
      <c r="G725" s="442"/>
      <c r="H725" s="442"/>
      <c r="I725" s="442">
        <f ca="1">TRUNC([2]!sumcol(0,I675:I723))</f>
        <v>23638165</v>
      </c>
      <c r="J725" s="442"/>
      <c r="K725" s="442">
        <f ca="1">TRUNC([2]!sumcol(0,K675:K723))</f>
        <v>0</v>
      </c>
      <c r="L725" s="442"/>
      <c r="M725" s="442">
        <f ca="1">TRUNC([2]!sumcol(0,M675:M723))</f>
        <v>0</v>
      </c>
      <c r="N725" s="442">
        <f t="shared" si="40"/>
        <v>0</v>
      </c>
      <c r="O725" s="442">
        <f ca="1">TRUNC([2]!sumcol(0,O675:O723))</f>
        <v>23638165</v>
      </c>
      <c r="P725" s="442"/>
      <c r="Q725" s="442"/>
      <c r="R725" s="428"/>
    </row>
    <row r="726" spans="1:18" ht="23.1" customHeight="1">
      <c r="B726" s="422" t="s">
        <v>208</v>
      </c>
      <c r="D726" s="449" t="s">
        <v>565</v>
      </c>
      <c r="E726" s="450"/>
      <c r="F726" s="451"/>
      <c r="G726" s="452"/>
      <c r="H726" s="452"/>
      <c r="I726" s="452"/>
      <c r="J726" s="452"/>
      <c r="K726" s="452"/>
      <c r="L726" s="452"/>
      <c r="M726" s="452"/>
      <c r="N726" s="452">
        <f t="shared" si="40"/>
        <v>0</v>
      </c>
      <c r="O726" s="452"/>
      <c r="P726" s="452"/>
      <c r="Q726" s="452"/>
      <c r="R726" s="421"/>
    </row>
    <row r="727" spans="1:18" s="426" customFormat="1" ht="23.1" customHeight="1">
      <c r="A727" s="426" t="s">
        <v>1022</v>
      </c>
      <c r="B727" s="426" t="s">
        <v>1023</v>
      </c>
      <c r="C727" s="426" t="s">
        <v>1022</v>
      </c>
      <c r="D727" s="437" t="s">
        <v>909</v>
      </c>
      <c r="E727" s="437" t="s">
        <v>910</v>
      </c>
      <c r="F727" s="438" t="s">
        <v>684</v>
      </c>
      <c r="G727" s="439">
        <v>6</v>
      </c>
      <c r="H727" s="439">
        <f>합산자재!L87</f>
        <v>79688.700000000012</v>
      </c>
      <c r="I727" s="439">
        <f t="shared" ref="I727:I745" si="41">TRUNC(G727*H727)</f>
        <v>478132</v>
      </c>
      <c r="J727" s="439">
        <v>0</v>
      </c>
      <c r="K727" s="439">
        <v>0</v>
      </c>
      <c r="L727" s="439">
        <v>0</v>
      </c>
      <c r="M727" s="439">
        <v>0</v>
      </c>
      <c r="N727" s="439">
        <f t="shared" si="40"/>
        <v>79688.700000000012</v>
      </c>
      <c r="O727" s="439">
        <f t="shared" ref="O727" si="42">SUM(0,I727,K727,M727)</f>
        <v>478132</v>
      </c>
      <c r="P727" s="683">
        <f t="shared" ref="P727" si="43">G728-G727</f>
        <v>7</v>
      </c>
      <c r="Q727" s="683">
        <f t="shared" ref="Q727" si="44">O728-O727</f>
        <v>661409</v>
      </c>
      <c r="R727" s="429"/>
    </row>
    <row r="728" spans="1:18" ht="23.1" customHeight="1">
      <c r="A728" s="422" t="s">
        <v>1024</v>
      </c>
      <c r="B728" s="422" t="s">
        <v>241</v>
      </c>
      <c r="C728" s="422" t="s">
        <v>1024</v>
      </c>
      <c r="D728" s="440" t="s">
        <v>465</v>
      </c>
      <c r="E728" s="440" t="s">
        <v>466</v>
      </c>
      <c r="F728" s="441" t="s">
        <v>294</v>
      </c>
      <c r="G728" s="442">
        <v>13</v>
      </c>
      <c r="H728" s="442">
        <f>TRUNC(신규_단가대비표!O40,0)</f>
        <v>87657</v>
      </c>
      <c r="I728" s="442">
        <f t="shared" si="41"/>
        <v>1139541</v>
      </c>
      <c r="J728" s="442">
        <f>합산자재!I87</f>
        <v>0</v>
      </c>
      <c r="K728" s="442">
        <f t="shared" ref="K728:K745" si="45">TRUNC(G728*J728)</f>
        <v>0</v>
      </c>
      <c r="L728" s="442">
        <f>합산자재!J87</f>
        <v>0</v>
      </c>
      <c r="M728" s="442">
        <f t="shared" ref="M728:M745" si="46">TRUNC(G728*L728)</f>
        <v>0</v>
      </c>
      <c r="N728" s="442">
        <f t="shared" si="40"/>
        <v>87657</v>
      </c>
      <c r="O728" s="442">
        <f>SUM(0,I728,K728,M728)</f>
        <v>1139541</v>
      </c>
      <c r="P728" s="684"/>
      <c r="Q728" s="684"/>
      <c r="R728" s="428"/>
    </row>
    <row r="729" spans="1:18" s="426" customFormat="1" ht="23.1" customHeight="1">
      <c r="A729" s="426" t="s">
        <v>1025</v>
      </c>
      <c r="B729" s="426" t="s">
        <v>1023</v>
      </c>
      <c r="C729" s="426" t="s">
        <v>1025</v>
      </c>
      <c r="D729" s="437" t="s">
        <v>913</v>
      </c>
      <c r="E729" s="437" t="s">
        <v>914</v>
      </c>
      <c r="F729" s="438" t="s">
        <v>684</v>
      </c>
      <c r="G729" s="439">
        <v>4</v>
      </c>
      <c r="H729" s="439">
        <f>합산자재!L88</f>
        <v>79688.700000000012</v>
      </c>
      <c r="I729" s="439">
        <f t="shared" si="41"/>
        <v>318754</v>
      </c>
      <c r="J729" s="439">
        <v>0</v>
      </c>
      <c r="K729" s="439">
        <v>0</v>
      </c>
      <c r="L729" s="439">
        <v>0</v>
      </c>
      <c r="M729" s="439">
        <v>0</v>
      </c>
      <c r="N729" s="439">
        <f t="shared" si="40"/>
        <v>79688.700000000012</v>
      </c>
      <c r="O729" s="439">
        <f t="shared" ref="O729:O745" si="47">SUM(0,I729,K729,M729)</f>
        <v>318754</v>
      </c>
      <c r="P729" s="683">
        <f t="shared" ref="P729" si="48">G730-G729</f>
        <v>0</v>
      </c>
      <c r="Q729" s="683">
        <f t="shared" ref="Q729" si="49">O730-O729</f>
        <v>187710</v>
      </c>
      <c r="R729" s="429"/>
    </row>
    <row r="730" spans="1:18" ht="23.1" customHeight="1">
      <c r="A730" s="422" t="s">
        <v>1026</v>
      </c>
      <c r="B730" s="422" t="s">
        <v>241</v>
      </c>
      <c r="C730" s="422" t="s">
        <v>1026</v>
      </c>
      <c r="D730" s="440" t="s">
        <v>467</v>
      </c>
      <c r="E730" s="440" t="s">
        <v>468</v>
      </c>
      <c r="F730" s="441" t="s">
        <v>294</v>
      </c>
      <c r="G730" s="442">
        <v>4</v>
      </c>
      <c r="H730" s="442">
        <f>TRUNC(신규_단가대비표!O41,0)</f>
        <v>126616</v>
      </c>
      <c r="I730" s="442">
        <f t="shared" si="41"/>
        <v>506464</v>
      </c>
      <c r="J730" s="442">
        <f>합산자재!I88</f>
        <v>0</v>
      </c>
      <c r="K730" s="442">
        <f t="shared" si="45"/>
        <v>0</v>
      </c>
      <c r="L730" s="442">
        <f>합산자재!J88</f>
        <v>0</v>
      </c>
      <c r="M730" s="442">
        <f t="shared" si="46"/>
        <v>0</v>
      </c>
      <c r="N730" s="442">
        <f t="shared" si="40"/>
        <v>126616</v>
      </c>
      <c r="O730" s="442">
        <f t="shared" si="47"/>
        <v>506464</v>
      </c>
      <c r="P730" s="684"/>
      <c r="Q730" s="684"/>
      <c r="R730" s="428"/>
    </row>
    <row r="731" spans="1:18" s="426" customFormat="1" ht="23.1" customHeight="1">
      <c r="A731" s="426" t="s">
        <v>1027</v>
      </c>
      <c r="B731" s="426" t="s">
        <v>1023</v>
      </c>
      <c r="C731" s="426" t="s">
        <v>1027</v>
      </c>
      <c r="D731" s="437" t="s">
        <v>917</v>
      </c>
      <c r="E731" s="437" t="s">
        <v>918</v>
      </c>
      <c r="F731" s="438" t="s">
        <v>684</v>
      </c>
      <c r="G731" s="439">
        <v>24</v>
      </c>
      <c r="H731" s="439">
        <f>합산자재!L89</f>
        <v>354172</v>
      </c>
      <c r="I731" s="439">
        <f t="shared" si="41"/>
        <v>8500128</v>
      </c>
      <c r="J731" s="439">
        <v>0</v>
      </c>
      <c r="K731" s="439">
        <v>0</v>
      </c>
      <c r="L731" s="439">
        <v>0</v>
      </c>
      <c r="M731" s="439">
        <v>0</v>
      </c>
      <c r="N731" s="439">
        <f t="shared" si="40"/>
        <v>354172</v>
      </c>
      <c r="O731" s="439">
        <f t="shared" si="47"/>
        <v>8500128</v>
      </c>
      <c r="P731" s="683">
        <f t="shared" ref="P731" si="50">G732-G731</f>
        <v>13</v>
      </c>
      <c r="Q731" s="683">
        <f t="shared" ref="Q731" si="51">O732-O731</f>
        <v>4473182</v>
      </c>
      <c r="R731" s="429"/>
    </row>
    <row r="732" spans="1:18" ht="23.1" customHeight="1">
      <c r="A732" s="422" t="s">
        <v>1028</v>
      </c>
      <c r="B732" s="422" t="s">
        <v>241</v>
      </c>
      <c r="C732" s="422" t="s">
        <v>1028</v>
      </c>
      <c r="D732" s="440" t="s">
        <v>469</v>
      </c>
      <c r="E732" s="440" t="s">
        <v>470</v>
      </c>
      <c r="F732" s="441" t="s">
        <v>294</v>
      </c>
      <c r="G732" s="442">
        <v>37</v>
      </c>
      <c r="H732" s="442">
        <f>TRUNC(신규_단가대비표!O42,0)</f>
        <v>350630</v>
      </c>
      <c r="I732" s="442">
        <f t="shared" si="41"/>
        <v>12973310</v>
      </c>
      <c r="J732" s="442">
        <f>합산자재!I89</f>
        <v>0</v>
      </c>
      <c r="K732" s="442">
        <f t="shared" si="45"/>
        <v>0</v>
      </c>
      <c r="L732" s="442">
        <f>합산자재!J89</f>
        <v>0</v>
      </c>
      <c r="M732" s="442">
        <f t="shared" si="46"/>
        <v>0</v>
      </c>
      <c r="N732" s="442">
        <f t="shared" si="40"/>
        <v>350630</v>
      </c>
      <c r="O732" s="442">
        <f t="shared" si="47"/>
        <v>12973310</v>
      </c>
      <c r="P732" s="684"/>
      <c r="Q732" s="684"/>
      <c r="R732" s="428"/>
    </row>
    <row r="733" spans="1:18" s="426" customFormat="1" ht="23.1" customHeight="1">
      <c r="A733" s="426" t="s">
        <v>1029</v>
      </c>
      <c r="B733" s="426" t="s">
        <v>1023</v>
      </c>
      <c r="C733" s="426" t="s">
        <v>1029</v>
      </c>
      <c r="D733" s="437" t="s">
        <v>921</v>
      </c>
      <c r="E733" s="437" t="s">
        <v>922</v>
      </c>
      <c r="F733" s="438" t="s">
        <v>684</v>
      </c>
      <c r="G733" s="439">
        <v>18</v>
      </c>
      <c r="H733" s="439">
        <f>합산자재!L90</f>
        <v>84115.85</v>
      </c>
      <c r="I733" s="439">
        <f t="shared" si="41"/>
        <v>1514085</v>
      </c>
      <c r="J733" s="439">
        <v>0</v>
      </c>
      <c r="K733" s="439">
        <v>0</v>
      </c>
      <c r="L733" s="439">
        <v>0</v>
      </c>
      <c r="M733" s="439">
        <v>0</v>
      </c>
      <c r="N733" s="439">
        <f t="shared" si="40"/>
        <v>84115.85</v>
      </c>
      <c r="O733" s="439">
        <f t="shared" si="47"/>
        <v>1514085</v>
      </c>
      <c r="P733" s="683">
        <f t="shared" ref="P733" si="52">G734-G733</f>
        <v>-15</v>
      </c>
      <c r="Q733" s="683">
        <f t="shared" ref="Q733" si="53">O734-O733</f>
        <v>-1275021</v>
      </c>
      <c r="R733" s="429"/>
    </row>
    <row r="734" spans="1:18" ht="23.1" customHeight="1">
      <c r="A734" s="422" t="s">
        <v>1030</v>
      </c>
      <c r="B734" s="422" t="s">
        <v>241</v>
      </c>
      <c r="C734" s="422" t="s">
        <v>1030</v>
      </c>
      <c r="D734" s="440" t="s">
        <v>471</v>
      </c>
      <c r="E734" s="440" t="s">
        <v>472</v>
      </c>
      <c r="F734" s="441" t="s">
        <v>294</v>
      </c>
      <c r="G734" s="442">
        <v>3</v>
      </c>
      <c r="H734" s="442">
        <f>TRUNC(신규_단가대비표!O43,0)</f>
        <v>79688</v>
      </c>
      <c r="I734" s="442">
        <f t="shared" si="41"/>
        <v>239064</v>
      </c>
      <c r="J734" s="442">
        <f>합산자재!I90</f>
        <v>0</v>
      </c>
      <c r="K734" s="442">
        <f t="shared" si="45"/>
        <v>0</v>
      </c>
      <c r="L734" s="442">
        <f>합산자재!J90</f>
        <v>0</v>
      </c>
      <c r="M734" s="442">
        <f t="shared" si="46"/>
        <v>0</v>
      </c>
      <c r="N734" s="442">
        <f t="shared" si="40"/>
        <v>79688</v>
      </c>
      <c r="O734" s="442">
        <f t="shared" si="47"/>
        <v>239064</v>
      </c>
      <c r="P734" s="684"/>
      <c r="Q734" s="684"/>
      <c r="R734" s="428"/>
    </row>
    <row r="735" spans="1:18" s="426" customFormat="1" ht="23.1" customHeight="1">
      <c r="A735" s="426" t="s">
        <v>1031</v>
      </c>
      <c r="B735" s="426" t="s">
        <v>1023</v>
      </c>
      <c r="C735" s="426" t="s">
        <v>1031</v>
      </c>
      <c r="D735" s="437" t="s">
        <v>925</v>
      </c>
      <c r="E735" s="437" t="s">
        <v>926</v>
      </c>
      <c r="F735" s="438" t="s">
        <v>684</v>
      </c>
      <c r="G735" s="439">
        <v>16</v>
      </c>
      <c r="H735" s="439">
        <f>합산자재!L91</f>
        <v>32760.910000000003</v>
      </c>
      <c r="I735" s="439">
        <f t="shared" si="41"/>
        <v>524174</v>
      </c>
      <c r="J735" s="439">
        <v>0</v>
      </c>
      <c r="K735" s="439">
        <v>0</v>
      </c>
      <c r="L735" s="439">
        <v>0</v>
      </c>
      <c r="M735" s="439">
        <v>0</v>
      </c>
      <c r="N735" s="439">
        <f t="shared" si="40"/>
        <v>32760.910000000003</v>
      </c>
      <c r="O735" s="439">
        <f t="shared" si="47"/>
        <v>524174</v>
      </c>
      <c r="P735" s="683">
        <f t="shared" ref="P735" si="54">G736-G735</f>
        <v>-14</v>
      </c>
      <c r="Q735" s="683">
        <f t="shared" ref="Q735" si="55">O736-O735</f>
        <v>-398444</v>
      </c>
      <c r="R735" s="429"/>
    </row>
    <row r="736" spans="1:18" ht="23.1" customHeight="1">
      <c r="A736" s="422" t="s">
        <v>1032</v>
      </c>
      <c r="B736" s="422" t="s">
        <v>241</v>
      </c>
      <c r="C736" s="422" t="s">
        <v>1032</v>
      </c>
      <c r="D736" s="440" t="s">
        <v>473</v>
      </c>
      <c r="E736" s="440" t="s">
        <v>474</v>
      </c>
      <c r="F736" s="441" t="s">
        <v>294</v>
      </c>
      <c r="G736" s="442">
        <v>2</v>
      </c>
      <c r="H736" s="442">
        <f>TRUNC(신규_단가대비표!O44,0)</f>
        <v>62865</v>
      </c>
      <c r="I736" s="442">
        <f t="shared" si="41"/>
        <v>125730</v>
      </c>
      <c r="J736" s="442">
        <f>합산자재!I91</f>
        <v>0</v>
      </c>
      <c r="K736" s="442">
        <f t="shared" si="45"/>
        <v>0</v>
      </c>
      <c r="L736" s="442">
        <f>합산자재!J91</f>
        <v>0</v>
      </c>
      <c r="M736" s="442">
        <f t="shared" si="46"/>
        <v>0</v>
      </c>
      <c r="N736" s="442">
        <f t="shared" si="40"/>
        <v>62865</v>
      </c>
      <c r="O736" s="442">
        <f t="shared" si="47"/>
        <v>125730</v>
      </c>
      <c r="P736" s="684"/>
      <c r="Q736" s="684"/>
      <c r="R736" s="428"/>
    </row>
    <row r="737" spans="1:32" s="426" customFormat="1" ht="23.1" customHeight="1">
      <c r="A737" s="426" t="s">
        <v>1033</v>
      </c>
      <c r="B737" s="426" t="s">
        <v>1023</v>
      </c>
      <c r="C737" s="426" t="s">
        <v>1033</v>
      </c>
      <c r="D737" s="437" t="s">
        <v>929</v>
      </c>
      <c r="E737" s="437" t="s">
        <v>930</v>
      </c>
      <c r="F737" s="438" t="s">
        <v>684</v>
      </c>
      <c r="G737" s="439">
        <v>6</v>
      </c>
      <c r="H737" s="439">
        <f>합산자재!L92</f>
        <v>30990.050000000003</v>
      </c>
      <c r="I737" s="439">
        <f t="shared" si="41"/>
        <v>185940</v>
      </c>
      <c r="J737" s="439">
        <v>0</v>
      </c>
      <c r="K737" s="439">
        <v>0</v>
      </c>
      <c r="L737" s="439">
        <v>0</v>
      </c>
      <c r="M737" s="439">
        <v>0</v>
      </c>
      <c r="N737" s="439">
        <f t="shared" si="40"/>
        <v>30990.050000000003</v>
      </c>
      <c r="O737" s="439">
        <f t="shared" si="47"/>
        <v>185940</v>
      </c>
      <c r="P737" s="683">
        <f t="shared" ref="P737" si="56">G738-G737</f>
        <v>11</v>
      </c>
      <c r="Q737" s="683">
        <f t="shared" ref="Q737" si="57">O738-O737</f>
        <v>1755800</v>
      </c>
      <c r="R737" s="429"/>
    </row>
    <row r="738" spans="1:32" ht="23.1" customHeight="1">
      <c r="A738" s="422" t="s">
        <v>1034</v>
      </c>
      <c r="B738" s="422" t="s">
        <v>241</v>
      </c>
      <c r="C738" s="422" t="s">
        <v>1034</v>
      </c>
      <c r="D738" s="440" t="s">
        <v>475</v>
      </c>
      <c r="E738" s="440" t="s">
        <v>476</v>
      </c>
      <c r="F738" s="441" t="s">
        <v>294</v>
      </c>
      <c r="G738" s="442">
        <v>17</v>
      </c>
      <c r="H738" s="442">
        <f>TRUNC(신규_단가대비표!O49,0)</f>
        <v>114220</v>
      </c>
      <c r="I738" s="442">
        <f t="shared" si="41"/>
        <v>1941740</v>
      </c>
      <c r="J738" s="442">
        <f>합산자재!I92</f>
        <v>0</v>
      </c>
      <c r="K738" s="442">
        <f t="shared" si="45"/>
        <v>0</v>
      </c>
      <c r="L738" s="442">
        <f>합산자재!J92</f>
        <v>0</v>
      </c>
      <c r="M738" s="442">
        <f t="shared" si="46"/>
        <v>0</v>
      </c>
      <c r="N738" s="442">
        <f t="shared" si="40"/>
        <v>114220</v>
      </c>
      <c r="O738" s="442">
        <f t="shared" si="47"/>
        <v>1941740</v>
      </c>
      <c r="P738" s="684"/>
      <c r="Q738" s="684"/>
      <c r="R738" s="428"/>
    </row>
    <row r="739" spans="1:32" s="426" customFormat="1" ht="23.1" customHeight="1">
      <c r="A739" s="426" t="s">
        <v>1035</v>
      </c>
      <c r="B739" s="426" t="s">
        <v>1023</v>
      </c>
      <c r="C739" s="426" t="s">
        <v>1035</v>
      </c>
      <c r="D739" s="437" t="s">
        <v>682</v>
      </c>
      <c r="E739" s="437" t="s">
        <v>683</v>
      </c>
      <c r="F739" s="438" t="s">
        <v>684</v>
      </c>
      <c r="G739" s="439">
        <v>30</v>
      </c>
      <c r="H739" s="439">
        <f>합산자재!L93</f>
        <v>1770860</v>
      </c>
      <c r="I739" s="439">
        <f t="shared" si="41"/>
        <v>53125800</v>
      </c>
      <c r="J739" s="439">
        <v>0</v>
      </c>
      <c r="K739" s="439">
        <v>0</v>
      </c>
      <c r="L739" s="439">
        <v>0</v>
      </c>
      <c r="M739" s="439">
        <v>0</v>
      </c>
      <c r="N739" s="439">
        <f t="shared" si="40"/>
        <v>1770860</v>
      </c>
      <c r="O739" s="439">
        <f t="shared" si="47"/>
        <v>53125800</v>
      </c>
      <c r="P739" s="683">
        <f t="shared" ref="P739" si="58">G740-G739</f>
        <v>-30</v>
      </c>
      <c r="Q739" s="683">
        <f t="shared" ref="Q739" si="59">O740-O739</f>
        <v>-53125800</v>
      </c>
      <c r="R739" s="429"/>
    </row>
    <row r="740" spans="1:32" ht="23.1" customHeight="1">
      <c r="A740" s="422" t="s">
        <v>1036</v>
      </c>
      <c r="B740" s="422" t="s">
        <v>241</v>
      </c>
      <c r="C740" s="422" t="s">
        <v>1036</v>
      </c>
      <c r="D740" s="440" t="s">
        <v>292</v>
      </c>
      <c r="E740" s="440" t="s">
        <v>293</v>
      </c>
      <c r="F740" s="441" t="s">
        <v>294</v>
      </c>
      <c r="G740" s="442"/>
      <c r="H740" s="442"/>
      <c r="I740" s="442">
        <f t="shared" si="41"/>
        <v>0</v>
      </c>
      <c r="J740" s="442">
        <f>합산자재!I93</f>
        <v>0</v>
      </c>
      <c r="K740" s="442">
        <f t="shared" si="45"/>
        <v>0</v>
      </c>
      <c r="L740" s="442">
        <f>합산자재!J93</f>
        <v>0</v>
      </c>
      <c r="M740" s="442">
        <f t="shared" si="46"/>
        <v>0</v>
      </c>
      <c r="N740" s="442">
        <f t="shared" si="40"/>
        <v>0</v>
      </c>
      <c r="O740" s="442">
        <f t="shared" si="47"/>
        <v>0</v>
      </c>
      <c r="P740" s="684"/>
      <c r="Q740" s="684"/>
      <c r="R740" s="428"/>
    </row>
    <row r="741" spans="1:32" s="426" customFormat="1" ht="23.1" customHeight="1">
      <c r="A741" s="426" t="s">
        <v>1037</v>
      </c>
      <c r="B741" s="426" t="s">
        <v>1023</v>
      </c>
      <c r="C741" s="426" t="s">
        <v>1037</v>
      </c>
      <c r="D741" s="437" t="s">
        <v>687</v>
      </c>
      <c r="E741" s="437" t="s">
        <v>688</v>
      </c>
      <c r="F741" s="438" t="s">
        <v>684</v>
      </c>
      <c r="G741" s="439">
        <v>30</v>
      </c>
      <c r="H741" s="439">
        <f>합산자재!L94</f>
        <v>398443.5</v>
      </c>
      <c r="I741" s="439">
        <f t="shared" si="41"/>
        <v>11953305</v>
      </c>
      <c r="J741" s="439">
        <v>0</v>
      </c>
      <c r="K741" s="439">
        <v>0</v>
      </c>
      <c r="L741" s="439">
        <v>0</v>
      </c>
      <c r="M741" s="439">
        <v>0</v>
      </c>
      <c r="N741" s="439">
        <f t="shared" si="40"/>
        <v>398443.5</v>
      </c>
      <c r="O741" s="439">
        <f t="shared" si="47"/>
        <v>11953305</v>
      </c>
      <c r="P741" s="683">
        <f t="shared" ref="P741" si="60">G742-G741</f>
        <v>-30</v>
      </c>
      <c r="Q741" s="683">
        <f t="shared" ref="Q741" si="61">O742-O741</f>
        <v>-11953305</v>
      </c>
      <c r="R741" s="429"/>
    </row>
    <row r="742" spans="1:32" ht="23.1" customHeight="1">
      <c r="A742" s="422" t="s">
        <v>1038</v>
      </c>
      <c r="B742" s="422" t="s">
        <v>241</v>
      </c>
      <c r="C742" s="422" t="s">
        <v>1038</v>
      </c>
      <c r="D742" s="440" t="s">
        <v>295</v>
      </c>
      <c r="E742" s="440" t="s">
        <v>296</v>
      </c>
      <c r="F742" s="441" t="s">
        <v>294</v>
      </c>
      <c r="G742" s="442"/>
      <c r="H742" s="442"/>
      <c r="I742" s="442">
        <f t="shared" si="41"/>
        <v>0</v>
      </c>
      <c r="J742" s="442">
        <f>합산자재!I94</f>
        <v>0</v>
      </c>
      <c r="K742" s="442">
        <f t="shared" si="45"/>
        <v>0</v>
      </c>
      <c r="L742" s="442">
        <f>합산자재!J94</f>
        <v>0</v>
      </c>
      <c r="M742" s="442">
        <f t="shared" si="46"/>
        <v>0</v>
      </c>
      <c r="N742" s="442">
        <f t="shared" si="40"/>
        <v>0</v>
      </c>
      <c r="O742" s="442">
        <f t="shared" si="47"/>
        <v>0</v>
      </c>
      <c r="P742" s="684"/>
      <c r="Q742" s="684"/>
      <c r="R742" s="428"/>
    </row>
    <row r="743" spans="1:32" s="426" customFormat="1" ht="23.1" customHeight="1">
      <c r="A743" s="426" t="s">
        <v>1039</v>
      </c>
      <c r="B743" s="426" t="s">
        <v>1023</v>
      </c>
      <c r="C743" s="426" t="s">
        <v>1039</v>
      </c>
      <c r="D743" s="437" t="s">
        <v>1040</v>
      </c>
      <c r="E743" s="437" t="s">
        <v>1005</v>
      </c>
      <c r="F743" s="438" t="s">
        <v>998</v>
      </c>
      <c r="G743" s="439">
        <v>1</v>
      </c>
      <c r="H743" s="439">
        <f>합산자재!L113</f>
        <v>819623.07154000003</v>
      </c>
      <c r="I743" s="439">
        <f t="shared" si="41"/>
        <v>819623</v>
      </c>
      <c r="J743" s="439">
        <v>0</v>
      </c>
      <c r="K743" s="439">
        <v>0</v>
      </c>
      <c r="L743" s="439">
        <v>0</v>
      </c>
      <c r="M743" s="439">
        <v>0</v>
      </c>
      <c r="N743" s="439">
        <f t="shared" si="40"/>
        <v>819623.07154000003</v>
      </c>
      <c r="O743" s="439">
        <f t="shared" si="47"/>
        <v>819623</v>
      </c>
      <c r="P743" s="683">
        <f t="shared" ref="P743" si="62">G744-G743</f>
        <v>-1</v>
      </c>
      <c r="Q743" s="683">
        <f t="shared" ref="Q743" si="63">O744-O743</f>
        <v>-819623</v>
      </c>
      <c r="R743" s="429"/>
    </row>
    <row r="744" spans="1:32" ht="23.1" customHeight="1">
      <c r="A744" s="422" t="s">
        <v>1041</v>
      </c>
      <c r="B744" s="422" t="s">
        <v>241</v>
      </c>
      <c r="C744" s="422" t="s">
        <v>1041</v>
      </c>
      <c r="D744" s="440" t="s">
        <v>566</v>
      </c>
      <c r="E744" s="440" t="s">
        <v>548</v>
      </c>
      <c r="F744" s="441" t="s">
        <v>212</v>
      </c>
      <c r="G744" s="442"/>
      <c r="H744" s="442"/>
      <c r="I744" s="442">
        <f t="shared" si="41"/>
        <v>0</v>
      </c>
      <c r="J744" s="442">
        <f>합산자재!I113</f>
        <v>0</v>
      </c>
      <c r="K744" s="442">
        <f t="shared" si="45"/>
        <v>0</v>
      </c>
      <c r="L744" s="442">
        <f>합산자재!J113</f>
        <v>0</v>
      </c>
      <c r="M744" s="442">
        <f t="shared" si="46"/>
        <v>0</v>
      </c>
      <c r="N744" s="442">
        <f t="shared" si="40"/>
        <v>0</v>
      </c>
      <c r="O744" s="442">
        <f t="shared" si="47"/>
        <v>0</v>
      </c>
      <c r="P744" s="684"/>
      <c r="Q744" s="684"/>
      <c r="R744" s="428"/>
    </row>
    <row r="745" spans="1:32" s="426" customFormat="1" ht="23.1" customHeight="1">
      <c r="D745" s="437"/>
      <c r="E745" s="437"/>
      <c r="F745" s="438"/>
      <c r="G745" s="439"/>
      <c r="H745" s="439"/>
      <c r="I745" s="439">
        <f t="shared" si="41"/>
        <v>0</v>
      </c>
      <c r="J745" s="439"/>
      <c r="K745" s="439">
        <f t="shared" si="45"/>
        <v>0</v>
      </c>
      <c r="L745" s="439"/>
      <c r="M745" s="439">
        <f t="shared" si="46"/>
        <v>0</v>
      </c>
      <c r="N745" s="439">
        <f t="shared" si="40"/>
        <v>0</v>
      </c>
      <c r="O745" s="439">
        <f t="shared" si="47"/>
        <v>0</v>
      </c>
      <c r="P745" s="683">
        <f t="shared" ref="P745" si="64">G746-G745</f>
        <v>14</v>
      </c>
      <c r="Q745" s="683">
        <f t="shared" ref="Q745" si="65">O746-O745</f>
        <v>247912</v>
      </c>
      <c r="R745" s="429"/>
      <c r="AF745" s="426">
        <v>0</v>
      </c>
    </row>
    <row r="746" spans="1:32" ht="23.1" customHeight="1">
      <c r="D746" s="440" t="s">
        <v>1042</v>
      </c>
      <c r="E746" s="440" t="s">
        <v>1043</v>
      </c>
      <c r="F746" s="441" t="s">
        <v>265</v>
      </c>
      <c r="G746" s="442">
        <v>14</v>
      </c>
      <c r="H746" s="442">
        <f>TRUNC(신규_단가대비표!O50,0)</f>
        <v>17708</v>
      </c>
      <c r="I746" s="442">
        <f t="shared" ref="I746:I764" si="66">TRUNC(H746*G746, 0)</f>
        <v>247912</v>
      </c>
      <c r="J746" s="442">
        <f>TRUNC([3]신규_단가대비표!S536,0)</f>
        <v>0</v>
      </c>
      <c r="K746" s="442">
        <f t="shared" ref="K746:K764" si="67">TRUNC(J746*G746, 0)</f>
        <v>0</v>
      </c>
      <c r="L746" s="442">
        <f>TRUNC([3]신규_단가대비표!Y536,0)</f>
        <v>0</v>
      </c>
      <c r="M746" s="442">
        <f t="shared" ref="M746:M764" si="68">TRUNC(L746*G746, 0)</f>
        <v>0</v>
      </c>
      <c r="N746" s="442">
        <f t="shared" ref="N746:O764" si="69">TRUNC(H746+J746+L746, 0)</f>
        <v>17708</v>
      </c>
      <c r="O746" s="442">
        <f t="shared" si="69"/>
        <v>247912</v>
      </c>
      <c r="P746" s="684"/>
      <c r="Q746" s="684"/>
      <c r="R746" s="428"/>
      <c r="AF746" s="422">
        <f ca="1">TRUNC([2]!sumcol(0,AF726:AF744))</f>
        <v>0</v>
      </c>
    </row>
    <row r="747" spans="1:32" s="426" customFormat="1" ht="23.1" customHeight="1">
      <c r="D747" s="437"/>
      <c r="E747" s="437"/>
      <c r="F747" s="438"/>
      <c r="G747" s="439"/>
      <c r="H747" s="439"/>
      <c r="I747" s="439"/>
      <c r="J747" s="439"/>
      <c r="K747" s="439"/>
      <c r="L747" s="439"/>
      <c r="M747" s="439"/>
      <c r="N747" s="439"/>
      <c r="O747" s="439"/>
      <c r="P747" s="683">
        <f t="shared" ref="P747" si="70">G748-G747</f>
        <v>26</v>
      </c>
      <c r="Q747" s="683">
        <f t="shared" ref="Q747" si="71">O748-O747</f>
        <v>1174056</v>
      </c>
      <c r="R747" s="429"/>
    </row>
    <row r="748" spans="1:32" ht="23.1" customHeight="1">
      <c r="D748" s="440" t="s">
        <v>1044</v>
      </c>
      <c r="E748" s="440" t="s">
        <v>1045</v>
      </c>
      <c r="F748" s="441" t="s">
        <v>265</v>
      </c>
      <c r="G748" s="442">
        <v>26</v>
      </c>
      <c r="H748" s="442">
        <f>TRUNC(신규_단가대비표!O51,0)</f>
        <v>45156</v>
      </c>
      <c r="I748" s="442">
        <f t="shared" si="66"/>
        <v>1174056</v>
      </c>
      <c r="J748" s="442">
        <f>TRUNC([3]신규_단가대비표!S537,0)</f>
        <v>0</v>
      </c>
      <c r="K748" s="442">
        <f t="shared" si="67"/>
        <v>0</v>
      </c>
      <c r="L748" s="442">
        <f>TRUNC([3]신규_단가대비표!Y537,0)</f>
        <v>0</v>
      </c>
      <c r="M748" s="442">
        <f t="shared" si="68"/>
        <v>0</v>
      </c>
      <c r="N748" s="442">
        <f t="shared" si="69"/>
        <v>45156</v>
      </c>
      <c r="O748" s="442">
        <f t="shared" si="69"/>
        <v>1174056</v>
      </c>
      <c r="P748" s="684"/>
      <c r="Q748" s="684"/>
      <c r="R748" s="428"/>
    </row>
    <row r="749" spans="1:32" s="426" customFormat="1" ht="23.1" customHeight="1">
      <c r="D749" s="437"/>
      <c r="E749" s="437"/>
      <c r="F749" s="438"/>
      <c r="G749" s="439"/>
      <c r="H749" s="439"/>
      <c r="I749" s="439"/>
      <c r="J749" s="439"/>
      <c r="K749" s="439"/>
      <c r="L749" s="439"/>
      <c r="M749" s="439"/>
      <c r="N749" s="439"/>
      <c r="O749" s="439"/>
      <c r="P749" s="683">
        <f t="shared" ref="P749" si="72">G750-G749</f>
        <v>4</v>
      </c>
      <c r="Q749" s="683">
        <f t="shared" ref="Q749" si="73">O750-O749</f>
        <v>141668</v>
      </c>
      <c r="R749" s="429"/>
    </row>
    <row r="750" spans="1:32" ht="23.1" customHeight="1">
      <c r="D750" s="440" t="s">
        <v>1046</v>
      </c>
      <c r="E750" s="440" t="s">
        <v>1047</v>
      </c>
      <c r="F750" s="441" t="s">
        <v>265</v>
      </c>
      <c r="G750" s="442">
        <v>4</v>
      </c>
      <c r="H750" s="442">
        <f>TRUNC(신규_단가대비표!O52,0)</f>
        <v>35417</v>
      </c>
      <c r="I750" s="442">
        <f t="shared" si="66"/>
        <v>141668</v>
      </c>
      <c r="J750" s="442">
        <f>TRUNC([3]신규_단가대비표!S538,0)</f>
        <v>0</v>
      </c>
      <c r="K750" s="442">
        <f t="shared" si="67"/>
        <v>0</v>
      </c>
      <c r="L750" s="442">
        <f>TRUNC([3]신규_단가대비표!Y538,0)</f>
        <v>0</v>
      </c>
      <c r="M750" s="442">
        <f t="shared" si="68"/>
        <v>0</v>
      </c>
      <c r="N750" s="442">
        <f t="shared" si="69"/>
        <v>35417</v>
      </c>
      <c r="O750" s="442">
        <f t="shared" si="69"/>
        <v>141668</v>
      </c>
      <c r="P750" s="684"/>
      <c r="Q750" s="684"/>
      <c r="R750" s="428"/>
    </row>
    <row r="751" spans="1:32" s="426" customFormat="1" ht="23.1" customHeight="1">
      <c r="D751" s="437"/>
      <c r="E751" s="437"/>
      <c r="F751" s="438"/>
      <c r="G751" s="439"/>
      <c r="H751" s="439"/>
      <c r="I751" s="439"/>
      <c r="J751" s="439"/>
      <c r="K751" s="439"/>
      <c r="L751" s="439"/>
      <c r="M751" s="439"/>
      <c r="N751" s="439"/>
      <c r="O751" s="439"/>
      <c r="P751" s="683">
        <f t="shared" ref="P751" si="74">G752-G751</f>
        <v>15</v>
      </c>
      <c r="Q751" s="683">
        <f t="shared" ref="Q751" si="75">O752-O751</f>
        <v>3851610</v>
      </c>
      <c r="R751" s="429"/>
    </row>
    <row r="752" spans="1:32" ht="23.1" customHeight="1">
      <c r="D752" s="440" t="s">
        <v>327</v>
      </c>
      <c r="E752" s="440" t="s">
        <v>1048</v>
      </c>
      <c r="F752" s="441" t="s">
        <v>265</v>
      </c>
      <c r="G752" s="442">
        <v>15</v>
      </c>
      <c r="H752" s="442">
        <f>TRUNC(신규_단가대비표!O46,0)</f>
        <v>256774</v>
      </c>
      <c r="I752" s="442">
        <f t="shared" si="66"/>
        <v>3851610</v>
      </c>
      <c r="J752" s="442">
        <f>TRUNC([3]신규_단가대비표!S532,0)</f>
        <v>0</v>
      </c>
      <c r="K752" s="442">
        <f t="shared" si="67"/>
        <v>0</v>
      </c>
      <c r="L752" s="442">
        <f>TRUNC([3]신규_단가대비표!Y532,0)</f>
        <v>0</v>
      </c>
      <c r="M752" s="442">
        <f t="shared" si="68"/>
        <v>0</v>
      </c>
      <c r="N752" s="442">
        <f t="shared" si="69"/>
        <v>256774</v>
      </c>
      <c r="O752" s="442">
        <f t="shared" si="69"/>
        <v>3851610</v>
      </c>
      <c r="P752" s="684"/>
      <c r="Q752" s="684"/>
      <c r="R752" s="428"/>
    </row>
    <row r="753" spans="4:18" s="426" customFormat="1" ht="23.1" customHeight="1">
      <c r="D753" s="437"/>
      <c r="E753" s="437"/>
      <c r="F753" s="438"/>
      <c r="G753" s="439"/>
      <c r="H753" s="439"/>
      <c r="I753" s="439"/>
      <c r="J753" s="439"/>
      <c r="K753" s="439"/>
      <c r="L753" s="439"/>
      <c r="M753" s="439"/>
      <c r="N753" s="439"/>
      <c r="O753" s="439"/>
      <c r="P753" s="683">
        <f t="shared" ref="P753" si="76">G754-G753</f>
        <v>15</v>
      </c>
      <c r="Q753" s="683">
        <f t="shared" ref="Q753" si="77">O754-O753</f>
        <v>11687670</v>
      </c>
      <c r="R753" s="429"/>
    </row>
    <row r="754" spans="4:18" ht="23.1" customHeight="1">
      <c r="D754" s="440" t="s">
        <v>1049</v>
      </c>
      <c r="E754" s="440" t="s">
        <v>1050</v>
      </c>
      <c r="F754" s="441" t="s">
        <v>265</v>
      </c>
      <c r="G754" s="442">
        <v>15</v>
      </c>
      <c r="H754" s="442">
        <f>TRUNC(신규_단가대비표!O47,0)</f>
        <v>779178</v>
      </c>
      <c r="I754" s="442">
        <f t="shared" si="66"/>
        <v>11687670</v>
      </c>
      <c r="J754" s="442">
        <f>TRUNC([3]신규_단가대비표!S533,0)</f>
        <v>0</v>
      </c>
      <c r="K754" s="442">
        <f t="shared" si="67"/>
        <v>0</v>
      </c>
      <c r="L754" s="442">
        <f>TRUNC([3]신규_단가대비표!Y533,0)</f>
        <v>0</v>
      </c>
      <c r="M754" s="442">
        <f t="shared" si="68"/>
        <v>0</v>
      </c>
      <c r="N754" s="442">
        <f t="shared" si="69"/>
        <v>779178</v>
      </c>
      <c r="O754" s="442">
        <f t="shared" si="69"/>
        <v>11687670</v>
      </c>
      <c r="P754" s="684"/>
      <c r="Q754" s="684"/>
      <c r="R754" s="428"/>
    </row>
    <row r="755" spans="4:18" s="426" customFormat="1" ht="23.1" customHeight="1">
      <c r="D755" s="437"/>
      <c r="E755" s="437"/>
      <c r="F755" s="438"/>
      <c r="G755" s="439"/>
      <c r="H755" s="439"/>
      <c r="I755" s="439"/>
      <c r="J755" s="439"/>
      <c r="K755" s="439"/>
      <c r="L755" s="439"/>
      <c r="M755" s="439"/>
      <c r="N755" s="439"/>
      <c r="O755" s="439"/>
      <c r="P755" s="683">
        <f t="shared" ref="P755" si="78">G756-G755</f>
        <v>15</v>
      </c>
      <c r="Q755" s="683">
        <f t="shared" ref="Q755" si="79">O756-O755</f>
        <v>664065</v>
      </c>
      <c r="R755" s="429"/>
    </row>
    <row r="756" spans="4:18" ht="23.1" customHeight="1">
      <c r="D756" s="440" t="s">
        <v>1051</v>
      </c>
      <c r="E756" s="440" t="s">
        <v>1052</v>
      </c>
      <c r="F756" s="441" t="s">
        <v>265</v>
      </c>
      <c r="G756" s="442">
        <v>15</v>
      </c>
      <c r="H756" s="442">
        <f>TRUNC(신규_단가대비표!O48,0)</f>
        <v>44271</v>
      </c>
      <c r="I756" s="442">
        <f t="shared" si="66"/>
        <v>664065</v>
      </c>
      <c r="J756" s="442">
        <f>TRUNC([3]신규_단가대비표!S534,0)</f>
        <v>0</v>
      </c>
      <c r="K756" s="442">
        <f t="shared" si="67"/>
        <v>0</v>
      </c>
      <c r="L756" s="442">
        <f>TRUNC([3]신규_단가대비표!Y534,0)</f>
        <v>0</v>
      </c>
      <c r="M756" s="442">
        <f t="shared" si="68"/>
        <v>0</v>
      </c>
      <c r="N756" s="442">
        <f t="shared" si="69"/>
        <v>44271</v>
      </c>
      <c r="O756" s="442">
        <f t="shared" si="69"/>
        <v>664065</v>
      </c>
      <c r="P756" s="684"/>
      <c r="Q756" s="684"/>
      <c r="R756" s="428"/>
    </row>
    <row r="757" spans="4:18" s="426" customFormat="1" ht="23.1" customHeight="1">
      <c r="D757" s="437"/>
      <c r="E757" s="437"/>
      <c r="F757" s="438"/>
      <c r="G757" s="439"/>
      <c r="H757" s="439"/>
      <c r="I757" s="439"/>
      <c r="J757" s="439"/>
      <c r="K757" s="439"/>
      <c r="L757" s="439"/>
      <c r="M757" s="439"/>
      <c r="N757" s="439"/>
      <c r="O757" s="439"/>
      <c r="P757" s="683">
        <f t="shared" ref="P757" si="80">G758-G757</f>
        <v>60</v>
      </c>
      <c r="Q757" s="683">
        <f t="shared" ref="Q757" si="81">O758-O757</f>
        <v>13281420</v>
      </c>
      <c r="R757" s="429"/>
    </row>
    <row r="758" spans="4:18" ht="23.1" customHeight="1">
      <c r="D758" s="440" t="s">
        <v>1053</v>
      </c>
      <c r="E758" s="440" t="s">
        <v>315</v>
      </c>
      <c r="F758" s="441" t="s">
        <v>265</v>
      </c>
      <c r="G758" s="442">
        <v>60</v>
      </c>
      <c r="H758" s="442">
        <f>TRUNC(신규_단가대비표!O55,0)</f>
        <v>221357</v>
      </c>
      <c r="I758" s="442">
        <f t="shared" si="66"/>
        <v>13281420</v>
      </c>
      <c r="J758" s="442">
        <f>TRUNC([3]신규_단가대비표!S541,0)</f>
        <v>0</v>
      </c>
      <c r="K758" s="442">
        <f t="shared" si="67"/>
        <v>0</v>
      </c>
      <c r="L758" s="442">
        <f>TRUNC([3]신규_단가대비표!Y541,0)</f>
        <v>0</v>
      </c>
      <c r="M758" s="442">
        <f t="shared" si="68"/>
        <v>0</v>
      </c>
      <c r="N758" s="442">
        <f t="shared" si="69"/>
        <v>221357</v>
      </c>
      <c r="O758" s="442">
        <f t="shared" si="69"/>
        <v>13281420</v>
      </c>
      <c r="P758" s="684"/>
      <c r="Q758" s="684"/>
      <c r="R758" s="428"/>
    </row>
    <row r="759" spans="4:18" s="426" customFormat="1" ht="23.1" customHeight="1">
      <c r="D759" s="437"/>
      <c r="E759" s="437"/>
      <c r="F759" s="438"/>
      <c r="G759" s="439"/>
      <c r="H759" s="439"/>
      <c r="I759" s="439"/>
      <c r="J759" s="439"/>
      <c r="K759" s="439"/>
      <c r="L759" s="439"/>
      <c r="M759" s="439"/>
      <c r="N759" s="439"/>
      <c r="O759" s="439"/>
      <c r="P759" s="683">
        <f t="shared" ref="P759" si="82">G760-G759</f>
        <v>27</v>
      </c>
      <c r="Q759" s="683">
        <f t="shared" ref="Q759" si="83">O760-O759</f>
        <v>11475162</v>
      </c>
      <c r="R759" s="429"/>
    </row>
    <row r="760" spans="4:18" ht="23.1" customHeight="1">
      <c r="D760" s="440" t="s">
        <v>1054</v>
      </c>
      <c r="E760" s="440" t="s">
        <v>315</v>
      </c>
      <c r="F760" s="441" t="s">
        <v>265</v>
      </c>
      <c r="G760" s="442">
        <v>27</v>
      </c>
      <c r="H760" s="442">
        <f>TRUNC(신규_단가대비표!O56,0)</f>
        <v>425006</v>
      </c>
      <c r="I760" s="442">
        <f t="shared" si="66"/>
        <v>11475162</v>
      </c>
      <c r="J760" s="442">
        <f>TRUNC([3]신규_단가대비표!S542,0)</f>
        <v>0</v>
      </c>
      <c r="K760" s="442">
        <f t="shared" si="67"/>
        <v>0</v>
      </c>
      <c r="L760" s="442">
        <f>TRUNC([3]신규_단가대비표!Y542,0)</f>
        <v>0</v>
      </c>
      <c r="M760" s="442">
        <f t="shared" si="68"/>
        <v>0</v>
      </c>
      <c r="N760" s="442">
        <f t="shared" si="69"/>
        <v>425006</v>
      </c>
      <c r="O760" s="442">
        <f t="shared" si="69"/>
        <v>11475162</v>
      </c>
      <c r="P760" s="684"/>
      <c r="Q760" s="684"/>
      <c r="R760" s="428"/>
    </row>
    <row r="761" spans="4:18" s="426" customFormat="1" ht="23.1" customHeight="1">
      <c r="D761" s="437"/>
      <c r="E761" s="437"/>
      <c r="F761" s="438"/>
      <c r="G761" s="439"/>
      <c r="H761" s="439"/>
      <c r="I761" s="439"/>
      <c r="J761" s="439"/>
      <c r="K761" s="439"/>
      <c r="L761" s="439"/>
      <c r="M761" s="439"/>
      <c r="N761" s="439"/>
      <c r="O761" s="439"/>
      <c r="P761" s="683">
        <f t="shared" ref="P761" si="84">G762-G761</f>
        <v>36</v>
      </c>
      <c r="Q761" s="683">
        <f t="shared" ref="Q761" si="85">O762-O761</f>
        <v>16256484</v>
      </c>
      <c r="R761" s="429"/>
    </row>
    <row r="762" spans="4:18" ht="23.1" customHeight="1">
      <c r="D762" s="440" t="s">
        <v>1055</v>
      </c>
      <c r="E762" s="440" t="s">
        <v>317</v>
      </c>
      <c r="F762" s="441" t="s">
        <v>265</v>
      </c>
      <c r="G762" s="442">
        <v>36</v>
      </c>
      <c r="H762" s="442">
        <f>TRUNC(신규_단가대비표!O57,0)</f>
        <v>451569</v>
      </c>
      <c r="I762" s="442">
        <f t="shared" si="66"/>
        <v>16256484</v>
      </c>
      <c r="J762" s="442">
        <f>TRUNC([3]신규_단가대비표!S543,0)</f>
        <v>0</v>
      </c>
      <c r="K762" s="442">
        <f t="shared" si="67"/>
        <v>0</v>
      </c>
      <c r="L762" s="442">
        <f>TRUNC([3]신규_단가대비표!Y543,0)</f>
        <v>0</v>
      </c>
      <c r="M762" s="442">
        <f t="shared" si="68"/>
        <v>0</v>
      </c>
      <c r="N762" s="442">
        <f t="shared" si="69"/>
        <v>451569</v>
      </c>
      <c r="O762" s="442">
        <f t="shared" si="69"/>
        <v>16256484</v>
      </c>
      <c r="P762" s="684"/>
      <c r="Q762" s="684"/>
      <c r="R762" s="428"/>
    </row>
    <row r="763" spans="4:18" s="426" customFormat="1" ht="23.1" customHeight="1">
      <c r="D763" s="437"/>
      <c r="E763" s="437"/>
      <c r="F763" s="438"/>
      <c r="G763" s="439"/>
      <c r="H763" s="439"/>
      <c r="I763" s="439"/>
      <c r="J763" s="439"/>
      <c r="K763" s="439"/>
      <c r="L763" s="439"/>
      <c r="M763" s="439"/>
      <c r="N763" s="439"/>
      <c r="O763" s="439"/>
      <c r="P763" s="683">
        <f t="shared" ref="P763" si="86">G764-G763</f>
        <v>62</v>
      </c>
      <c r="Q763" s="683">
        <f t="shared" ref="Q763" si="87">O764-O763</f>
        <v>18115842</v>
      </c>
      <c r="R763" s="429"/>
    </row>
    <row r="764" spans="4:18" ht="23.1" customHeight="1">
      <c r="D764" s="440" t="s">
        <v>1056</v>
      </c>
      <c r="E764" s="440" t="s">
        <v>1057</v>
      </c>
      <c r="F764" s="441" t="s">
        <v>265</v>
      </c>
      <c r="G764" s="442">
        <v>62</v>
      </c>
      <c r="H764" s="442">
        <f>TRUNC(신규_단가대비표!O58,0)</f>
        <v>292191</v>
      </c>
      <c r="I764" s="442">
        <f t="shared" si="66"/>
        <v>18115842</v>
      </c>
      <c r="J764" s="442">
        <f>TRUNC([3]신규_단가대비표!S544,0)</f>
        <v>0</v>
      </c>
      <c r="K764" s="442">
        <f t="shared" si="67"/>
        <v>0</v>
      </c>
      <c r="L764" s="442">
        <f>TRUNC([3]신규_단가대비표!Y544,0)</f>
        <v>0</v>
      </c>
      <c r="M764" s="442">
        <f t="shared" si="68"/>
        <v>0</v>
      </c>
      <c r="N764" s="442">
        <f t="shared" si="69"/>
        <v>292191</v>
      </c>
      <c r="O764" s="442">
        <f t="shared" si="69"/>
        <v>18115842</v>
      </c>
      <c r="P764" s="684"/>
      <c r="Q764" s="684"/>
      <c r="R764" s="428"/>
    </row>
    <row r="765" spans="4:18" s="426" customFormat="1" ht="23.1" customHeight="1">
      <c r="D765" s="437"/>
      <c r="E765" s="437"/>
      <c r="F765" s="438"/>
      <c r="G765" s="439"/>
      <c r="H765" s="439"/>
      <c r="I765" s="439"/>
      <c r="J765" s="439"/>
      <c r="K765" s="439"/>
      <c r="L765" s="439"/>
      <c r="M765" s="439"/>
      <c r="N765" s="439">
        <f t="shared" si="40"/>
        <v>0</v>
      </c>
      <c r="O765" s="439"/>
      <c r="P765" s="439"/>
      <c r="Q765" s="439"/>
      <c r="R765" s="429"/>
    </row>
    <row r="766" spans="4:18" ht="23.1" customHeight="1">
      <c r="D766" s="440"/>
      <c r="E766" s="440"/>
      <c r="F766" s="441"/>
      <c r="G766" s="442"/>
      <c r="H766" s="442"/>
      <c r="I766" s="442"/>
      <c r="J766" s="442"/>
      <c r="K766" s="442"/>
      <c r="L766" s="442"/>
      <c r="M766" s="442"/>
      <c r="N766" s="442">
        <f t="shared" ref="N766:N776" si="88">H766+J766</f>
        <v>0</v>
      </c>
      <c r="O766" s="442"/>
      <c r="P766" s="442"/>
      <c r="Q766" s="442"/>
      <c r="R766" s="428"/>
    </row>
    <row r="767" spans="4:18" s="426" customFormat="1" ht="23.1" customHeight="1">
      <c r="D767" s="437"/>
      <c r="E767" s="437"/>
      <c r="F767" s="438"/>
      <c r="G767" s="439"/>
      <c r="H767" s="439"/>
      <c r="I767" s="439"/>
      <c r="J767" s="439"/>
      <c r="K767" s="439"/>
      <c r="L767" s="439"/>
      <c r="M767" s="439"/>
      <c r="N767" s="439">
        <f t="shared" si="88"/>
        <v>0</v>
      </c>
      <c r="O767" s="439"/>
      <c r="P767" s="439"/>
      <c r="Q767" s="439"/>
      <c r="R767" s="429"/>
    </row>
    <row r="768" spans="4:18" ht="23.1" customHeight="1">
      <c r="D768" s="440"/>
      <c r="E768" s="440"/>
      <c r="F768" s="441"/>
      <c r="G768" s="442"/>
      <c r="H768" s="442"/>
      <c r="I768" s="442"/>
      <c r="J768" s="442"/>
      <c r="K768" s="442"/>
      <c r="L768" s="442"/>
      <c r="M768" s="442"/>
      <c r="N768" s="442">
        <f t="shared" si="88"/>
        <v>0</v>
      </c>
      <c r="O768" s="442"/>
      <c r="P768" s="442"/>
      <c r="Q768" s="442"/>
      <c r="R768" s="428"/>
    </row>
    <row r="769" spans="2:18" s="426" customFormat="1" ht="23.1" customHeight="1">
      <c r="D769" s="437"/>
      <c r="E769" s="437"/>
      <c r="F769" s="438"/>
      <c r="G769" s="439"/>
      <c r="H769" s="439"/>
      <c r="I769" s="439"/>
      <c r="J769" s="439"/>
      <c r="K769" s="439"/>
      <c r="L769" s="439"/>
      <c r="M769" s="439"/>
      <c r="N769" s="439">
        <f t="shared" si="88"/>
        <v>0</v>
      </c>
      <c r="O769" s="439"/>
      <c r="P769" s="439"/>
      <c r="Q769" s="439"/>
      <c r="R769" s="429"/>
    </row>
    <row r="770" spans="2:18" ht="23.1" customHeight="1">
      <c r="D770" s="440"/>
      <c r="E770" s="440"/>
      <c r="F770" s="441"/>
      <c r="G770" s="442"/>
      <c r="H770" s="442"/>
      <c r="I770" s="442"/>
      <c r="J770" s="442"/>
      <c r="K770" s="442"/>
      <c r="L770" s="442"/>
      <c r="M770" s="442"/>
      <c r="N770" s="442">
        <f t="shared" si="88"/>
        <v>0</v>
      </c>
      <c r="O770" s="442"/>
      <c r="P770" s="442"/>
      <c r="Q770" s="442"/>
      <c r="R770" s="428"/>
    </row>
    <row r="771" spans="2:18" s="426" customFormat="1" ht="23.1" customHeight="1">
      <c r="D771" s="437"/>
      <c r="E771" s="437"/>
      <c r="F771" s="438"/>
      <c r="G771" s="439"/>
      <c r="H771" s="439"/>
      <c r="I771" s="439"/>
      <c r="J771" s="439"/>
      <c r="K771" s="439"/>
      <c r="L771" s="439"/>
      <c r="M771" s="439"/>
      <c r="N771" s="439">
        <f t="shared" si="88"/>
        <v>0</v>
      </c>
      <c r="O771" s="439"/>
      <c r="P771" s="439"/>
      <c r="Q771" s="439"/>
      <c r="R771" s="429"/>
    </row>
    <row r="772" spans="2:18" ht="23.1" customHeight="1">
      <c r="D772" s="440"/>
      <c r="E772" s="440"/>
      <c r="F772" s="441"/>
      <c r="G772" s="442"/>
      <c r="H772" s="442"/>
      <c r="I772" s="442"/>
      <c r="J772" s="442"/>
      <c r="K772" s="442"/>
      <c r="L772" s="442"/>
      <c r="M772" s="442"/>
      <c r="N772" s="442">
        <f t="shared" si="88"/>
        <v>0</v>
      </c>
      <c r="O772" s="442"/>
      <c r="P772" s="442"/>
      <c r="Q772" s="442"/>
      <c r="R772" s="428"/>
    </row>
    <row r="773" spans="2:18" s="426" customFormat="1" ht="23.1" customHeight="1">
      <c r="D773" s="437"/>
      <c r="E773" s="437"/>
      <c r="F773" s="438"/>
      <c r="G773" s="439"/>
      <c r="H773" s="439"/>
      <c r="I773" s="439"/>
      <c r="J773" s="439"/>
      <c r="K773" s="439"/>
      <c r="L773" s="439"/>
      <c r="M773" s="439"/>
      <c r="N773" s="439">
        <f t="shared" si="88"/>
        <v>0</v>
      </c>
      <c r="O773" s="439"/>
      <c r="P773" s="439"/>
      <c r="Q773" s="439"/>
      <c r="R773" s="429"/>
    </row>
    <row r="774" spans="2:18" ht="23.1" customHeight="1">
      <c r="D774" s="440"/>
      <c r="E774" s="440"/>
      <c r="F774" s="441"/>
      <c r="G774" s="442"/>
      <c r="H774" s="442"/>
      <c r="I774" s="442"/>
      <c r="J774" s="442"/>
      <c r="K774" s="442"/>
      <c r="L774" s="442"/>
      <c r="M774" s="442"/>
      <c r="N774" s="442">
        <f t="shared" si="88"/>
        <v>0</v>
      </c>
      <c r="O774" s="442"/>
      <c r="P774" s="442"/>
      <c r="Q774" s="442"/>
      <c r="R774" s="428"/>
    </row>
    <row r="775" spans="2:18" s="426" customFormat="1" ht="23.1" customHeight="1">
      <c r="B775" s="426" t="s">
        <v>715</v>
      </c>
      <c r="D775" s="437" t="s">
        <v>216</v>
      </c>
      <c r="E775" s="437"/>
      <c r="F775" s="438"/>
      <c r="G775" s="439"/>
      <c r="H775" s="439"/>
      <c r="I775" s="455">
        <f>I727+I729+I731+I733+I735+I737+I739+I741+I743+I745+I747+I749+I751+I753+I755+I757+I759+I761+I763+I765+I767+I769+I771+I773</f>
        <v>77419941</v>
      </c>
      <c r="J775" s="455"/>
      <c r="K775" s="455">
        <v>0</v>
      </c>
      <c r="L775" s="455"/>
      <c r="M775" s="455">
        <v>0</v>
      </c>
      <c r="N775" s="455">
        <f t="shared" si="88"/>
        <v>0</v>
      </c>
      <c r="O775" s="455">
        <f>O727+O729+O731+O733+O735+O737+O739+O741+O743+O745+O747+O749+O751+O753+O755+O757+O759+O761+O763+O765+O767+O769+O771+O773</f>
        <v>77419941</v>
      </c>
      <c r="P775" s="439"/>
      <c r="Q775" s="439"/>
      <c r="R775" s="429"/>
    </row>
    <row r="776" spans="2:18" ht="23.1" customHeight="1">
      <c r="B776" s="422" t="s">
        <v>715</v>
      </c>
      <c r="D776" s="440"/>
      <c r="E776" s="440"/>
      <c r="F776" s="441"/>
      <c r="G776" s="442"/>
      <c r="H776" s="442"/>
      <c r="I776" s="456">
        <f>I728+I730+I732+I734+I736+I738+I740+I742+I744+I746+I748+I750+I752+I754+I756+I758+I760+I762+I764+I766+I768+I770+I772+I774</f>
        <v>93821738</v>
      </c>
      <c r="J776" s="456"/>
      <c r="K776" s="456">
        <v>0</v>
      </c>
      <c r="L776" s="456"/>
      <c r="M776" s="456">
        <v>0</v>
      </c>
      <c r="N776" s="456">
        <f t="shared" si="88"/>
        <v>0</v>
      </c>
      <c r="O776" s="456">
        <f>O728+O730+O732+O734+O736+O738+O740+O742+O744+O746+O748+O750+O752+O754+O756+O758+O760+O762+O764+O766+O768+O770+O772+O774</f>
        <v>93821738</v>
      </c>
      <c r="P776" s="442"/>
      <c r="Q776" s="442"/>
      <c r="R776" s="428"/>
    </row>
  </sheetData>
  <mergeCells count="1730">
    <mergeCell ref="X1:Z1"/>
    <mergeCell ref="A2:A3"/>
    <mergeCell ref="B2:B3"/>
    <mergeCell ref="C2:C3"/>
    <mergeCell ref="D2:D3"/>
    <mergeCell ref="E2:E3"/>
    <mergeCell ref="F2:F3"/>
    <mergeCell ref="G2:G3"/>
    <mergeCell ref="H2:I2"/>
    <mergeCell ref="D7:D8"/>
    <mergeCell ref="E7:E8"/>
    <mergeCell ref="F7:F8"/>
    <mergeCell ref="P7:P8"/>
    <mergeCell ref="Q7:Q8"/>
    <mergeCell ref="R7:R8"/>
    <mergeCell ref="J2:K2"/>
    <mergeCell ref="L2:M2"/>
    <mergeCell ref="O2:O3"/>
    <mergeCell ref="P2:Q2"/>
    <mergeCell ref="R2:R3"/>
    <mergeCell ref="D5:D6"/>
    <mergeCell ref="E5:E6"/>
    <mergeCell ref="P5:P6"/>
    <mergeCell ref="Q5:Q6"/>
    <mergeCell ref="R5:R6"/>
    <mergeCell ref="D1:M1"/>
    <mergeCell ref="D13:D14"/>
    <mergeCell ref="E13:E14"/>
    <mergeCell ref="F13:F14"/>
    <mergeCell ref="P13:P14"/>
    <mergeCell ref="Q13:Q14"/>
    <mergeCell ref="R13:R14"/>
    <mergeCell ref="D11:D12"/>
    <mergeCell ref="E11:E12"/>
    <mergeCell ref="F11:F12"/>
    <mergeCell ref="P11:P12"/>
    <mergeCell ref="Q11:Q12"/>
    <mergeCell ref="R11:R12"/>
    <mergeCell ref="D9:D10"/>
    <mergeCell ref="E9:E10"/>
    <mergeCell ref="F9:F10"/>
    <mergeCell ref="P9:P10"/>
    <mergeCell ref="Q9:Q10"/>
    <mergeCell ref="R9:R10"/>
    <mergeCell ref="D19:D20"/>
    <mergeCell ref="E19:E20"/>
    <mergeCell ref="F19:F20"/>
    <mergeCell ref="P19:P20"/>
    <mergeCell ref="Q19:Q20"/>
    <mergeCell ref="R19:R20"/>
    <mergeCell ref="D17:D18"/>
    <mergeCell ref="E17:E18"/>
    <mergeCell ref="F17:F18"/>
    <mergeCell ref="P17:P18"/>
    <mergeCell ref="Q17:Q18"/>
    <mergeCell ref="R17:R18"/>
    <mergeCell ref="D15:D16"/>
    <mergeCell ref="E15:E16"/>
    <mergeCell ref="F15:F16"/>
    <mergeCell ref="P15:P16"/>
    <mergeCell ref="Q15:Q16"/>
    <mergeCell ref="R15:R16"/>
    <mergeCell ref="D25:D26"/>
    <mergeCell ref="E25:E26"/>
    <mergeCell ref="F25:F26"/>
    <mergeCell ref="P25:P26"/>
    <mergeCell ref="Q25:Q26"/>
    <mergeCell ref="R25:R26"/>
    <mergeCell ref="D23:D24"/>
    <mergeCell ref="E23:E24"/>
    <mergeCell ref="F23:F24"/>
    <mergeCell ref="P23:P24"/>
    <mergeCell ref="Q23:Q24"/>
    <mergeCell ref="R23:R24"/>
    <mergeCell ref="D21:D22"/>
    <mergeCell ref="E21:E22"/>
    <mergeCell ref="F21:F22"/>
    <mergeCell ref="P21:P22"/>
    <mergeCell ref="Q21:Q22"/>
    <mergeCell ref="R21:R22"/>
    <mergeCell ref="D31:D32"/>
    <mergeCell ref="E31:E32"/>
    <mergeCell ref="F31:F32"/>
    <mergeCell ref="P31:P32"/>
    <mergeCell ref="Q31:Q32"/>
    <mergeCell ref="R31:R32"/>
    <mergeCell ref="D29:D30"/>
    <mergeCell ref="E29:E30"/>
    <mergeCell ref="F29:F30"/>
    <mergeCell ref="P29:P30"/>
    <mergeCell ref="Q29:Q30"/>
    <mergeCell ref="R29:R30"/>
    <mergeCell ref="D27:D28"/>
    <mergeCell ref="E27:E28"/>
    <mergeCell ref="F27:F28"/>
    <mergeCell ref="P27:P28"/>
    <mergeCell ref="Q27:Q28"/>
    <mergeCell ref="R27:R28"/>
    <mergeCell ref="D37:D38"/>
    <mergeCell ref="E37:E38"/>
    <mergeCell ref="F37:F38"/>
    <mergeCell ref="P37:P38"/>
    <mergeCell ref="Q37:Q38"/>
    <mergeCell ref="R37:R38"/>
    <mergeCell ref="D35:D36"/>
    <mergeCell ref="E35:E36"/>
    <mergeCell ref="F35:F36"/>
    <mergeCell ref="P35:P36"/>
    <mergeCell ref="Q35:Q36"/>
    <mergeCell ref="R35:R36"/>
    <mergeCell ref="D33:D34"/>
    <mergeCell ref="E33:E34"/>
    <mergeCell ref="F33:F34"/>
    <mergeCell ref="P33:P34"/>
    <mergeCell ref="Q33:Q34"/>
    <mergeCell ref="R33:R34"/>
    <mergeCell ref="D43:D44"/>
    <mergeCell ref="E43:E44"/>
    <mergeCell ref="F43:F44"/>
    <mergeCell ref="P43:P44"/>
    <mergeCell ref="Q43:Q44"/>
    <mergeCell ref="R43:R44"/>
    <mergeCell ref="D41:D42"/>
    <mergeCell ref="E41:E42"/>
    <mergeCell ref="F41:F42"/>
    <mergeCell ref="P41:P42"/>
    <mergeCell ref="Q41:Q42"/>
    <mergeCell ref="R41:R42"/>
    <mergeCell ref="D39:D40"/>
    <mergeCell ref="E39:E40"/>
    <mergeCell ref="F39:F40"/>
    <mergeCell ref="P39:P40"/>
    <mergeCell ref="Q39:Q40"/>
    <mergeCell ref="R39:R40"/>
    <mergeCell ref="D49:D50"/>
    <mergeCell ref="E49:E50"/>
    <mergeCell ref="F49:F50"/>
    <mergeCell ref="P49:P50"/>
    <mergeCell ref="Q49:Q50"/>
    <mergeCell ref="R49:R50"/>
    <mergeCell ref="D47:D48"/>
    <mergeCell ref="E47:E48"/>
    <mergeCell ref="F47:F48"/>
    <mergeCell ref="P47:P48"/>
    <mergeCell ref="Q47:Q48"/>
    <mergeCell ref="R47:R48"/>
    <mergeCell ref="D45:D46"/>
    <mergeCell ref="E45:E46"/>
    <mergeCell ref="F45:F46"/>
    <mergeCell ref="P45:P46"/>
    <mergeCell ref="Q45:Q46"/>
    <mergeCell ref="R45:R46"/>
    <mergeCell ref="D55:D56"/>
    <mergeCell ref="E55:E56"/>
    <mergeCell ref="F55:F56"/>
    <mergeCell ref="P55:P56"/>
    <mergeCell ref="Q55:Q56"/>
    <mergeCell ref="R55:R56"/>
    <mergeCell ref="D53:D54"/>
    <mergeCell ref="E53:E54"/>
    <mergeCell ref="F53:F54"/>
    <mergeCell ref="P53:P54"/>
    <mergeCell ref="Q53:Q54"/>
    <mergeCell ref="R53:R54"/>
    <mergeCell ref="D51:D52"/>
    <mergeCell ref="E51:E52"/>
    <mergeCell ref="F51:F52"/>
    <mergeCell ref="P51:P52"/>
    <mergeCell ref="Q51:Q52"/>
    <mergeCell ref="R51:R52"/>
    <mergeCell ref="D61:D62"/>
    <mergeCell ref="E61:E62"/>
    <mergeCell ref="F61:F62"/>
    <mergeCell ref="P61:P62"/>
    <mergeCell ref="Q61:Q62"/>
    <mergeCell ref="R61:R62"/>
    <mergeCell ref="D59:D60"/>
    <mergeCell ref="E59:E60"/>
    <mergeCell ref="F59:F60"/>
    <mergeCell ref="P59:P60"/>
    <mergeCell ref="Q59:Q60"/>
    <mergeCell ref="R59:R60"/>
    <mergeCell ref="D57:D58"/>
    <mergeCell ref="E57:E58"/>
    <mergeCell ref="F57:F58"/>
    <mergeCell ref="P57:P58"/>
    <mergeCell ref="Q57:Q58"/>
    <mergeCell ref="R57:R58"/>
    <mergeCell ref="D67:D68"/>
    <mergeCell ref="E67:E68"/>
    <mergeCell ref="F67:F68"/>
    <mergeCell ref="P67:P68"/>
    <mergeCell ref="Q67:Q68"/>
    <mergeCell ref="R67:R68"/>
    <mergeCell ref="D65:D66"/>
    <mergeCell ref="E65:E66"/>
    <mergeCell ref="F65:F66"/>
    <mergeCell ref="P65:P66"/>
    <mergeCell ref="Q65:Q66"/>
    <mergeCell ref="R65:R66"/>
    <mergeCell ref="D63:D64"/>
    <mergeCell ref="E63:E64"/>
    <mergeCell ref="F63:F64"/>
    <mergeCell ref="P63:P64"/>
    <mergeCell ref="Q63:Q64"/>
    <mergeCell ref="R63:R64"/>
    <mergeCell ref="D73:D74"/>
    <mergeCell ref="E73:E74"/>
    <mergeCell ref="F73:F74"/>
    <mergeCell ref="P73:P74"/>
    <mergeCell ref="Q73:Q74"/>
    <mergeCell ref="R73:R74"/>
    <mergeCell ref="D71:D72"/>
    <mergeCell ref="E71:E72"/>
    <mergeCell ref="F71:F72"/>
    <mergeCell ref="P71:P72"/>
    <mergeCell ref="Q71:Q72"/>
    <mergeCell ref="R71:R72"/>
    <mergeCell ref="D69:D70"/>
    <mergeCell ref="E69:E70"/>
    <mergeCell ref="F69:F70"/>
    <mergeCell ref="P69:P70"/>
    <mergeCell ref="Q69:Q70"/>
    <mergeCell ref="R69:R70"/>
    <mergeCell ref="D79:D80"/>
    <mergeCell ref="E79:E80"/>
    <mergeCell ref="F79:F80"/>
    <mergeCell ref="P79:P80"/>
    <mergeCell ref="Q79:Q80"/>
    <mergeCell ref="R79:R80"/>
    <mergeCell ref="D77:D78"/>
    <mergeCell ref="E77:E78"/>
    <mergeCell ref="F77:F78"/>
    <mergeCell ref="P77:P78"/>
    <mergeCell ref="Q77:Q78"/>
    <mergeCell ref="R77:R78"/>
    <mergeCell ref="D75:D76"/>
    <mergeCell ref="E75:E76"/>
    <mergeCell ref="F75:F76"/>
    <mergeCell ref="P75:P76"/>
    <mergeCell ref="Q75:Q76"/>
    <mergeCell ref="R75:R76"/>
    <mergeCell ref="D85:D86"/>
    <mergeCell ref="E85:E86"/>
    <mergeCell ref="F85:F86"/>
    <mergeCell ref="P85:P86"/>
    <mergeCell ref="Q85:Q86"/>
    <mergeCell ref="R85:R86"/>
    <mergeCell ref="D83:D84"/>
    <mergeCell ref="E83:E84"/>
    <mergeCell ref="F83:F84"/>
    <mergeCell ref="P83:P84"/>
    <mergeCell ref="Q83:Q84"/>
    <mergeCell ref="R83:R84"/>
    <mergeCell ref="D81:D82"/>
    <mergeCell ref="E81:E82"/>
    <mergeCell ref="F81:F82"/>
    <mergeCell ref="P81:P82"/>
    <mergeCell ref="Q81:Q82"/>
    <mergeCell ref="R81:R82"/>
    <mergeCell ref="D91:D92"/>
    <mergeCell ref="E91:E92"/>
    <mergeCell ref="F91:F92"/>
    <mergeCell ref="P91:P92"/>
    <mergeCell ref="Q91:Q92"/>
    <mergeCell ref="R91:R92"/>
    <mergeCell ref="D89:D90"/>
    <mergeCell ref="E89:E90"/>
    <mergeCell ref="F89:F90"/>
    <mergeCell ref="P89:P90"/>
    <mergeCell ref="Q89:Q90"/>
    <mergeCell ref="R89:R90"/>
    <mergeCell ref="D87:D88"/>
    <mergeCell ref="E87:E88"/>
    <mergeCell ref="F87:F88"/>
    <mergeCell ref="P87:P88"/>
    <mergeCell ref="Q87:Q88"/>
    <mergeCell ref="R87:R88"/>
    <mergeCell ref="D97:D98"/>
    <mergeCell ref="E97:E98"/>
    <mergeCell ref="F97:F98"/>
    <mergeCell ref="P97:P98"/>
    <mergeCell ref="Q97:Q98"/>
    <mergeCell ref="R97:R98"/>
    <mergeCell ref="D95:D96"/>
    <mergeCell ref="E95:E96"/>
    <mergeCell ref="F95:F96"/>
    <mergeCell ref="P95:P96"/>
    <mergeCell ref="Q95:Q96"/>
    <mergeCell ref="R95:R96"/>
    <mergeCell ref="D93:D94"/>
    <mergeCell ref="E93:E94"/>
    <mergeCell ref="F93:F94"/>
    <mergeCell ref="P93:P94"/>
    <mergeCell ref="Q93:Q94"/>
    <mergeCell ref="R93:R94"/>
    <mergeCell ref="R116:R117"/>
    <mergeCell ref="D118:D119"/>
    <mergeCell ref="E118:E119"/>
    <mergeCell ref="F118:F119"/>
    <mergeCell ref="P118:P119"/>
    <mergeCell ref="Q118:Q119"/>
    <mergeCell ref="R118:R119"/>
    <mergeCell ref="P113:P114"/>
    <mergeCell ref="Q113:Q114"/>
    <mergeCell ref="D116:D117"/>
    <mergeCell ref="E116:E117"/>
    <mergeCell ref="F116:F117"/>
    <mergeCell ref="P116:P117"/>
    <mergeCell ref="Q116:Q117"/>
    <mergeCell ref="D99:D100"/>
    <mergeCell ref="E99:E100"/>
    <mergeCell ref="F99:F100"/>
    <mergeCell ref="P99:P100"/>
    <mergeCell ref="Q99:Q100"/>
    <mergeCell ref="R99:R100"/>
    <mergeCell ref="D124:D125"/>
    <mergeCell ref="E124:E125"/>
    <mergeCell ref="F124:F125"/>
    <mergeCell ref="P124:P125"/>
    <mergeCell ref="Q124:Q125"/>
    <mergeCell ref="R124:R125"/>
    <mergeCell ref="D122:D123"/>
    <mergeCell ref="E122:E123"/>
    <mergeCell ref="F122:F123"/>
    <mergeCell ref="P122:P123"/>
    <mergeCell ref="Q122:Q123"/>
    <mergeCell ref="R122:R123"/>
    <mergeCell ref="D120:D121"/>
    <mergeCell ref="E120:E121"/>
    <mergeCell ref="F120:F121"/>
    <mergeCell ref="P120:P121"/>
    <mergeCell ref="Q120:Q121"/>
    <mergeCell ref="R120:R121"/>
    <mergeCell ref="D130:D131"/>
    <mergeCell ref="E130:E131"/>
    <mergeCell ref="F130:F131"/>
    <mergeCell ref="P130:P131"/>
    <mergeCell ref="Q130:Q131"/>
    <mergeCell ref="R130:R131"/>
    <mergeCell ref="D128:D129"/>
    <mergeCell ref="E128:E129"/>
    <mergeCell ref="F128:F129"/>
    <mergeCell ref="P128:P129"/>
    <mergeCell ref="Q128:Q129"/>
    <mergeCell ref="R128:R129"/>
    <mergeCell ref="D126:D127"/>
    <mergeCell ref="E126:E127"/>
    <mergeCell ref="F126:F127"/>
    <mergeCell ref="P126:P127"/>
    <mergeCell ref="Q126:Q127"/>
    <mergeCell ref="R126:R127"/>
    <mergeCell ref="D136:D137"/>
    <mergeCell ref="E136:E137"/>
    <mergeCell ref="F136:F137"/>
    <mergeCell ref="P136:P137"/>
    <mergeCell ref="Q136:Q137"/>
    <mergeCell ref="R136:R137"/>
    <mergeCell ref="D134:D135"/>
    <mergeCell ref="E134:E135"/>
    <mergeCell ref="F134:F135"/>
    <mergeCell ref="P134:P135"/>
    <mergeCell ref="Q134:Q135"/>
    <mergeCell ref="R134:R135"/>
    <mergeCell ref="D132:D133"/>
    <mergeCell ref="E132:E133"/>
    <mergeCell ref="F132:F133"/>
    <mergeCell ref="P132:P133"/>
    <mergeCell ref="Q132:Q133"/>
    <mergeCell ref="R132:R133"/>
    <mergeCell ref="D142:D143"/>
    <mergeCell ref="E142:E143"/>
    <mergeCell ref="F142:F143"/>
    <mergeCell ref="P142:P143"/>
    <mergeCell ref="Q142:Q143"/>
    <mergeCell ref="R142:R143"/>
    <mergeCell ref="D140:D141"/>
    <mergeCell ref="E140:E141"/>
    <mergeCell ref="F140:F141"/>
    <mergeCell ref="P140:P141"/>
    <mergeCell ref="Q140:Q141"/>
    <mergeCell ref="R140:R141"/>
    <mergeCell ref="D138:D139"/>
    <mergeCell ref="E138:E139"/>
    <mergeCell ref="F138:F139"/>
    <mergeCell ref="P138:P139"/>
    <mergeCell ref="Q138:Q139"/>
    <mergeCell ref="R138:R139"/>
    <mergeCell ref="D148:D149"/>
    <mergeCell ref="E148:E149"/>
    <mergeCell ref="F148:F149"/>
    <mergeCell ref="P148:P149"/>
    <mergeCell ref="Q148:Q149"/>
    <mergeCell ref="R148:R149"/>
    <mergeCell ref="D146:D147"/>
    <mergeCell ref="E146:E147"/>
    <mergeCell ref="F146:F147"/>
    <mergeCell ref="P146:P147"/>
    <mergeCell ref="Q146:Q147"/>
    <mergeCell ref="R146:R147"/>
    <mergeCell ref="D144:D145"/>
    <mergeCell ref="E144:E145"/>
    <mergeCell ref="F144:F145"/>
    <mergeCell ref="P144:P145"/>
    <mergeCell ref="Q144:Q145"/>
    <mergeCell ref="R144:R145"/>
    <mergeCell ref="D154:D155"/>
    <mergeCell ref="E154:E155"/>
    <mergeCell ref="F154:F155"/>
    <mergeCell ref="P154:P155"/>
    <mergeCell ref="Q154:Q155"/>
    <mergeCell ref="R154:R155"/>
    <mergeCell ref="D152:D153"/>
    <mergeCell ref="E152:E153"/>
    <mergeCell ref="F152:F153"/>
    <mergeCell ref="P152:P153"/>
    <mergeCell ref="Q152:Q153"/>
    <mergeCell ref="R152:R153"/>
    <mergeCell ref="D150:D151"/>
    <mergeCell ref="E150:E151"/>
    <mergeCell ref="F150:F151"/>
    <mergeCell ref="P150:P151"/>
    <mergeCell ref="Q150:Q151"/>
    <mergeCell ref="R150:R151"/>
    <mergeCell ref="D160:D161"/>
    <mergeCell ref="E160:E161"/>
    <mergeCell ref="F160:F161"/>
    <mergeCell ref="P160:P161"/>
    <mergeCell ref="Q160:Q161"/>
    <mergeCell ref="R160:R161"/>
    <mergeCell ref="D158:D159"/>
    <mergeCell ref="E158:E159"/>
    <mergeCell ref="F158:F159"/>
    <mergeCell ref="P158:P159"/>
    <mergeCell ref="Q158:Q159"/>
    <mergeCell ref="R158:R159"/>
    <mergeCell ref="D156:D157"/>
    <mergeCell ref="E156:E157"/>
    <mergeCell ref="F156:F157"/>
    <mergeCell ref="P156:P157"/>
    <mergeCell ref="Q156:Q157"/>
    <mergeCell ref="R156:R157"/>
    <mergeCell ref="D166:D167"/>
    <mergeCell ref="E166:E167"/>
    <mergeCell ref="F166:F167"/>
    <mergeCell ref="P166:P167"/>
    <mergeCell ref="Q166:Q167"/>
    <mergeCell ref="R166:R167"/>
    <mergeCell ref="D164:D165"/>
    <mergeCell ref="E164:E165"/>
    <mergeCell ref="F164:F165"/>
    <mergeCell ref="P164:P165"/>
    <mergeCell ref="Q164:Q165"/>
    <mergeCell ref="R164:R165"/>
    <mergeCell ref="D162:D163"/>
    <mergeCell ref="E162:E163"/>
    <mergeCell ref="F162:F163"/>
    <mergeCell ref="P162:P163"/>
    <mergeCell ref="Q162:Q163"/>
    <mergeCell ref="R162:R163"/>
    <mergeCell ref="D172:D173"/>
    <mergeCell ref="E172:E173"/>
    <mergeCell ref="F172:F173"/>
    <mergeCell ref="P172:P173"/>
    <mergeCell ref="Q172:Q173"/>
    <mergeCell ref="R172:R173"/>
    <mergeCell ref="D170:D171"/>
    <mergeCell ref="E170:E171"/>
    <mergeCell ref="F170:F171"/>
    <mergeCell ref="P170:P171"/>
    <mergeCell ref="Q170:Q171"/>
    <mergeCell ref="R170:R171"/>
    <mergeCell ref="D168:D169"/>
    <mergeCell ref="E168:E169"/>
    <mergeCell ref="F168:F169"/>
    <mergeCell ref="P168:P169"/>
    <mergeCell ref="Q168:Q169"/>
    <mergeCell ref="R168:R169"/>
    <mergeCell ref="D178:D179"/>
    <mergeCell ref="E178:E179"/>
    <mergeCell ref="F178:F179"/>
    <mergeCell ref="P178:P179"/>
    <mergeCell ref="Q178:Q179"/>
    <mergeCell ref="R178:R179"/>
    <mergeCell ref="D176:D177"/>
    <mergeCell ref="E176:E177"/>
    <mergeCell ref="F176:F177"/>
    <mergeCell ref="P176:P177"/>
    <mergeCell ref="Q176:Q177"/>
    <mergeCell ref="R176:R177"/>
    <mergeCell ref="D174:D175"/>
    <mergeCell ref="E174:E175"/>
    <mergeCell ref="F174:F175"/>
    <mergeCell ref="P174:P175"/>
    <mergeCell ref="Q174:Q175"/>
    <mergeCell ref="R174:R175"/>
    <mergeCell ref="D184:D185"/>
    <mergeCell ref="E184:E185"/>
    <mergeCell ref="F184:F185"/>
    <mergeCell ref="P184:P185"/>
    <mergeCell ref="Q184:Q185"/>
    <mergeCell ref="R184:R185"/>
    <mergeCell ref="D182:D183"/>
    <mergeCell ref="E182:E183"/>
    <mergeCell ref="F182:F183"/>
    <mergeCell ref="P182:P183"/>
    <mergeCell ref="Q182:Q183"/>
    <mergeCell ref="R182:R183"/>
    <mergeCell ref="D180:D181"/>
    <mergeCell ref="E180:E181"/>
    <mergeCell ref="F180:F181"/>
    <mergeCell ref="P180:P181"/>
    <mergeCell ref="Q180:Q181"/>
    <mergeCell ref="R180:R181"/>
    <mergeCell ref="D190:D191"/>
    <mergeCell ref="E190:E191"/>
    <mergeCell ref="F190:F191"/>
    <mergeCell ref="P190:P191"/>
    <mergeCell ref="Q190:Q191"/>
    <mergeCell ref="R190:R191"/>
    <mergeCell ref="D188:D189"/>
    <mergeCell ref="E188:E189"/>
    <mergeCell ref="F188:F189"/>
    <mergeCell ref="P188:P189"/>
    <mergeCell ref="Q188:Q189"/>
    <mergeCell ref="R188:R189"/>
    <mergeCell ref="D186:D187"/>
    <mergeCell ref="E186:E187"/>
    <mergeCell ref="F186:F187"/>
    <mergeCell ref="P186:P187"/>
    <mergeCell ref="Q186:Q187"/>
    <mergeCell ref="R186:R187"/>
    <mergeCell ref="D196:D197"/>
    <mergeCell ref="E196:E197"/>
    <mergeCell ref="F196:F197"/>
    <mergeCell ref="P196:P197"/>
    <mergeCell ref="Q196:Q197"/>
    <mergeCell ref="R196:R197"/>
    <mergeCell ref="D194:D195"/>
    <mergeCell ref="E194:E195"/>
    <mergeCell ref="F194:F195"/>
    <mergeCell ref="P194:P195"/>
    <mergeCell ref="Q194:Q195"/>
    <mergeCell ref="R194:R195"/>
    <mergeCell ref="D192:D193"/>
    <mergeCell ref="E192:E193"/>
    <mergeCell ref="F192:F193"/>
    <mergeCell ref="P192:P193"/>
    <mergeCell ref="Q192:Q193"/>
    <mergeCell ref="R192:R193"/>
    <mergeCell ref="D202:D203"/>
    <mergeCell ref="E202:E203"/>
    <mergeCell ref="F202:F203"/>
    <mergeCell ref="P202:P203"/>
    <mergeCell ref="Q202:Q203"/>
    <mergeCell ref="R202:R203"/>
    <mergeCell ref="D200:D201"/>
    <mergeCell ref="E200:E201"/>
    <mergeCell ref="F200:F201"/>
    <mergeCell ref="P200:P201"/>
    <mergeCell ref="Q200:Q201"/>
    <mergeCell ref="R200:R201"/>
    <mergeCell ref="D198:D199"/>
    <mergeCell ref="E198:E199"/>
    <mergeCell ref="F198:F199"/>
    <mergeCell ref="P198:P199"/>
    <mergeCell ref="Q198:Q199"/>
    <mergeCell ref="R198:R199"/>
    <mergeCell ref="D208:D209"/>
    <mergeCell ref="E208:E209"/>
    <mergeCell ref="F208:F209"/>
    <mergeCell ref="P208:P209"/>
    <mergeCell ref="Q208:Q209"/>
    <mergeCell ref="R208:R209"/>
    <mergeCell ref="D206:D207"/>
    <mergeCell ref="E206:E207"/>
    <mergeCell ref="F206:F207"/>
    <mergeCell ref="P206:P207"/>
    <mergeCell ref="Q206:Q207"/>
    <mergeCell ref="R206:R207"/>
    <mergeCell ref="D204:D205"/>
    <mergeCell ref="E204:E205"/>
    <mergeCell ref="F204:F205"/>
    <mergeCell ref="P204:P205"/>
    <mergeCell ref="Q204:Q205"/>
    <mergeCell ref="R204:R205"/>
    <mergeCell ref="R219:R220"/>
    <mergeCell ref="D221:D222"/>
    <mergeCell ref="E221:E222"/>
    <mergeCell ref="F221:F222"/>
    <mergeCell ref="P221:P222"/>
    <mergeCell ref="Q221:Q222"/>
    <mergeCell ref="R221:R222"/>
    <mergeCell ref="Q216:Q217"/>
    <mergeCell ref="D219:D220"/>
    <mergeCell ref="E219:E220"/>
    <mergeCell ref="F219:F220"/>
    <mergeCell ref="P219:P220"/>
    <mergeCell ref="Q219:Q220"/>
    <mergeCell ref="D210:D211"/>
    <mergeCell ref="E210:E211"/>
    <mergeCell ref="F210:F211"/>
    <mergeCell ref="P210:P211"/>
    <mergeCell ref="Q210:Q211"/>
    <mergeCell ref="R210:R211"/>
    <mergeCell ref="D227:D228"/>
    <mergeCell ref="E227:E228"/>
    <mergeCell ref="F227:F228"/>
    <mergeCell ref="P227:P228"/>
    <mergeCell ref="Q227:Q228"/>
    <mergeCell ref="R227:R228"/>
    <mergeCell ref="D225:D226"/>
    <mergeCell ref="E225:E226"/>
    <mergeCell ref="F225:F226"/>
    <mergeCell ref="P225:P226"/>
    <mergeCell ref="Q225:Q226"/>
    <mergeCell ref="R225:R226"/>
    <mergeCell ref="D223:D224"/>
    <mergeCell ref="E223:E224"/>
    <mergeCell ref="F223:F224"/>
    <mergeCell ref="P223:P224"/>
    <mergeCell ref="Q223:Q224"/>
    <mergeCell ref="R223:R224"/>
    <mergeCell ref="D233:D234"/>
    <mergeCell ref="E233:E234"/>
    <mergeCell ref="F233:F234"/>
    <mergeCell ref="P233:P234"/>
    <mergeCell ref="Q233:Q234"/>
    <mergeCell ref="R233:R234"/>
    <mergeCell ref="D231:D232"/>
    <mergeCell ref="E231:E232"/>
    <mergeCell ref="F231:F232"/>
    <mergeCell ref="P231:P232"/>
    <mergeCell ref="Q231:Q232"/>
    <mergeCell ref="R231:R232"/>
    <mergeCell ref="D229:D230"/>
    <mergeCell ref="E229:E230"/>
    <mergeCell ref="F229:F230"/>
    <mergeCell ref="P229:P230"/>
    <mergeCell ref="Q229:Q230"/>
    <mergeCell ref="R229:R230"/>
    <mergeCell ref="D239:D240"/>
    <mergeCell ref="E239:E240"/>
    <mergeCell ref="F239:F240"/>
    <mergeCell ref="P239:P240"/>
    <mergeCell ref="Q239:Q240"/>
    <mergeCell ref="R239:R240"/>
    <mergeCell ref="D237:D238"/>
    <mergeCell ref="E237:E238"/>
    <mergeCell ref="F237:F238"/>
    <mergeCell ref="P237:P238"/>
    <mergeCell ref="Q237:Q238"/>
    <mergeCell ref="R237:R238"/>
    <mergeCell ref="D235:D236"/>
    <mergeCell ref="E235:E236"/>
    <mergeCell ref="F235:F236"/>
    <mergeCell ref="P235:P236"/>
    <mergeCell ref="Q235:Q236"/>
    <mergeCell ref="R235:R236"/>
    <mergeCell ref="D245:D246"/>
    <mergeCell ref="E245:E246"/>
    <mergeCell ref="F245:F246"/>
    <mergeCell ref="P245:P246"/>
    <mergeCell ref="Q245:Q246"/>
    <mergeCell ref="R245:R246"/>
    <mergeCell ref="D243:D244"/>
    <mergeCell ref="E243:E244"/>
    <mergeCell ref="F243:F244"/>
    <mergeCell ref="P243:P244"/>
    <mergeCell ref="Q243:Q244"/>
    <mergeCell ref="R243:R244"/>
    <mergeCell ref="D241:D242"/>
    <mergeCell ref="E241:E242"/>
    <mergeCell ref="F241:F242"/>
    <mergeCell ref="P241:P242"/>
    <mergeCell ref="Q241:Q242"/>
    <mergeCell ref="R241:R242"/>
    <mergeCell ref="D251:D252"/>
    <mergeCell ref="E251:E252"/>
    <mergeCell ref="F251:F252"/>
    <mergeCell ref="P251:P252"/>
    <mergeCell ref="Q251:Q252"/>
    <mergeCell ref="R251:R252"/>
    <mergeCell ref="D249:D250"/>
    <mergeCell ref="E249:E250"/>
    <mergeCell ref="F249:F250"/>
    <mergeCell ref="P249:P250"/>
    <mergeCell ref="Q249:Q250"/>
    <mergeCell ref="R249:R250"/>
    <mergeCell ref="D247:D248"/>
    <mergeCell ref="E247:E248"/>
    <mergeCell ref="F247:F248"/>
    <mergeCell ref="P247:P248"/>
    <mergeCell ref="Q247:Q248"/>
    <mergeCell ref="R247:R248"/>
    <mergeCell ref="D257:D258"/>
    <mergeCell ref="E257:E258"/>
    <mergeCell ref="F257:F258"/>
    <mergeCell ref="P257:P258"/>
    <mergeCell ref="Q257:Q258"/>
    <mergeCell ref="R257:R258"/>
    <mergeCell ref="D255:D256"/>
    <mergeCell ref="E255:E256"/>
    <mergeCell ref="F255:F256"/>
    <mergeCell ref="P255:P256"/>
    <mergeCell ref="Q255:Q256"/>
    <mergeCell ref="R255:R256"/>
    <mergeCell ref="D253:D254"/>
    <mergeCell ref="E253:E254"/>
    <mergeCell ref="F253:F254"/>
    <mergeCell ref="P253:P254"/>
    <mergeCell ref="Q253:Q254"/>
    <mergeCell ref="R253:R254"/>
    <mergeCell ref="D263:D264"/>
    <mergeCell ref="E263:E264"/>
    <mergeCell ref="F263:F264"/>
    <mergeCell ref="P263:P264"/>
    <mergeCell ref="Q263:Q264"/>
    <mergeCell ref="R263:R264"/>
    <mergeCell ref="D261:D262"/>
    <mergeCell ref="E261:E262"/>
    <mergeCell ref="F261:F262"/>
    <mergeCell ref="P261:P262"/>
    <mergeCell ref="Q261:Q262"/>
    <mergeCell ref="R261:R262"/>
    <mergeCell ref="D259:D260"/>
    <mergeCell ref="E259:E260"/>
    <mergeCell ref="F259:F260"/>
    <mergeCell ref="P259:P260"/>
    <mergeCell ref="Q259:Q260"/>
    <mergeCell ref="R259:R260"/>
    <mergeCell ref="D269:D270"/>
    <mergeCell ref="E269:E270"/>
    <mergeCell ref="F269:F270"/>
    <mergeCell ref="P269:P270"/>
    <mergeCell ref="Q269:Q270"/>
    <mergeCell ref="R269:R270"/>
    <mergeCell ref="D267:D268"/>
    <mergeCell ref="E267:E268"/>
    <mergeCell ref="F267:F268"/>
    <mergeCell ref="P267:P268"/>
    <mergeCell ref="Q267:Q268"/>
    <mergeCell ref="R267:R268"/>
    <mergeCell ref="D265:D266"/>
    <mergeCell ref="E265:E266"/>
    <mergeCell ref="F265:F266"/>
    <mergeCell ref="P265:P266"/>
    <mergeCell ref="Q265:Q266"/>
    <mergeCell ref="R265:R266"/>
    <mergeCell ref="D275:D276"/>
    <mergeCell ref="E275:E276"/>
    <mergeCell ref="F275:F276"/>
    <mergeCell ref="P275:P276"/>
    <mergeCell ref="Q275:Q276"/>
    <mergeCell ref="R275:R276"/>
    <mergeCell ref="D273:D274"/>
    <mergeCell ref="E273:E274"/>
    <mergeCell ref="F273:F274"/>
    <mergeCell ref="P273:P274"/>
    <mergeCell ref="Q273:Q274"/>
    <mergeCell ref="R273:R274"/>
    <mergeCell ref="D271:D272"/>
    <mergeCell ref="E271:E272"/>
    <mergeCell ref="F271:F272"/>
    <mergeCell ref="P271:P272"/>
    <mergeCell ref="Q271:Q272"/>
    <mergeCell ref="R271:R272"/>
    <mergeCell ref="D281:D282"/>
    <mergeCell ref="E281:E282"/>
    <mergeCell ref="F281:F282"/>
    <mergeCell ref="P281:P282"/>
    <mergeCell ref="Q281:Q282"/>
    <mergeCell ref="R281:R282"/>
    <mergeCell ref="D279:D280"/>
    <mergeCell ref="E279:E280"/>
    <mergeCell ref="F279:F280"/>
    <mergeCell ref="P279:P280"/>
    <mergeCell ref="Q279:Q280"/>
    <mergeCell ref="R279:R280"/>
    <mergeCell ref="D277:D278"/>
    <mergeCell ref="E277:E278"/>
    <mergeCell ref="F277:F278"/>
    <mergeCell ref="P277:P278"/>
    <mergeCell ref="Q277:Q278"/>
    <mergeCell ref="R277:R278"/>
    <mergeCell ref="D287:D288"/>
    <mergeCell ref="E287:E288"/>
    <mergeCell ref="F287:F288"/>
    <mergeCell ref="P287:P288"/>
    <mergeCell ref="Q287:Q288"/>
    <mergeCell ref="R287:R288"/>
    <mergeCell ref="D285:D286"/>
    <mergeCell ref="E285:E286"/>
    <mergeCell ref="F285:F286"/>
    <mergeCell ref="P285:P286"/>
    <mergeCell ref="Q285:Q286"/>
    <mergeCell ref="R285:R286"/>
    <mergeCell ref="D283:D284"/>
    <mergeCell ref="E283:E284"/>
    <mergeCell ref="F283:F284"/>
    <mergeCell ref="P283:P284"/>
    <mergeCell ref="Q283:Q284"/>
    <mergeCell ref="R283:R284"/>
    <mergeCell ref="D293:D294"/>
    <mergeCell ref="E293:E294"/>
    <mergeCell ref="F293:F294"/>
    <mergeCell ref="P293:P294"/>
    <mergeCell ref="Q293:Q294"/>
    <mergeCell ref="R293:R294"/>
    <mergeCell ref="D291:D292"/>
    <mergeCell ref="E291:E292"/>
    <mergeCell ref="F291:F292"/>
    <mergeCell ref="P291:P292"/>
    <mergeCell ref="Q291:Q292"/>
    <mergeCell ref="R291:R292"/>
    <mergeCell ref="D289:D290"/>
    <mergeCell ref="E289:E290"/>
    <mergeCell ref="F289:F290"/>
    <mergeCell ref="P289:P290"/>
    <mergeCell ref="Q289:Q290"/>
    <mergeCell ref="R289:R290"/>
    <mergeCell ref="D299:D300"/>
    <mergeCell ref="E299:E300"/>
    <mergeCell ref="F299:F300"/>
    <mergeCell ref="P299:P300"/>
    <mergeCell ref="Q299:Q300"/>
    <mergeCell ref="R299:R300"/>
    <mergeCell ref="D297:D298"/>
    <mergeCell ref="E297:E298"/>
    <mergeCell ref="F297:F298"/>
    <mergeCell ref="P297:P298"/>
    <mergeCell ref="Q297:Q298"/>
    <mergeCell ref="R297:R298"/>
    <mergeCell ref="D295:D296"/>
    <mergeCell ref="E295:E296"/>
    <mergeCell ref="F295:F296"/>
    <mergeCell ref="P295:P296"/>
    <mergeCell ref="Q295:Q296"/>
    <mergeCell ref="R295:R296"/>
    <mergeCell ref="D305:D306"/>
    <mergeCell ref="E305:E306"/>
    <mergeCell ref="F305:F306"/>
    <mergeCell ref="P305:P306"/>
    <mergeCell ref="Q305:Q306"/>
    <mergeCell ref="R305:R306"/>
    <mergeCell ref="D303:D304"/>
    <mergeCell ref="E303:E304"/>
    <mergeCell ref="F303:F304"/>
    <mergeCell ref="P303:P304"/>
    <mergeCell ref="Q303:Q304"/>
    <mergeCell ref="R303:R304"/>
    <mergeCell ref="D301:D302"/>
    <mergeCell ref="E301:E302"/>
    <mergeCell ref="F301:F302"/>
    <mergeCell ref="P301:P302"/>
    <mergeCell ref="Q301:Q302"/>
    <mergeCell ref="R301:R302"/>
    <mergeCell ref="D311:D312"/>
    <mergeCell ref="E311:E312"/>
    <mergeCell ref="F311:F312"/>
    <mergeCell ref="P311:P312"/>
    <mergeCell ref="Q311:Q312"/>
    <mergeCell ref="R311:R312"/>
    <mergeCell ref="D309:D310"/>
    <mergeCell ref="E309:E310"/>
    <mergeCell ref="F309:F310"/>
    <mergeCell ref="P309:P310"/>
    <mergeCell ref="Q309:Q310"/>
    <mergeCell ref="R309:R310"/>
    <mergeCell ref="D307:D308"/>
    <mergeCell ref="E307:E308"/>
    <mergeCell ref="F307:F308"/>
    <mergeCell ref="P307:P308"/>
    <mergeCell ref="Q307:Q308"/>
    <mergeCell ref="R307:R308"/>
    <mergeCell ref="R328:R329"/>
    <mergeCell ref="D330:D331"/>
    <mergeCell ref="E330:E331"/>
    <mergeCell ref="F330:F331"/>
    <mergeCell ref="P330:P331"/>
    <mergeCell ref="Q330:Q331"/>
    <mergeCell ref="R330:R331"/>
    <mergeCell ref="Q325:Q326"/>
    <mergeCell ref="D328:D329"/>
    <mergeCell ref="E328:E329"/>
    <mergeCell ref="F328:F329"/>
    <mergeCell ref="P328:P329"/>
    <mergeCell ref="Q328:Q329"/>
    <mergeCell ref="D313:D314"/>
    <mergeCell ref="E313:E314"/>
    <mergeCell ref="F313:F314"/>
    <mergeCell ref="P313:P314"/>
    <mergeCell ref="Q313:Q314"/>
    <mergeCell ref="R313:R314"/>
    <mergeCell ref="D336:D337"/>
    <mergeCell ref="E336:E337"/>
    <mergeCell ref="F336:F337"/>
    <mergeCell ref="P336:P337"/>
    <mergeCell ref="Q336:Q337"/>
    <mergeCell ref="R336:R337"/>
    <mergeCell ref="D334:D335"/>
    <mergeCell ref="E334:E335"/>
    <mergeCell ref="F334:F335"/>
    <mergeCell ref="P334:P335"/>
    <mergeCell ref="Q334:Q335"/>
    <mergeCell ref="R334:R335"/>
    <mergeCell ref="D332:D333"/>
    <mergeCell ref="E332:E333"/>
    <mergeCell ref="F332:F333"/>
    <mergeCell ref="P332:P333"/>
    <mergeCell ref="Q332:Q333"/>
    <mergeCell ref="R332:R333"/>
    <mergeCell ref="D355:D356"/>
    <mergeCell ref="E355:E356"/>
    <mergeCell ref="F355:F356"/>
    <mergeCell ref="P355:P356"/>
    <mergeCell ref="Q355:Q356"/>
    <mergeCell ref="R355:R356"/>
    <mergeCell ref="R351:R352"/>
    <mergeCell ref="D353:D354"/>
    <mergeCell ref="E353:E354"/>
    <mergeCell ref="F353:F354"/>
    <mergeCell ref="P353:P354"/>
    <mergeCell ref="Q353:Q354"/>
    <mergeCell ref="R353:R354"/>
    <mergeCell ref="Q348:Q349"/>
    <mergeCell ref="D351:D352"/>
    <mergeCell ref="E351:E352"/>
    <mergeCell ref="F351:F352"/>
    <mergeCell ref="P351:P352"/>
    <mergeCell ref="Q351:Q352"/>
    <mergeCell ref="D361:D362"/>
    <mergeCell ref="E361:E362"/>
    <mergeCell ref="F361:F362"/>
    <mergeCell ref="P361:P362"/>
    <mergeCell ref="Q361:Q362"/>
    <mergeCell ref="R361:R362"/>
    <mergeCell ref="D359:D360"/>
    <mergeCell ref="E359:E360"/>
    <mergeCell ref="F359:F360"/>
    <mergeCell ref="P359:P360"/>
    <mergeCell ref="Q359:Q360"/>
    <mergeCell ref="R359:R360"/>
    <mergeCell ref="D357:D358"/>
    <mergeCell ref="E357:E358"/>
    <mergeCell ref="F357:F358"/>
    <mergeCell ref="P357:P358"/>
    <mergeCell ref="Q357:Q358"/>
    <mergeCell ref="R357:R358"/>
    <mergeCell ref="D367:D368"/>
    <mergeCell ref="E367:E368"/>
    <mergeCell ref="F367:F368"/>
    <mergeCell ref="P367:P368"/>
    <mergeCell ref="Q367:Q368"/>
    <mergeCell ref="R367:R368"/>
    <mergeCell ref="D365:D366"/>
    <mergeCell ref="E365:E366"/>
    <mergeCell ref="F365:F366"/>
    <mergeCell ref="P365:P366"/>
    <mergeCell ref="Q365:Q366"/>
    <mergeCell ref="R365:R366"/>
    <mergeCell ref="D363:D364"/>
    <mergeCell ref="E363:E364"/>
    <mergeCell ref="F363:F364"/>
    <mergeCell ref="P363:P364"/>
    <mergeCell ref="Q363:Q364"/>
    <mergeCell ref="R363:R364"/>
    <mergeCell ref="D373:D374"/>
    <mergeCell ref="E373:E374"/>
    <mergeCell ref="F373:F374"/>
    <mergeCell ref="P373:P374"/>
    <mergeCell ref="Q373:Q374"/>
    <mergeCell ref="R373:R374"/>
    <mergeCell ref="D371:D372"/>
    <mergeCell ref="E371:E372"/>
    <mergeCell ref="F371:F372"/>
    <mergeCell ref="P371:P372"/>
    <mergeCell ref="Q371:Q372"/>
    <mergeCell ref="R371:R372"/>
    <mergeCell ref="D369:D370"/>
    <mergeCell ref="E369:E370"/>
    <mergeCell ref="F369:F370"/>
    <mergeCell ref="P369:P370"/>
    <mergeCell ref="Q369:Q370"/>
    <mergeCell ref="R369:R370"/>
    <mergeCell ref="D379:D380"/>
    <mergeCell ref="E379:E380"/>
    <mergeCell ref="F379:F380"/>
    <mergeCell ref="P379:P380"/>
    <mergeCell ref="Q379:Q380"/>
    <mergeCell ref="R379:R380"/>
    <mergeCell ref="D377:D378"/>
    <mergeCell ref="E377:E378"/>
    <mergeCell ref="F377:F378"/>
    <mergeCell ref="P377:P378"/>
    <mergeCell ref="Q377:Q378"/>
    <mergeCell ref="R377:R378"/>
    <mergeCell ref="D375:D376"/>
    <mergeCell ref="E375:E376"/>
    <mergeCell ref="F375:F376"/>
    <mergeCell ref="P375:P376"/>
    <mergeCell ref="Q375:Q376"/>
    <mergeCell ref="R375:R376"/>
    <mergeCell ref="D385:D386"/>
    <mergeCell ref="E385:E386"/>
    <mergeCell ref="F385:F386"/>
    <mergeCell ref="P385:P386"/>
    <mergeCell ref="Q385:Q386"/>
    <mergeCell ref="R385:R386"/>
    <mergeCell ref="D383:D384"/>
    <mergeCell ref="E383:E384"/>
    <mergeCell ref="F383:F384"/>
    <mergeCell ref="P383:P384"/>
    <mergeCell ref="Q383:Q384"/>
    <mergeCell ref="R383:R384"/>
    <mergeCell ref="D381:D382"/>
    <mergeCell ref="E381:E382"/>
    <mergeCell ref="F381:F382"/>
    <mergeCell ref="P381:P382"/>
    <mergeCell ref="Q381:Q382"/>
    <mergeCell ref="R381:R382"/>
    <mergeCell ref="D391:D392"/>
    <mergeCell ref="E391:E392"/>
    <mergeCell ref="F391:F392"/>
    <mergeCell ref="P391:P392"/>
    <mergeCell ref="Q391:Q392"/>
    <mergeCell ref="R391:R392"/>
    <mergeCell ref="D389:D390"/>
    <mergeCell ref="E389:E390"/>
    <mergeCell ref="F389:F390"/>
    <mergeCell ref="P389:P390"/>
    <mergeCell ref="Q389:Q390"/>
    <mergeCell ref="R389:R390"/>
    <mergeCell ref="D387:D388"/>
    <mergeCell ref="E387:E388"/>
    <mergeCell ref="F387:F388"/>
    <mergeCell ref="P387:P388"/>
    <mergeCell ref="Q387:Q388"/>
    <mergeCell ref="R387:R388"/>
    <mergeCell ref="D397:D398"/>
    <mergeCell ref="E397:E398"/>
    <mergeCell ref="F397:F398"/>
    <mergeCell ref="P397:P398"/>
    <mergeCell ref="Q397:Q398"/>
    <mergeCell ref="R397:R398"/>
    <mergeCell ref="D395:D396"/>
    <mergeCell ref="E395:E396"/>
    <mergeCell ref="F395:F396"/>
    <mergeCell ref="P395:P396"/>
    <mergeCell ref="Q395:Q396"/>
    <mergeCell ref="R395:R396"/>
    <mergeCell ref="D393:D394"/>
    <mergeCell ref="E393:E394"/>
    <mergeCell ref="F393:F394"/>
    <mergeCell ref="P393:P394"/>
    <mergeCell ref="Q393:Q394"/>
    <mergeCell ref="R393:R394"/>
    <mergeCell ref="D403:D404"/>
    <mergeCell ref="E403:E404"/>
    <mergeCell ref="F403:F404"/>
    <mergeCell ref="P403:P404"/>
    <mergeCell ref="Q403:Q404"/>
    <mergeCell ref="R403:R404"/>
    <mergeCell ref="D401:D402"/>
    <mergeCell ref="E401:E402"/>
    <mergeCell ref="F401:F402"/>
    <mergeCell ref="P401:P402"/>
    <mergeCell ref="Q401:Q402"/>
    <mergeCell ref="R401:R402"/>
    <mergeCell ref="D399:D400"/>
    <mergeCell ref="E399:E400"/>
    <mergeCell ref="F399:F400"/>
    <mergeCell ref="P399:P400"/>
    <mergeCell ref="Q399:Q400"/>
    <mergeCell ref="R399:R400"/>
    <mergeCell ref="D409:D410"/>
    <mergeCell ref="E409:E410"/>
    <mergeCell ref="F409:F410"/>
    <mergeCell ref="P409:P410"/>
    <mergeCell ref="Q409:Q410"/>
    <mergeCell ref="R409:R410"/>
    <mergeCell ref="D407:D408"/>
    <mergeCell ref="E407:E408"/>
    <mergeCell ref="F407:F408"/>
    <mergeCell ref="P407:P408"/>
    <mergeCell ref="Q407:Q408"/>
    <mergeCell ref="R407:R408"/>
    <mergeCell ref="D405:D406"/>
    <mergeCell ref="E405:E406"/>
    <mergeCell ref="F405:F406"/>
    <mergeCell ref="P405:P406"/>
    <mergeCell ref="Q405:Q406"/>
    <mergeCell ref="R405:R406"/>
    <mergeCell ref="D415:D416"/>
    <mergeCell ref="E415:E416"/>
    <mergeCell ref="F415:F416"/>
    <mergeCell ref="P415:P416"/>
    <mergeCell ref="Q415:Q416"/>
    <mergeCell ref="R415:R416"/>
    <mergeCell ref="D413:D414"/>
    <mergeCell ref="E413:E414"/>
    <mergeCell ref="F413:F414"/>
    <mergeCell ref="P413:P414"/>
    <mergeCell ref="Q413:Q414"/>
    <mergeCell ref="R413:R414"/>
    <mergeCell ref="D411:D412"/>
    <mergeCell ref="E411:E412"/>
    <mergeCell ref="F411:F412"/>
    <mergeCell ref="P411:P412"/>
    <mergeCell ref="Q411:Q412"/>
    <mergeCell ref="R411:R412"/>
    <mergeCell ref="D421:D422"/>
    <mergeCell ref="E421:E422"/>
    <mergeCell ref="F421:F422"/>
    <mergeCell ref="P421:P422"/>
    <mergeCell ref="Q421:Q422"/>
    <mergeCell ref="R421:R422"/>
    <mergeCell ref="D419:D420"/>
    <mergeCell ref="E419:E420"/>
    <mergeCell ref="F419:F420"/>
    <mergeCell ref="P419:P420"/>
    <mergeCell ref="Q419:Q420"/>
    <mergeCell ref="R419:R420"/>
    <mergeCell ref="D417:D418"/>
    <mergeCell ref="E417:E418"/>
    <mergeCell ref="F417:F418"/>
    <mergeCell ref="P417:P418"/>
    <mergeCell ref="Q417:Q418"/>
    <mergeCell ref="R417:R418"/>
    <mergeCell ref="D427:D428"/>
    <mergeCell ref="E427:E428"/>
    <mergeCell ref="F427:F428"/>
    <mergeCell ref="P427:P428"/>
    <mergeCell ref="Q427:Q428"/>
    <mergeCell ref="R427:R428"/>
    <mergeCell ref="D425:D426"/>
    <mergeCell ref="E425:E426"/>
    <mergeCell ref="F425:F426"/>
    <mergeCell ref="P425:P426"/>
    <mergeCell ref="Q425:Q426"/>
    <mergeCell ref="R425:R426"/>
    <mergeCell ref="D423:D424"/>
    <mergeCell ref="E423:E424"/>
    <mergeCell ref="F423:F424"/>
    <mergeCell ref="P423:P424"/>
    <mergeCell ref="Q423:Q424"/>
    <mergeCell ref="R423:R424"/>
    <mergeCell ref="D433:D434"/>
    <mergeCell ref="E433:E434"/>
    <mergeCell ref="F433:F434"/>
    <mergeCell ref="P433:P434"/>
    <mergeCell ref="Q433:Q434"/>
    <mergeCell ref="R433:R434"/>
    <mergeCell ref="D431:D432"/>
    <mergeCell ref="E431:E432"/>
    <mergeCell ref="F431:F432"/>
    <mergeCell ref="P431:P432"/>
    <mergeCell ref="Q431:Q432"/>
    <mergeCell ref="R431:R432"/>
    <mergeCell ref="D429:D430"/>
    <mergeCell ref="E429:E430"/>
    <mergeCell ref="F429:F430"/>
    <mergeCell ref="P429:P430"/>
    <mergeCell ref="Q429:Q430"/>
    <mergeCell ref="R429:R430"/>
    <mergeCell ref="D439:D440"/>
    <mergeCell ref="E439:E440"/>
    <mergeCell ref="F439:F440"/>
    <mergeCell ref="P439:P440"/>
    <mergeCell ref="Q439:Q440"/>
    <mergeCell ref="R439:R440"/>
    <mergeCell ref="D437:D438"/>
    <mergeCell ref="E437:E438"/>
    <mergeCell ref="F437:F438"/>
    <mergeCell ref="P437:P438"/>
    <mergeCell ref="Q437:Q438"/>
    <mergeCell ref="R437:R438"/>
    <mergeCell ref="D435:D436"/>
    <mergeCell ref="E435:E436"/>
    <mergeCell ref="F435:F436"/>
    <mergeCell ref="P435:P436"/>
    <mergeCell ref="Q435:Q436"/>
    <mergeCell ref="R435:R436"/>
    <mergeCell ref="D445:D446"/>
    <mergeCell ref="E445:E446"/>
    <mergeCell ref="F445:F446"/>
    <mergeCell ref="P445:P446"/>
    <mergeCell ref="Q445:Q446"/>
    <mergeCell ref="R445:R446"/>
    <mergeCell ref="D443:D444"/>
    <mergeCell ref="E443:E444"/>
    <mergeCell ref="F443:F444"/>
    <mergeCell ref="P443:P444"/>
    <mergeCell ref="Q443:Q444"/>
    <mergeCell ref="R443:R444"/>
    <mergeCell ref="D441:D442"/>
    <mergeCell ref="E441:E442"/>
    <mergeCell ref="F441:F442"/>
    <mergeCell ref="P441:P442"/>
    <mergeCell ref="Q441:Q442"/>
    <mergeCell ref="R441:R442"/>
    <mergeCell ref="D460:D461"/>
    <mergeCell ref="E460:E461"/>
    <mergeCell ref="F460:F461"/>
    <mergeCell ref="P460:P461"/>
    <mergeCell ref="Q460:Q461"/>
    <mergeCell ref="R460:R461"/>
    <mergeCell ref="R456:R457"/>
    <mergeCell ref="D458:D459"/>
    <mergeCell ref="E458:E459"/>
    <mergeCell ref="F458:F459"/>
    <mergeCell ref="P458:P459"/>
    <mergeCell ref="Q458:Q459"/>
    <mergeCell ref="R458:R459"/>
    <mergeCell ref="Q453:Q454"/>
    <mergeCell ref="D456:D457"/>
    <mergeCell ref="E456:E457"/>
    <mergeCell ref="F456:F457"/>
    <mergeCell ref="P456:P457"/>
    <mergeCell ref="Q456:Q457"/>
    <mergeCell ref="D466:D467"/>
    <mergeCell ref="E466:E467"/>
    <mergeCell ref="F466:F467"/>
    <mergeCell ref="P466:P467"/>
    <mergeCell ref="Q466:Q467"/>
    <mergeCell ref="R466:R467"/>
    <mergeCell ref="D464:D465"/>
    <mergeCell ref="E464:E465"/>
    <mergeCell ref="F464:F465"/>
    <mergeCell ref="P464:P465"/>
    <mergeCell ref="Q464:Q465"/>
    <mergeCell ref="R464:R465"/>
    <mergeCell ref="D462:D463"/>
    <mergeCell ref="E462:E463"/>
    <mergeCell ref="F462:F463"/>
    <mergeCell ref="P462:P463"/>
    <mergeCell ref="Q462:Q463"/>
    <mergeCell ref="R462:R463"/>
    <mergeCell ref="D472:D473"/>
    <mergeCell ref="E472:E473"/>
    <mergeCell ref="F472:F473"/>
    <mergeCell ref="P472:P473"/>
    <mergeCell ref="Q472:Q473"/>
    <mergeCell ref="R472:R473"/>
    <mergeCell ref="D470:D471"/>
    <mergeCell ref="E470:E471"/>
    <mergeCell ref="F470:F471"/>
    <mergeCell ref="P470:P471"/>
    <mergeCell ref="Q470:Q471"/>
    <mergeCell ref="R470:R471"/>
    <mergeCell ref="D468:D469"/>
    <mergeCell ref="E468:E469"/>
    <mergeCell ref="F468:F469"/>
    <mergeCell ref="P468:P469"/>
    <mergeCell ref="Q468:Q469"/>
    <mergeCell ref="R468:R469"/>
    <mergeCell ref="D478:D479"/>
    <mergeCell ref="E478:E479"/>
    <mergeCell ref="F478:F479"/>
    <mergeCell ref="P478:P479"/>
    <mergeCell ref="Q478:Q479"/>
    <mergeCell ref="R478:R479"/>
    <mergeCell ref="D476:D477"/>
    <mergeCell ref="E476:E477"/>
    <mergeCell ref="F476:F477"/>
    <mergeCell ref="P476:P477"/>
    <mergeCell ref="Q476:Q477"/>
    <mergeCell ref="R476:R477"/>
    <mergeCell ref="D474:D475"/>
    <mergeCell ref="E474:E475"/>
    <mergeCell ref="F474:F475"/>
    <mergeCell ref="P474:P475"/>
    <mergeCell ref="Q474:Q475"/>
    <mergeCell ref="R474:R475"/>
    <mergeCell ref="D484:D485"/>
    <mergeCell ref="E484:E485"/>
    <mergeCell ref="F484:F485"/>
    <mergeCell ref="P484:P485"/>
    <mergeCell ref="Q484:Q485"/>
    <mergeCell ref="R484:R485"/>
    <mergeCell ref="D482:D483"/>
    <mergeCell ref="E482:E483"/>
    <mergeCell ref="F482:F483"/>
    <mergeCell ref="P482:P483"/>
    <mergeCell ref="Q482:Q483"/>
    <mergeCell ref="R482:R483"/>
    <mergeCell ref="D480:D481"/>
    <mergeCell ref="E480:E481"/>
    <mergeCell ref="F480:F481"/>
    <mergeCell ref="P480:P481"/>
    <mergeCell ref="Q480:Q481"/>
    <mergeCell ref="R480:R481"/>
    <mergeCell ref="D490:D491"/>
    <mergeCell ref="E490:E491"/>
    <mergeCell ref="F490:F491"/>
    <mergeCell ref="P490:P491"/>
    <mergeCell ref="Q490:Q491"/>
    <mergeCell ref="R490:R491"/>
    <mergeCell ref="D488:D489"/>
    <mergeCell ref="E488:E489"/>
    <mergeCell ref="F488:F489"/>
    <mergeCell ref="P488:P489"/>
    <mergeCell ref="Q488:Q489"/>
    <mergeCell ref="R488:R489"/>
    <mergeCell ref="D486:D487"/>
    <mergeCell ref="E486:E487"/>
    <mergeCell ref="F486:F487"/>
    <mergeCell ref="P486:P487"/>
    <mergeCell ref="Q486:Q487"/>
    <mergeCell ref="R486:R487"/>
    <mergeCell ref="R507:R508"/>
    <mergeCell ref="D509:D510"/>
    <mergeCell ref="E509:E510"/>
    <mergeCell ref="F509:F510"/>
    <mergeCell ref="P509:P510"/>
    <mergeCell ref="Q509:Q510"/>
    <mergeCell ref="R509:R510"/>
    <mergeCell ref="Q504:Q505"/>
    <mergeCell ref="D507:D508"/>
    <mergeCell ref="E507:E508"/>
    <mergeCell ref="F507:F508"/>
    <mergeCell ref="P507:P508"/>
    <mergeCell ref="Q507:Q508"/>
    <mergeCell ref="D492:D493"/>
    <mergeCell ref="E492:E493"/>
    <mergeCell ref="F492:F493"/>
    <mergeCell ref="P492:P493"/>
    <mergeCell ref="Q492:Q493"/>
    <mergeCell ref="R492:R493"/>
    <mergeCell ref="D515:D516"/>
    <mergeCell ref="E515:E516"/>
    <mergeCell ref="F515:F516"/>
    <mergeCell ref="P515:P516"/>
    <mergeCell ref="Q515:Q516"/>
    <mergeCell ref="R515:R516"/>
    <mergeCell ref="D513:D514"/>
    <mergeCell ref="E513:E514"/>
    <mergeCell ref="F513:F514"/>
    <mergeCell ref="P513:P514"/>
    <mergeCell ref="Q513:Q514"/>
    <mergeCell ref="R513:R514"/>
    <mergeCell ref="D511:D512"/>
    <mergeCell ref="E511:E512"/>
    <mergeCell ref="F511:F512"/>
    <mergeCell ref="P511:P512"/>
    <mergeCell ref="Q511:Q512"/>
    <mergeCell ref="R511:R512"/>
    <mergeCell ref="D521:D522"/>
    <mergeCell ref="E521:E522"/>
    <mergeCell ref="F521:F522"/>
    <mergeCell ref="P521:P522"/>
    <mergeCell ref="Q521:Q522"/>
    <mergeCell ref="R521:R522"/>
    <mergeCell ref="D519:D520"/>
    <mergeCell ref="E519:E520"/>
    <mergeCell ref="F519:F520"/>
    <mergeCell ref="P519:P520"/>
    <mergeCell ref="Q519:Q520"/>
    <mergeCell ref="R519:R520"/>
    <mergeCell ref="D517:D518"/>
    <mergeCell ref="E517:E518"/>
    <mergeCell ref="F517:F518"/>
    <mergeCell ref="P517:P518"/>
    <mergeCell ref="Q517:Q518"/>
    <mergeCell ref="R517:R518"/>
    <mergeCell ref="D527:D528"/>
    <mergeCell ref="E527:E528"/>
    <mergeCell ref="F527:F528"/>
    <mergeCell ref="P527:P528"/>
    <mergeCell ref="Q527:Q528"/>
    <mergeCell ref="R527:R528"/>
    <mergeCell ref="D525:D526"/>
    <mergeCell ref="E525:E526"/>
    <mergeCell ref="F525:F526"/>
    <mergeCell ref="P525:P526"/>
    <mergeCell ref="Q525:Q526"/>
    <mergeCell ref="R525:R526"/>
    <mergeCell ref="D523:D524"/>
    <mergeCell ref="E523:E524"/>
    <mergeCell ref="F523:F524"/>
    <mergeCell ref="P523:P524"/>
    <mergeCell ref="Q523:Q524"/>
    <mergeCell ref="R523:R524"/>
    <mergeCell ref="D533:D534"/>
    <mergeCell ref="E533:E534"/>
    <mergeCell ref="F533:F534"/>
    <mergeCell ref="P533:P534"/>
    <mergeCell ref="Q533:Q534"/>
    <mergeCell ref="R533:R534"/>
    <mergeCell ref="D531:D532"/>
    <mergeCell ref="E531:E532"/>
    <mergeCell ref="F531:F532"/>
    <mergeCell ref="P531:P532"/>
    <mergeCell ref="Q531:Q532"/>
    <mergeCell ref="R531:R532"/>
    <mergeCell ref="D529:D530"/>
    <mergeCell ref="E529:E530"/>
    <mergeCell ref="F529:F530"/>
    <mergeCell ref="P529:P530"/>
    <mergeCell ref="Q529:Q530"/>
    <mergeCell ref="R529:R530"/>
    <mergeCell ref="D539:D540"/>
    <mergeCell ref="E539:E540"/>
    <mergeCell ref="F539:F540"/>
    <mergeCell ref="P539:P540"/>
    <mergeCell ref="Q539:Q540"/>
    <mergeCell ref="R539:R540"/>
    <mergeCell ref="D537:D538"/>
    <mergeCell ref="E537:E538"/>
    <mergeCell ref="F537:F538"/>
    <mergeCell ref="P537:P538"/>
    <mergeCell ref="Q537:Q538"/>
    <mergeCell ref="R537:R538"/>
    <mergeCell ref="D535:D536"/>
    <mergeCell ref="E535:E536"/>
    <mergeCell ref="F535:F536"/>
    <mergeCell ref="P535:P536"/>
    <mergeCell ref="Q535:Q536"/>
    <mergeCell ref="R535:R536"/>
    <mergeCell ref="D545:D546"/>
    <mergeCell ref="E545:E546"/>
    <mergeCell ref="F545:F546"/>
    <mergeCell ref="P545:P546"/>
    <mergeCell ref="Q545:Q546"/>
    <mergeCell ref="R545:R546"/>
    <mergeCell ref="D543:D544"/>
    <mergeCell ref="E543:E544"/>
    <mergeCell ref="F543:F544"/>
    <mergeCell ref="P543:P544"/>
    <mergeCell ref="Q543:Q544"/>
    <mergeCell ref="R543:R544"/>
    <mergeCell ref="D541:D542"/>
    <mergeCell ref="E541:E542"/>
    <mergeCell ref="F541:F542"/>
    <mergeCell ref="P541:P542"/>
    <mergeCell ref="Q541:Q542"/>
    <mergeCell ref="R541:R542"/>
    <mergeCell ref="D551:D552"/>
    <mergeCell ref="E551:E552"/>
    <mergeCell ref="F551:F552"/>
    <mergeCell ref="P551:P552"/>
    <mergeCell ref="Q551:Q552"/>
    <mergeCell ref="R551:R552"/>
    <mergeCell ref="D549:D550"/>
    <mergeCell ref="E549:E550"/>
    <mergeCell ref="F549:F550"/>
    <mergeCell ref="P549:P550"/>
    <mergeCell ref="Q549:Q550"/>
    <mergeCell ref="R549:R550"/>
    <mergeCell ref="D547:D548"/>
    <mergeCell ref="E547:E548"/>
    <mergeCell ref="F547:F548"/>
    <mergeCell ref="P547:P548"/>
    <mergeCell ref="Q547:Q548"/>
    <mergeCell ref="R547:R548"/>
    <mergeCell ref="D557:D558"/>
    <mergeCell ref="E557:E558"/>
    <mergeCell ref="F557:F558"/>
    <mergeCell ref="P557:P558"/>
    <mergeCell ref="Q557:Q558"/>
    <mergeCell ref="R557:R558"/>
    <mergeCell ref="D555:D556"/>
    <mergeCell ref="E555:E556"/>
    <mergeCell ref="F555:F556"/>
    <mergeCell ref="P555:P556"/>
    <mergeCell ref="Q555:Q556"/>
    <mergeCell ref="R555:R556"/>
    <mergeCell ref="D553:D554"/>
    <mergeCell ref="E553:E554"/>
    <mergeCell ref="F553:F554"/>
    <mergeCell ref="P553:P554"/>
    <mergeCell ref="Q553:Q554"/>
    <mergeCell ref="R553:R554"/>
    <mergeCell ref="D563:D564"/>
    <mergeCell ref="E563:E564"/>
    <mergeCell ref="F563:F564"/>
    <mergeCell ref="P563:P564"/>
    <mergeCell ref="Q563:Q564"/>
    <mergeCell ref="R563:R564"/>
    <mergeCell ref="D561:D562"/>
    <mergeCell ref="E561:E562"/>
    <mergeCell ref="F561:F562"/>
    <mergeCell ref="P561:P562"/>
    <mergeCell ref="Q561:Q562"/>
    <mergeCell ref="R561:R562"/>
    <mergeCell ref="D559:D560"/>
    <mergeCell ref="E559:E560"/>
    <mergeCell ref="F559:F560"/>
    <mergeCell ref="P559:P560"/>
    <mergeCell ref="Q559:Q560"/>
    <mergeCell ref="R559:R560"/>
    <mergeCell ref="D569:D570"/>
    <mergeCell ref="E569:E570"/>
    <mergeCell ref="F569:F570"/>
    <mergeCell ref="P569:P570"/>
    <mergeCell ref="Q569:Q570"/>
    <mergeCell ref="R569:R570"/>
    <mergeCell ref="D567:D568"/>
    <mergeCell ref="E567:E568"/>
    <mergeCell ref="F567:F568"/>
    <mergeCell ref="P567:P568"/>
    <mergeCell ref="Q567:Q568"/>
    <mergeCell ref="R567:R568"/>
    <mergeCell ref="D565:D566"/>
    <mergeCell ref="E565:E566"/>
    <mergeCell ref="F565:F566"/>
    <mergeCell ref="P565:P566"/>
    <mergeCell ref="Q565:Q566"/>
    <mergeCell ref="R565:R566"/>
    <mergeCell ref="D575:D576"/>
    <mergeCell ref="E575:E576"/>
    <mergeCell ref="F575:F576"/>
    <mergeCell ref="P575:P576"/>
    <mergeCell ref="Q575:Q576"/>
    <mergeCell ref="R575:R576"/>
    <mergeCell ref="D573:D574"/>
    <mergeCell ref="E573:E574"/>
    <mergeCell ref="F573:F574"/>
    <mergeCell ref="P573:P574"/>
    <mergeCell ref="Q573:Q574"/>
    <mergeCell ref="R573:R574"/>
    <mergeCell ref="D571:D572"/>
    <mergeCell ref="E571:E572"/>
    <mergeCell ref="F571:F572"/>
    <mergeCell ref="P571:P572"/>
    <mergeCell ref="Q571:Q572"/>
    <mergeCell ref="R571:R572"/>
    <mergeCell ref="D581:D582"/>
    <mergeCell ref="E581:E582"/>
    <mergeCell ref="F581:F582"/>
    <mergeCell ref="P581:P582"/>
    <mergeCell ref="Q581:Q582"/>
    <mergeCell ref="R581:R582"/>
    <mergeCell ref="D579:D580"/>
    <mergeCell ref="E579:E580"/>
    <mergeCell ref="F579:F580"/>
    <mergeCell ref="P579:P580"/>
    <mergeCell ref="Q579:Q580"/>
    <mergeCell ref="R579:R580"/>
    <mergeCell ref="D577:D578"/>
    <mergeCell ref="E577:E578"/>
    <mergeCell ref="F577:F578"/>
    <mergeCell ref="P577:P578"/>
    <mergeCell ref="Q577:Q578"/>
    <mergeCell ref="R577:R578"/>
    <mergeCell ref="D604:D605"/>
    <mergeCell ref="E604:E605"/>
    <mergeCell ref="F604:F605"/>
    <mergeCell ref="P604:P605"/>
    <mergeCell ref="Q604:Q605"/>
    <mergeCell ref="R604:R605"/>
    <mergeCell ref="R600:R601"/>
    <mergeCell ref="D602:D603"/>
    <mergeCell ref="E602:E603"/>
    <mergeCell ref="F602:F603"/>
    <mergeCell ref="P602:P603"/>
    <mergeCell ref="Q602:Q603"/>
    <mergeCell ref="R602:R603"/>
    <mergeCell ref="Q597:Q598"/>
    <mergeCell ref="D600:D601"/>
    <mergeCell ref="E600:E601"/>
    <mergeCell ref="F600:F601"/>
    <mergeCell ref="P600:P601"/>
    <mergeCell ref="Q600:Q601"/>
    <mergeCell ref="D610:D611"/>
    <mergeCell ref="E610:E611"/>
    <mergeCell ref="F610:F611"/>
    <mergeCell ref="P610:P611"/>
    <mergeCell ref="Q610:Q611"/>
    <mergeCell ref="R610:R611"/>
    <mergeCell ref="D608:D609"/>
    <mergeCell ref="E608:E609"/>
    <mergeCell ref="F608:F609"/>
    <mergeCell ref="P608:P609"/>
    <mergeCell ref="Q608:Q609"/>
    <mergeCell ref="R608:R609"/>
    <mergeCell ref="D606:D607"/>
    <mergeCell ref="E606:E607"/>
    <mergeCell ref="F606:F607"/>
    <mergeCell ref="P606:P607"/>
    <mergeCell ref="Q606:Q607"/>
    <mergeCell ref="R606:R607"/>
    <mergeCell ref="D616:D617"/>
    <mergeCell ref="E616:E617"/>
    <mergeCell ref="F616:F617"/>
    <mergeCell ref="P616:P617"/>
    <mergeCell ref="Q616:Q617"/>
    <mergeCell ref="R616:R617"/>
    <mergeCell ref="D614:D615"/>
    <mergeCell ref="E614:E615"/>
    <mergeCell ref="F614:F615"/>
    <mergeCell ref="P614:P615"/>
    <mergeCell ref="Q614:Q615"/>
    <mergeCell ref="R614:R615"/>
    <mergeCell ref="D612:D613"/>
    <mergeCell ref="E612:E613"/>
    <mergeCell ref="F612:F613"/>
    <mergeCell ref="P612:P613"/>
    <mergeCell ref="Q612:Q613"/>
    <mergeCell ref="R612:R613"/>
    <mergeCell ref="D622:D623"/>
    <mergeCell ref="E622:E623"/>
    <mergeCell ref="F622:F623"/>
    <mergeCell ref="P622:P623"/>
    <mergeCell ref="Q622:Q623"/>
    <mergeCell ref="R622:R623"/>
    <mergeCell ref="D620:D621"/>
    <mergeCell ref="E620:E621"/>
    <mergeCell ref="F620:F621"/>
    <mergeCell ref="P620:P621"/>
    <mergeCell ref="Q620:Q621"/>
    <mergeCell ref="R620:R621"/>
    <mergeCell ref="D618:D619"/>
    <mergeCell ref="E618:E619"/>
    <mergeCell ref="F618:F619"/>
    <mergeCell ref="P618:P619"/>
    <mergeCell ref="Q618:Q619"/>
    <mergeCell ref="R618:R619"/>
    <mergeCell ref="D628:D629"/>
    <mergeCell ref="E628:E629"/>
    <mergeCell ref="F628:F629"/>
    <mergeCell ref="P628:P629"/>
    <mergeCell ref="Q628:Q629"/>
    <mergeCell ref="R628:R629"/>
    <mergeCell ref="D626:D627"/>
    <mergeCell ref="E626:E627"/>
    <mergeCell ref="F626:F627"/>
    <mergeCell ref="P626:P627"/>
    <mergeCell ref="Q626:Q627"/>
    <mergeCell ref="R626:R627"/>
    <mergeCell ref="D624:D625"/>
    <mergeCell ref="E624:E625"/>
    <mergeCell ref="F624:F625"/>
    <mergeCell ref="P624:P625"/>
    <mergeCell ref="Q624:Q625"/>
    <mergeCell ref="R624:R625"/>
    <mergeCell ref="R636:R637"/>
    <mergeCell ref="D634:D635"/>
    <mergeCell ref="E634:E635"/>
    <mergeCell ref="F634:F635"/>
    <mergeCell ref="P634:P635"/>
    <mergeCell ref="Q634:Q635"/>
    <mergeCell ref="R634:R635"/>
    <mergeCell ref="D632:D633"/>
    <mergeCell ref="E632:E633"/>
    <mergeCell ref="F632:F633"/>
    <mergeCell ref="P632:P633"/>
    <mergeCell ref="Q632:Q633"/>
    <mergeCell ref="R632:R633"/>
    <mergeCell ref="D630:D631"/>
    <mergeCell ref="E630:E631"/>
    <mergeCell ref="F630:F631"/>
    <mergeCell ref="P630:P631"/>
    <mergeCell ref="Q630:Q631"/>
    <mergeCell ref="R630:R631"/>
    <mergeCell ref="Q673:Q674"/>
    <mergeCell ref="P676:P677"/>
    <mergeCell ref="Q676:Q677"/>
    <mergeCell ref="P678:P679"/>
    <mergeCell ref="Q678:Q679"/>
    <mergeCell ref="P680:P681"/>
    <mergeCell ref="Q680:Q681"/>
    <mergeCell ref="Q648:Q649"/>
    <mergeCell ref="P651:P652"/>
    <mergeCell ref="Q651:Q652"/>
    <mergeCell ref="P653:P654"/>
    <mergeCell ref="Q653:Q654"/>
    <mergeCell ref="P655:P656"/>
    <mergeCell ref="Q655:Q656"/>
    <mergeCell ref="D636:D637"/>
    <mergeCell ref="E636:E637"/>
    <mergeCell ref="F636:F637"/>
    <mergeCell ref="P636:P637"/>
    <mergeCell ref="Q636:Q637"/>
    <mergeCell ref="P696:P697"/>
    <mergeCell ref="Q696:Q697"/>
    <mergeCell ref="P698:P699"/>
    <mergeCell ref="Q698:Q699"/>
    <mergeCell ref="P700:P701"/>
    <mergeCell ref="Q700:Q701"/>
    <mergeCell ref="P690:P691"/>
    <mergeCell ref="Q690:Q691"/>
    <mergeCell ref="P692:P693"/>
    <mergeCell ref="Q692:Q693"/>
    <mergeCell ref="P694:P695"/>
    <mergeCell ref="Q694:Q695"/>
    <mergeCell ref="P682:P683"/>
    <mergeCell ref="Q682:Q683"/>
    <mergeCell ref="P686:P687"/>
    <mergeCell ref="Q686:Q687"/>
    <mergeCell ref="P688:P689"/>
    <mergeCell ref="Q688:Q689"/>
    <mergeCell ref="P739:P740"/>
    <mergeCell ref="Q739:Q740"/>
    <mergeCell ref="P741:P742"/>
    <mergeCell ref="Q741:Q742"/>
    <mergeCell ref="P743:P744"/>
    <mergeCell ref="Q743:Q744"/>
    <mergeCell ref="P733:P734"/>
    <mergeCell ref="Q733:Q734"/>
    <mergeCell ref="P735:P736"/>
    <mergeCell ref="Q735:Q736"/>
    <mergeCell ref="P737:P738"/>
    <mergeCell ref="Q737:Q738"/>
    <mergeCell ref="P727:P728"/>
    <mergeCell ref="Q727:Q728"/>
    <mergeCell ref="P729:P730"/>
    <mergeCell ref="Q729:Q730"/>
    <mergeCell ref="P731:P732"/>
    <mergeCell ref="Q731:Q732"/>
    <mergeCell ref="P763:P764"/>
    <mergeCell ref="Q763:Q764"/>
    <mergeCell ref="P757:P758"/>
    <mergeCell ref="Q757:Q758"/>
    <mergeCell ref="P759:P760"/>
    <mergeCell ref="Q759:Q760"/>
    <mergeCell ref="P761:P762"/>
    <mergeCell ref="Q761:Q762"/>
    <mergeCell ref="P751:P752"/>
    <mergeCell ref="Q751:Q752"/>
    <mergeCell ref="P753:P754"/>
    <mergeCell ref="Q753:Q754"/>
    <mergeCell ref="P755:P756"/>
    <mergeCell ref="Q755:Q756"/>
    <mergeCell ref="P745:P746"/>
    <mergeCell ref="Q745:Q746"/>
    <mergeCell ref="P747:P748"/>
    <mergeCell ref="Q747:Q748"/>
    <mergeCell ref="P749:P750"/>
    <mergeCell ref="Q749:Q750"/>
  </mergeCells>
  <phoneticPr fontId="1" type="noConversion"/>
  <printOptions horizontalCentered="1" verticalCentered="1"/>
  <pageMargins left="0.74803149606299213" right="0.35433070866141736" top="0.59055118110236227" bottom="0.59055118110236227" header="0.51181102362204722" footer="0.47244094488188981"/>
  <pageSetup paperSize="9" scale="52" fitToHeight="0" orientation="landscape" r:id="rId1"/>
  <rowBreaks count="10" manualBreakCount="10">
    <brk id="80" max="17" man="1"/>
    <brk id="125" max="17" man="1"/>
    <brk id="163" max="17" man="1"/>
    <brk id="201" max="17" man="1"/>
    <brk id="278" max="17" man="1"/>
    <brk id="323" max="17" man="1"/>
    <brk id="400" max="17" man="1"/>
    <brk id="430" max="17" man="1"/>
    <brk id="546" max="17" man="1"/>
    <brk id="623" max="17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FB82A-8D1C-4CA9-9F41-CBC417CFD2B7}">
  <sheetPr>
    <tabColor theme="7"/>
    <pageSetUpPr fitToPage="1"/>
  </sheetPr>
  <dimension ref="A1:AU292"/>
  <sheetViews>
    <sheetView showZeros="0" view="pageBreakPreview" zoomScale="40" zoomScaleNormal="100" zoomScaleSheetLayoutView="40" workbookViewId="0">
      <selection activeCell="BD41" sqref="BD41"/>
    </sheetView>
  </sheetViews>
  <sheetFormatPr defaultRowHeight="16.5"/>
  <cols>
    <col min="1" max="2" width="30.625" style="330" customWidth="1"/>
    <col min="3" max="3" width="4.625" style="330" customWidth="1"/>
    <col min="4" max="4" width="8.625" style="330" customWidth="1"/>
    <col min="5" max="11" width="13.625" style="330" customWidth="1"/>
    <col min="12" max="12" width="12.625" style="330" customWidth="1"/>
    <col min="13" max="42" width="2.625" style="330" hidden="1" customWidth="1"/>
    <col min="43" max="43" width="10.625" style="330" hidden="1" customWidth="1"/>
    <col min="44" max="45" width="1.625" style="330" hidden="1" customWidth="1"/>
    <col min="46" max="46" width="24.625" style="330" hidden="1" customWidth="1"/>
    <col min="47" max="47" width="10.625" style="330" hidden="1" customWidth="1"/>
    <col min="48" max="16384" width="9" style="330"/>
  </cols>
  <sheetData>
    <row r="1" spans="1:47" ht="30" customHeight="1">
      <c r="A1" s="704" t="s">
        <v>1058</v>
      </c>
      <c r="B1" s="704"/>
      <c r="C1" s="704"/>
      <c r="D1" s="704"/>
      <c r="E1" s="704"/>
      <c r="F1" s="704"/>
      <c r="G1" s="704"/>
      <c r="H1" s="704"/>
      <c r="I1" s="704"/>
      <c r="J1" s="704"/>
      <c r="K1" s="704"/>
      <c r="L1" s="704"/>
    </row>
    <row r="2" spans="1:47" ht="30" customHeight="1">
      <c r="A2" s="705" t="s">
        <v>1059</v>
      </c>
      <c r="B2" s="705" t="s">
        <v>1060</v>
      </c>
      <c r="C2" s="705" t="s">
        <v>246</v>
      </c>
      <c r="D2" s="705" t="s">
        <v>247</v>
      </c>
      <c r="E2" s="705" t="s">
        <v>1061</v>
      </c>
      <c r="F2" s="705"/>
      <c r="G2" s="705" t="s">
        <v>1062</v>
      </c>
      <c r="H2" s="705"/>
      <c r="I2" s="705" t="s">
        <v>1063</v>
      </c>
      <c r="J2" s="705"/>
      <c r="K2" s="332"/>
      <c r="L2" s="705" t="s">
        <v>1064</v>
      </c>
      <c r="M2" s="704" t="s">
        <v>1065</v>
      </c>
      <c r="N2" s="704" t="s">
        <v>1066</v>
      </c>
      <c r="O2" s="704" t="s">
        <v>1067</v>
      </c>
      <c r="P2" s="704" t="s">
        <v>1068</v>
      </c>
      <c r="Q2" s="704" t="s">
        <v>1069</v>
      </c>
      <c r="R2" s="704" t="s">
        <v>1070</v>
      </c>
      <c r="S2" s="704" t="s">
        <v>1071</v>
      </c>
      <c r="T2" s="704" t="s">
        <v>1072</v>
      </c>
      <c r="U2" s="704" t="s">
        <v>1073</v>
      </c>
      <c r="V2" s="704" t="s">
        <v>1074</v>
      </c>
      <c r="W2" s="704" t="s">
        <v>1075</v>
      </c>
      <c r="X2" s="704" t="s">
        <v>1076</v>
      </c>
      <c r="Y2" s="704" t="s">
        <v>1077</v>
      </c>
      <c r="Z2" s="704" t="s">
        <v>1078</v>
      </c>
      <c r="AA2" s="704" t="s">
        <v>1079</v>
      </c>
      <c r="AB2" s="704" t="s">
        <v>1080</v>
      </c>
      <c r="AC2" s="704" t="s">
        <v>1081</v>
      </c>
      <c r="AD2" s="704" t="s">
        <v>1082</v>
      </c>
      <c r="AE2" s="704" t="s">
        <v>1083</v>
      </c>
      <c r="AF2" s="704" t="s">
        <v>1084</v>
      </c>
      <c r="AG2" s="704" t="s">
        <v>1085</v>
      </c>
      <c r="AH2" s="704" t="s">
        <v>1086</v>
      </c>
      <c r="AI2" s="704" t="s">
        <v>1087</v>
      </c>
      <c r="AJ2" s="704" t="s">
        <v>1088</v>
      </c>
      <c r="AK2" s="704" t="s">
        <v>1089</v>
      </c>
      <c r="AL2" s="704" t="s">
        <v>1090</v>
      </c>
      <c r="AM2" s="704" t="s">
        <v>1091</v>
      </c>
      <c r="AN2" s="704" t="s">
        <v>1092</v>
      </c>
      <c r="AO2" s="704" t="s">
        <v>1093</v>
      </c>
      <c r="AP2" s="704" t="s">
        <v>1094</v>
      </c>
      <c r="AQ2" s="704" t="s">
        <v>1095</v>
      </c>
      <c r="AR2" s="704" t="s">
        <v>1096</v>
      </c>
      <c r="AS2" s="704" t="s">
        <v>1097</v>
      </c>
      <c r="AT2" s="704" t="s">
        <v>1098</v>
      </c>
      <c r="AU2" s="704" t="s">
        <v>1099</v>
      </c>
    </row>
    <row r="3" spans="1:47" ht="30" customHeight="1">
      <c r="A3" s="705"/>
      <c r="B3" s="705"/>
      <c r="C3" s="705"/>
      <c r="D3" s="705"/>
      <c r="E3" s="331" t="s">
        <v>250</v>
      </c>
      <c r="F3" s="331" t="s">
        <v>252</v>
      </c>
      <c r="G3" s="331" t="s">
        <v>250</v>
      </c>
      <c r="H3" s="331" t="s">
        <v>252</v>
      </c>
      <c r="I3" s="331" t="s">
        <v>250</v>
      </c>
      <c r="J3" s="331" t="s">
        <v>252</v>
      </c>
      <c r="K3" s="331" t="s">
        <v>252</v>
      </c>
      <c r="L3" s="705"/>
      <c r="M3" s="704"/>
      <c r="N3" s="704"/>
      <c r="O3" s="704"/>
      <c r="P3" s="704"/>
      <c r="Q3" s="704"/>
      <c r="R3" s="704"/>
      <c r="S3" s="704"/>
      <c r="T3" s="704"/>
      <c r="U3" s="704"/>
      <c r="V3" s="704"/>
      <c r="W3" s="704"/>
      <c r="X3" s="704"/>
      <c r="Y3" s="704"/>
      <c r="Z3" s="704"/>
      <c r="AA3" s="704"/>
      <c r="AB3" s="704"/>
      <c r="AC3" s="704"/>
      <c r="AD3" s="704"/>
      <c r="AE3" s="704"/>
      <c r="AF3" s="704"/>
      <c r="AG3" s="704"/>
      <c r="AH3" s="704"/>
      <c r="AI3" s="704"/>
      <c r="AJ3" s="704"/>
      <c r="AK3" s="704"/>
      <c r="AL3" s="704"/>
      <c r="AM3" s="704"/>
      <c r="AN3" s="704"/>
      <c r="AO3" s="704"/>
      <c r="AP3" s="704"/>
      <c r="AQ3" s="704"/>
      <c r="AR3" s="704"/>
      <c r="AS3" s="704"/>
      <c r="AT3" s="704"/>
      <c r="AU3" s="704"/>
    </row>
    <row r="4" spans="1:47" ht="30" customHeight="1">
      <c r="A4" s="333" t="s">
        <v>1100</v>
      </c>
      <c r="B4" s="333" t="s">
        <v>378</v>
      </c>
      <c r="C4" s="334"/>
      <c r="D4" s="334"/>
      <c r="E4" s="334"/>
      <c r="F4" s="334"/>
      <c r="G4" s="334"/>
      <c r="H4" s="334"/>
      <c r="I4" s="334"/>
      <c r="J4" s="334"/>
      <c r="K4" s="334"/>
      <c r="L4" s="334"/>
      <c r="P4" s="329" t="s">
        <v>1101</v>
      </c>
    </row>
    <row r="5" spans="1:47" ht="30" customHeight="1">
      <c r="A5" s="333" t="s">
        <v>358</v>
      </c>
      <c r="B5" s="333" t="s">
        <v>359</v>
      </c>
      <c r="C5" s="333" t="s">
        <v>255</v>
      </c>
      <c r="D5" s="334">
        <v>10</v>
      </c>
      <c r="E5" s="335">
        <f>TRUNC(신규_일위대가목록!E4,0)</f>
        <v>7912</v>
      </c>
      <c r="F5" s="335">
        <f t="shared" ref="F5:F37" si="0">TRUNC(E5*D5, 0)</f>
        <v>79120</v>
      </c>
      <c r="G5" s="335">
        <f>TRUNC(신규_일위대가목록!F4,0)</f>
        <v>129719</v>
      </c>
      <c r="H5" s="335">
        <f t="shared" ref="H5:H37" si="1">TRUNC(G5*D5, 0)</f>
        <v>1297190</v>
      </c>
      <c r="I5" s="335">
        <f>TRUNC(신규_일위대가목록!G4,0)</f>
        <v>0</v>
      </c>
      <c r="J5" s="335">
        <f t="shared" ref="J5:J37" si="2">TRUNC(I5*D5, 0)</f>
        <v>0</v>
      </c>
      <c r="K5" s="335">
        <f t="shared" ref="K5:K37" si="3">TRUNC(F5+H5+J5, 0)</f>
        <v>1376310</v>
      </c>
      <c r="L5" s="333" t="s">
        <v>1102</v>
      </c>
      <c r="M5" s="329" t="s">
        <v>1103</v>
      </c>
      <c r="N5" s="329" t="s">
        <v>378</v>
      </c>
      <c r="O5" s="329" t="s">
        <v>378</v>
      </c>
      <c r="P5" s="329" t="s">
        <v>1101</v>
      </c>
      <c r="Q5" s="329" t="s">
        <v>1104</v>
      </c>
      <c r="R5" s="329" t="s">
        <v>1105</v>
      </c>
      <c r="S5" s="329" t="s">
        <v>1105</v>
      </c>
      <c r="AQ5" s="329" t="s">
        <v>378</v>
      </c>
      <c r="AR5" s="329" t="s">
        <v>378</v>
      </c>
      <c r="AT5" s="329" t="s">
        <v>1106</v>
      </c>
      <c r="AU5" s="330">
        <v>5876</v>
      </c>
    </row>
    <row r="6" spans="1:47" ht="30" customHeight="1">
      <c r="A6" s="333" t="s">
        <v>360</v>
      </c>
      <c r="B6" s="333" t="s">
        <v>361</v>
      </c>
      <c r="C6" s="333" t="s">
        <v>300</v>
      </c>
      <c r="D6" s="334">
        <v>1</v>
      </c>
      <c r="E6" s="335">
        <f>TRUNC(신규_일위대가목록!E5,0)</f>
        <v>35300</v>
      </c>
      <c r="F6" s="335">
        <f t="shared" si="0"/>
        <v>35300</v>
      </c>
      <c r="G6" s="335">
        <f>TRUNC(신규_일위대가목록!F5,0)</f>
        <v>56399</v>
      </c>
      <c r="H6" s="335">
        <f t="shared" si="1"/>
        <v>56399</v>
      </c>
      <c r="I6" s="335">
        <f>TRUNC(신규_일위대가목록!G5,0)</f>
        <v>0</v>
      </c>
      <c r="J6" s="335">
        <f t="shared" si="2"/>
        <v>0</v>
      </c>
      <c r="K6" s="335">
        <f t="shared" si="3"/>
        <v>91699</v>
      </c>
      <c r="L6" s="333" t="s">
        <v>1107</v>
      </c>
      <c r="M6" s="329" t="s">
        <v>1108</v>
      </c>
      <c r="N6" s="329" t="s">
        <v>378</v>
      </c>
      <c r="O6" s="329" t="s">
        <v>378</v>
      </c>
      <c r="P6" s="329" t="s">
        <v>1101</v>
      </c>
      <c r="Q6" s="329" t="s">
        <v>1104</v>
      </c>
      <c r="R6" s="329" t="s">
        <v>1105</v>
      </c>
      <c r="S6" s="329" t="s">
        <v>1105</v>
      </c>
      <c r="AQ6" s="329" t="s">
        <v>378</v>
      </c>
      <c r="AR6" s="329" t="s">
        <v>378</v>
      </c>
      <c r="AT6" s="329" t="s">
        <v>1109</v>
      </c>
      <c r="AU6" s="330">
        <v>5944</v>
      </c>
    </row>
    <row r="7" spans="1:47" ht="30" customHeight="1">
      <c r="A7" s="333" t="s">
        <v>298</v>
      </c>
      <c r="B7" s="333" t="s">
        <v>299</v>
      </c>
      <c r="C7" s="333" t="s">
        <v>300</v>
      </c>
      <c r="D7" s="334">
        <v>72</v>
      </c>
      <c r="E7" s="335">
        <f>TRUNC(신규_일위대가목록!E6,0)</f>
        <v>964</v>
      </c>
      <c r="F7" s="335">
        <f t="shared" si="0"/>
        <v>69408</v>
      </c>
      <c r="G7" s="335">
        <f>TRUNC(신규_일위대가목록!F6,0)</f>
        <v>2114</v>
      </c>
      <c r="H7" s="335">
        <f t="shared" si="1"/>
        <v>152208</v>
      </c>
      <c r="I7" s="335">
        <f>TRUNC(신규_일위대가목록!G6,0)</f>
        <v>0</v>
      </c>
      <c r="J7" s="335">
        <f t="shared" si="2"/>
        <v>0</v>
      </c>
      <c r="K7" s="335">
        <f t="shared" si="3"/>
        <v>221616</v>
      </c>
      <c r="L7" s="333" t="s">
        <v>1110</v>
      </c>
      <c r="M7" s="329" t="s">
        <v>1111</v>
      </c>
      <c r="N7" s="329" t="s">
        <v>378</v>
      </c>
      <c r="O7" s="329" t="s">
        <v>378</v>
      </c>
      <c r="P7" s="329" t="s">
        <v>1101</v>
      </c>
      <c r="Q7" s="329" t="s">
        <v>1104</v>
      </c>
      <c r="R7" s="329" t="s">
        <v>1105</v>
      </c>
      <c r="S7" s="329" t="s">
        <v>1105</v>
      </c>
      <c r="AQ7" s="329" t="s">
        <v>378</v>
      </c>
      <c r="AR7" s="329" t="s">
        <v>378</v>
      </c>
      <c r="AT7" s="329" t="s">
        <v>1112</v>
      </c>
      <c r="AU7" s="330">
        <v>6029</v>
      </c>
    </row>
    <row r="8" spans="1:47" s="340" customFormat="1" ht="30" customHeight="1">
      <c r="A8" s="336" t="s">
        <v>298</v>
      </c>
      <c r="B8" s="336" t="s">
        <v>301</v>
      </c>
      <c r="C8" s="336" t="s">
        <v>300</v>
      </c>
      <c r="D8" s="337">
        <v>47</v>
      </c>
      <c r="E8" s="338">
        <f>TRUNC(신규_일위대가목록!E7,0)</f>
        <v>849</v>
      </c>
      <c r="F8" s="338">
        <f t="shared" si="0"/>
        <v>39903</v>
      </c>
      <c r="G8" s="338">
        <f>TRUNC(신규_일위대가목록!F7,0)</f>
        <v>2330</v>
      </c>
      <c r="H8" s="338">
        <f t="shared" si="1"/>
        <v>109510</v>
      </c>
      <c r="I8" s="338">
        <f>TRUNC(신규_일위대가목록!G7,0)</f>
        <v>0</v>
      </c>
      <c r="J8" s="338">
        <f t="shared" si="2"/>
        <v>0</v>
      </c>
      <c r="K8" s="338">
        <f t="shared" si="3"/>
        <v>149413</v>
      </c>
      <c r="L8" s="336" t="s">
        <v>691</v>
      </c>
      <c r="M8" s="339" t="s">
        <v>1113</v>
      </c>
      <c r="N8" s="339" t="s">
        <v>378</v>
      </c>
      <c r="O8" s="339" t="s">
        <v>378</v>
      </c>
      <c r="P8" s="339" t="s">
        <v>1101</v>
      </c>
      <c r="Q8" s="339" t="s">
        <v>1104</v>
      </c>
      <c r="R8" s="339" t="s">
        <v>1105</v>
      </c>
      <c r="S8" s="339" t="s">
        <v>1105</v>
      </c>
      <c r="AQ8" s="339" t="s">
        <v>378</v>
      </c>
      <c r="AR8" s="339" t="s">
        <v>378</v>
      </c>
      <c r="AT8" s="339" t="s">
        <v>1114</v>
      </c>
      <c r="AU8" s="340">
        <v>6030</v>
      </c>
    </row>
    <row r="9" spans="1:47" ht="30" customHeight="1">
      <c r="A9" s="333" t="s">
        <v>298</v>
      </c>
      <c r="B9" s="333" t="s">
        <v>362</v>
      </c>
      <c r="C9" s="333" t="s">
        <v>300</v>
      </c>
      <c r="D9" s="334">
        <v>165</v>
      </c>
      <c r="E9" s="335">
        <f>TRUNC(신규_일위대가목록!E8,0)</f>
        <v>1963</v>
      </c>
      <c r="F9" s="335">
        <f t="shared" si="0"/>
        <v>323895</v>
      </c>
      <c r="G9" s="335">
        <f>TRUNC(신규_일위대가목록!F8,0)</f>
        <v>2467</v>
      </c>
      <c r="H9" s="335">
        <f t="shared" si="1"/>
        <v>407055</v>
      </c>
      <c r="I9" s="335">
        <f>TRUNC(신규_일위대가목록!G8,0)</f>
        <v>0</v>
      </c>
      <c r="J9" s="335">
        <f t="shared" si="2"/>
        <v>0</v>
      </c>
      <c r="K9" s="335">
        <f t="shared" si="3"/>
        <v>730950</v>
      </c>
      <c r="L9" s="333" t="s">
        <v>1115</v>
      </c>
      <c r="M9" s="329" t="s">
        <v>1116</v>
      </c>
      <c r="N9" s="329" t="s">
        <v>378</v>
      </c>
      <c r="O9" s="329" t="s">
        <v>378</v>
      </c>
      <c r="P9" s="329" t="s">
        <v>1101</v>
      </c>
      <c r="Q9" s="329" t="s">
        <v>1104</v>
      </c>
      <c r="R9" s="329" t="s">
        <v>1105</v>
      </c>
      <c r="S9" s="329" t="s">
        <v>1105</v>
      </c>
      <c r="AQ9" s="329" t="s">
        <v>378</v>
      </c>
      <c r="AR9" s="329" t="s">
        <v>378</v>
      </c>
      <c r="AT9" s="329" t="s">
        <v>1117</v>
      </c>
      <c r="AU9" s="330">
        <v>5956</v>
      </c>
    </row>
    <row r="10" spans="1:47" ht="30" customHeight="1">
      <c r="A10" s="333" t="s">
        <v>298</v>
      </c>
      <c r="B10" s="333" t="s">
        <v>363</v>
      </c>
      <c r="C10" s="333" t="s">
        <v>300</v>
      </c>
      <c r="D10" s="334">
        <v>228</v>
      </c>
      <c r="E10" s="335">
        <f>TRUNC(신규_일위대가목록!E9,0)</f>
        <v>3829</v>
      </c>
      <c r="F10" s="335">
        <f t="shared" si="0"/>
        <v>873012</v>
      </c>
      <c r="G10" s="335">
        <f>TRUNC(신규_일위대가목록!F9,0)</f>
        <v>2467</v>
      </c>
      <c r="H10" s="335">
        <f t="shared" si="1"/>
        <v>562476</v>
      </c>
      <c r="I10" s="335">
        <f>TRUNC(신규_일위대가목록!G9,0)</f>
        <v>0</v>
      </c>
      <c r="J10" s="335">
        <f t="shared" si="2"/>
        <v>0</v>
      </c>
      <c r="K10" s="335">
        <f t="shared" si="3"/>
        <v>1435488</v>
      </c>
      <c r="L10" s="333" t="s">
        <v>1118</v>
      </c>
      <c r="M10" s="329" t="s">
        <v>1119</v>
      </c>
      <c r="N10" s="329" t="s">
        <v>378</v>
      </c>
      <c r="O10" s="329" t="s">
        <v>378</v>
      </c>
      <c r="P10" s="329" t="s">
        <v>1101</v>
      </c>
      <c r="Q10" s="329" t="s">
        <v>1104</v>
      </c>
      <c r="R10" s="329" t="s">
        <v>1105</v>
      </c>
      <c r="S10" s="329" t="s">
        <v>1105</v>
      </c>
      <c r="AQ10" s="329" t="s">
        <v>378</v>
      </c>
      <c r="AR10" s="329" t="s">
        <v>378</v>
      </c>
      <c r="AT10" s="329" t="s">
        <v>1120</v>
      </c>
      <c r="AU10" s="330">
        <v>5957</v>
      </c>
    </row>
    <row r="11" spans="1:47" ht="30" customHeight="1">
      <c r="A11" s="333" t="s">
        <v>298</v>
      </c>
      <c r="B11" s="333" t="s">
        <v>364</v>
      </c>
      <c r="C11" s="333" t="s">
        <v>300</v>
      </c>
      <c r="D11" s="334">
        <v>19.5</v>
      </c>
      <c r="E11" s="335">
        <f>TRUNC(신규_일위대가목록!E10,0)</f>
        <v>25923</v>
      </c>
      <c r="F11" s="335">
        <f t="shared" si="0"/>
        <v>505498</v>
      </c>
      <c r="G11" s="335">
        <f>TRUNC(신규_일위대가목록!F10,0)</f>
        <v>4934</v>
      </c>
      <c r="H11" s="335">
        <f t="shared" si="1"/>
        <v>96213</v>
      </c>
      <c r="I11" s="335">
        <f>TRUNC(신규_일위대가목록!G10,0)</f>
        <v>0</v>
      </c>
      <c r="J11" s="335">
        <f t="shared" si="2"/>
        <v>0</v>
      </c>
      <c r="K11" s="335">
        <f t="shared" si="3"/>
        <v>601711</v>
      </c>
      <c r="L11" s="333" t="s">
        <v>1121</v>
      </c>
      <c r="M11" s="329" t="s">
        <v>1122</v>
      </c>
      <c r="N11" s="329" t="s">
        <v>378</v>
      </c>
      <c r="O11" s="329" t="s">
        <v>378</v>
      </c>
      <c r="P11" s="329" t="s">
        <v>1101</v>
      </c>
      <c r="Q11" s="329" t="s">
        <v>1104</v>
      </c>
      <c r="R11" s="329" t="s">
        <v>1105</v>
      </c>
      <c r="S11" s="329" t="s">
        <v>1105</v>
      </c>
      <c r="AQ11" s="329" t="s">
        <v>378</v>
      </c>
      <c r="AR11" s="329" t="s">
        <v>378</v>
      </c>
      <c r="AT11" s="329" t="s">
        <v>1123</v>
      </c>
      <c r="AU11" s="330">
        <v>5958</v>
      </c>
    </row>
    <row r="12" spans="1:47" ht="30" customHeight="1">
      <c r="A12" s="333" t="s">
        <v>365</v>
      </c>
      <c r="B12" s="333" t="s">
        <v>366</v>
      </c>
      <c r="C12" s="333" t="s">
        <v>300</v>
      </c>
      <c r="D12" s="334">
        <v>912</v>
      </c>
      <c r="E12" s="335">
        <f>TRUNC(신규_일위대가목록!E11,0)</f>
        <v>7564</v>
      </c>
      <c r="F12" s="335">
        <f t="shared" si="0"/>
        <v>6898368</v>
      </c>
      <c r="G12" s="335">
        <f>TRUNC(신규_일위대가목록!F11,0)</f>
        <v>2445</v>
      </c>
      <c r="H12" s="335">
        <f t="shared" si="1"/>
        <v>2229840</v>
      </c>
      <c r="I12" s="335">
        <f>TRUNC(신규_일위대가목록!G11,0)</f>
        <v>0</v>
      </c>
      <c r="J12" s="335">
        <f t="shared" si="2"/>
        <v>0</v>
      </c>
      <c r="K12" s="335">
        <f t="shared" si="3"/>
        <v>9128208</v>
      </c>
      <c r="L12" s="333" t="s">
        <v>1124</v>
      </c>
      <c r="M12" s="329" t="s">
        <v>1125</v>
      </c>
      <c r="N12" s="329" t="s">
        <v>378</v>
      </c>
      <c r="O12" s="329" t="s">
        <v>378</v>
      </c>
      <c r="P12" s="329" t="s">
        <v>1101</v>
      </c>
      <c r="Q12" s="329" t="s">
        <v>1104</v>
      </c>
      <c r="R12" s="329" t="s">
        <v>1105</v>
      </c>
      <c r="S12" s="329" t="s">
        <v>1105</v>
      </c>
      <c r="AQ12" s="329" t="s">
        <v>378</v>
      </c>
      <c r="AR12" s="329" t="s">
        <v>378</v>
      </c>
      <c r="AT12" s="329" t="s">
        <v>1126</v>
      </c>
      <c r="AU12" s="330">
        <v>5959</v>
      </c>
    </row>
    <row r="13" spans="1:47" ht="30" customHeight="1">
      <c r="A13" s="333" t="s">
        <v>365</v>
      </c>
      <c r="B13" s="333" t="s">
        <v>367</v>
      </c>
      <c r="C13" s="333" t="s">
        <v>300</v>
      </c>
      <c r="D13" s="334">
        <v>212</v>
      </c>
      <c r="E13" s="335">
        <f>TRUNC(신규_일위대가목록!E12,0)</f>
        <v>28240</v>
      </c>
      <c r="F13" s="335">
        <f t="shared" si="0"/>
        <v>5986880</v>
      </c>
      <c r="G13" s="335">
        <f>TRUNC(신규_일위대가목록!F12,0)</f>
        <v>5128</v>
      </c>
      <c r="H13" s="335">
        <f t="shared" si="1"/>
        <v>1087136</v>
      </c>
      <c r="I13" s="335">
        <f>TRUNC(신규_일위대가목록!G12,0)</f>
        <v>0</v>
      </c>
      <c r="J13" s="335">
        <f t="shared" si="2"/>
        <v>0</v>
      </c>
      <c r="K13" s="335">
        <f t="shared" si="3"/>
        <v>7074016</v>
      </c>
      <c r="L13" s="333" t="s">
        <v>1127</v>
      </c>
      <c r="M13" s="329" t="s">
        <v>1128</v>
      </c>
      <c r="N13" s="329" t="s">
        <v>378</v>
      </c>
      <c r="O13" s="329" t="s">
        <v>378</v>
      </c>
      <c r="P13" s="329" t="s">
        <v>1101</v>
      </c>
      <c r="Q13" s="329" t="s">
        <v>1104</v>
      </c>
      <c r="R13" s="329" t="s">
        <v>1105</v>
      </c>
      <c r="S13" s="329" t="s">
        <v>1105</v>
      </c>
      <c r="AQ13" s="329" t="s">
        <v>378</v>
      </c>
      <c r="AR13" s="329" t="s">
        <v>378</v>
      </c>
      <c r="AT13" s="329" t="s">
        <v>1129</v>
      </c>
      <c r="AU13" s="330">
        <v>5870</v>
      </c>
    </row>
    <row r="14" spans="1:47" ht="30" customHeight="1">
      <c r="A14" s="333" t="s">
        <v>302</v>
      </c>
      <c r="B14" s="333" t="s">
        <v>303</v>
      </c>
      <c r="C14" s="333" t="s">
        <v>300</v>
      </c>
      <c r="D14" s="334">
        <v>72</v>
      </c>
      <c r="E14" s="335">
        <f>TRUNC(신규_일위대가목록!E13,0)</f>
        <v>1677</v>
      </c>
      <c r="F14" s="335">
        <f t="shared" si="0"/>
        <v>120744</v>
      </c>
      <c r="G14" s="335">
        <f>TRUNC(신규_일위대가목록!F13,0)</f>
        <v>4086</v>
      </c>
      <c r="H14" s="335">
        <f t="shared" si="1"/>
        <v>294192</v>
      </c>
      <c r="I14" s="335">
        <f>TRUNC(신규_일위대가목록!G13,0)</f>
        <v>0</v>
      </c>
      <c r="J14" s="335">
        <f t="shared" si="2"/>
        <v>0</v>
      </c>
      <c r="K14" s="335">
        <f t="shared" si="3"/>
        <v>414936</v>
      </c>
      <c r="L14" s="333" t="s">
        <v>692</v>
      </c>
      <c r="M14" s="329" t="s">
        <v>1130</v>
      </c>
      <c r="N14" s="329" t="s">
        <v>378</v>
      </c>
      <c r="O14" s="329" t="s">
        <v>378</v>
      </c>
      <c r="P14" s="329" t="s">
        <v>1101</v>
      </c>
      <c r="Q14" s="329" t="s">
        <v>1104</v>
      </c>
      <c r="R14" s="329" t="s">
        <v>1105</v>
      </c>
      <c r="S14" s="329" t="s">
        <v>1105</v>
      </c>
      <c r="AQ14" s="329" t="s">
        <v>378</v>
      </c>
      <c r="AR14" s="329" t="s">
        <v>378</v>
      </c>
      <c r="AT14" s="329" t="s">
        <v>1131</v>
      </c>
      <c r="AU14" s="330">
        <v>6031</v>
      </c>
    </row>
    <row r="15" spans="1:47" s="340" customFormat="1" ht="30" customHeight="1">
      <c r="A15" s="336" t="s">
        <v>302</v>
      </c>
      <c r="B15" s="336" t="s">
        <v>368</v>
      </c>
      <c r="C15" s="336" t="s">
        <v>300</v>
      </c>
      <c r="D15" s="337">
        <v>47</v>
      </c>
      <c r="E15" s="338">
        <f>TRUNC(신규_일위대가목록!E14,0)</f>
        <v>4046</v>
      </c>
      <c r="F15" s="338">
        <f t="shared" si="0"/>
        <v>190162</v>
      </c>
      <c r="G15" s="338">
        <f>TRUNC(신규_일위대가목록!F14,0)</f>
        <v>9238</v>
      </c>
      <c r="H15" s="338">
        <f t="shared" si="1"/>
        <v>434186</v>
      </c>
      <c r="I15" s="338">
        <f>TRUNC(신규_일위대가목록!G14,0)</f>
        <v>0</v>
      </c>
      <c r="J15" s="338">
        <f t="shared" si="2"/>
        <v>0</v>
      </c>
      <c r="K15" s="338">
        <f t="shared" si="3"/>
        <v>624348</v>
      </c>
      <c r="L15" s="336" t="s">
        <v>1132</v>
      </c>
      <c r="M15" s="339" t="s">
        <v>1133</v>
      </c>
      <c r="N15" s="339" t="s">
        <v>378</v>
      </c>
      <c r="O15" s="339" t="s">
        <v>378</v>
      </c>
      <c r="P15" s="339" t="s">
        <v>1101</v>
      </c>
      <c r="Q15" s="339" t="s">
        <v>1104</v>
      </c>
      <c r="R15" s="339" t="s">
        <v>1105</v>
      </c>
      <c r="S15" s="339" t="s">
        <v>1105</v>
      </c>
      <c r="AQ15" s="339" t="s">
        <v>378</v>
      </c>
      <c r="AR15" s="339" t="s">
        <v>378</v>
      </c>
      <c r="AT15" s="339" t="s">
        <v>1134</v>
      </c>
      <c r="AU15" s="340">
        <v>6032</v>
      </c>
    </row>
    <row r="16" spans="1:47" ht="30" customHeight="1">
      <c r="A16" s="333" t="s">
        <v>302</v>
      </c>
      <c r="B16" s="333" t="s">
        <v>369</v>
      </c>
      <c r="C16" s="333" t="s">
        <v>300</v>
      </c>
      <c r="D16" s="334">
        <v>165</v>
      </c>
      <c r="E16" s="335">
        <f>TRUNC(신규_일위대가목록!E15,0)</f>
        <v>10984</v>
      </c>
      <c r="F16" s="335">
        <f t="shared" si="0"/>
        <v>1812360</v>
      </c>
      <c r="G16" s="335">
        <f>TRUNC(신규_일위대가목록!F15,0)</f>
        <v>15272</v>
      </c>
      <c r="H16" s="335">
        <f t="shared" si="1"/>
        <v>2519880</v>
      </c>
      <c r="I16" s="335">
        <f>TRUNC(신규_일위대가목록!G15,0)</f>
        <v>0</v>
      </c>
      <c r="J16" s="335">
        <f t="shared" si="2"/>
        <v>0</v>
      </c>
      <c r="K16" s="335">
        <f t="shared" si="3"/>
        <v>4332240</v>
      </c>
      <c r="L16" s="333" t="s">
        <v>1135</v>
      </c>
      <c r="M16" s="329" t="s">
        <v>1136</v>
      </c>
      <c r="N16" s="329" t="s">
        <v>378</v>
      </c>
      <c r="O16" s="329" t="s">
        <v>378</v>
      </c>
      <c r="P16" s="329" t="s">
        <v>1101</v>
      </c>
      <c r="Q16" s="329" t="s">
        <v>1104</v>
      </c>
      <c r="R16" s="329" t="s">
        <v>1105</v>
      </c>
      <c r="S16" s="329" t="s">
        <v>1105</v>
      </c>
      <c r="AQ16" s="329" t="s">
        <v>378</v>
      </c>
      <c r="AR16" s="329" t="s">
        <v>378</v>
      </c>
      <c r="AT16" s="329" t="s">
        <v>1137</v>
      </c>
      <c r="AU16" s="330">
        <v>5961</v>
      </c>
    </row>
    <row r="17" spans="1:47" ht="30" customHeight="1">
      <c r="A17" s="333" t="s">
        <v>307</v>
      </c>
      <c r="B17" s="333" t="s">
        <v>308</v>
      </c>
      <c r="C17" s="333" t="s">
        <v>255</v>
      </c>
      <c r="D17" s="334">
        <v>252.5</v>
      </c>
      <c r="E17" s="335">
        <f>TRUNC(신규_일위대가목록!E16,0)</f>
        <v>270</v>
      </c>
      <c r="F17" s="335">
        <f t="shared" si="0"/>
        <v>68175</v>
      </c>
      <c r="G17" s="335">
        <f>TRUNC(신규_일위대가목록!F16,0)</f>
        <v>266</v>
      </c>
      <c r="H17" s="335">
        <f t="shared" si="1"/>
        <v>67165</v>
      </c>
      <c r="I17" s="335">
        <f>TRUNC(신규_일위대가목록!G16,0)</f>
        <v>0</v>
      </c>
      <c r="J17" s="335">
        <f t="shared" si="2"/>
        <v>0</v>
      </c>
      <c r="K17" s="335">
        <f t="shared" si="3"/>
        <v>135340</v>
      </c>
      <c r="L17" s="333" t="s">
        <v>695</v>
      </c>
      <c r="M17" s="329" t="s">
        <v>1138</v>
      </c>
      <c r="N17" s="329" t="s">
        <v>378</v>
      </c>
      <c r="O17" s="329" t="s">
        <v>378</v>
      </c>
      <c r="P17" s="329" t="s">
        <v>1101</v>
      </c>
      <c r="Q17" s="329" t="s">
        <v>1104</v>
      </c>
      <c r="R17" s="329" t="s">
        <v>1105</v>
      </c>
      <c r="S17" s="329" t="s">
        <v>1105</v>
      </c>
      <c r="AQ17" s="329" t="s">
        <v>378</v>
      </c>
      <c r="AR17" s="329" t="s">
        <v>378</v>
      </c>
      <c r="AT17" s="329" t="s">
        <v>1139</v>
      </c>
      <c r="AU17" s="330">
        <v>5776</v>
      </c>
    </row>
    <row r="18" spans="1:47" ht="30" customHeight="1">
      <c r="A18" s="333" t="s">
        <v>370</v>
      </c>
      <c r="B18" s="333" t="s">
        <v>371</v>
      </c>
      <c r="C18" s="333" t="s">
        <v>265</v>
      </c>
      <c r="D18" s="334">
        <v>20</v>
      </c>
      <c r="E18" s="335">
        <f>TRUNC(신규_일위대가목록!E17,0)</f>
        <v>824</v>
      </c>
      <c r="F18" s="335">
        <f t="shared" si="0"/>
        <v>16480</v>
      </c>
      <c r="G18" s="335">
        <f>TRUNC(신규_일위대가목록!F17,0)</f>
        <v>20687</v>
      </c>
      <c r="H18" s="335">
        <f t="shared" si="1"/>
        <v>413740</v>
      </c>
      <c r="I18" s="335">
        <f>TRUNC(신규_일위대가목록!G17,0)</f>
        <v>0</v>
      </c>
      <c r="J18" s="335">
        <f t="shared" si="2"/>
        <v>0</v>
      </c>
      <c r="K18" s="335">
        <f t="shared" si="3"/>
        <v>430220</v>
      </c>
      <c r="L18" s="333" t="s">
        <v>1140</v>
      </c>
      <c r="M18" s="329" t="s">
        <v>1141</v>
      </c>
      <c r="N18" s="329" t="s">
        <v>378</v>
      </c>
      <c r="O18" s="329" t="s">
        <v>378</v>
      </c>
      <c r="P18" s="329" t="s">
        <v>1101</v>
      </c>
      <c r="Q18" s="329" t="s">
        <v>1104</v>
      </c>
      <c r="R18" s="329" t="s">
        <v>1105</v>
      </c>
      <c r="S18" s="329" t="s">
        <v>1105</v>
      </c>
      <c r="AQ18" s="329" t="s">
        <v>378</v>
      </c>
      <c r="AR18" s="329" t="s">
        <v>378</v>
      </c>
      <c r="AT18" s="329" t="s">
        <v>1142</v>
      </c>
      <c r="AU18" s="330">
        <v>5963</v>
      </c>
    </row>
    <row r="19" spans="1:47" ht="30" customHeight="1">
      <c r="A19" s="333" t="s">
        <v>370</v>
      </c>
      <c r="B19" s="333" t="s">
        <v>372</v>
      </c>
      <c r="C19" s="333" t="s">
        <v>265</v>
      </c>
      <c r="D19" s="334">
        <v>6</v>
      </c>
      <c r="E19" s="335">
        <f>TRUNC(신규_일위대가목록!E18,0)</f>
        <v>760</v>
      </c>
      <c r="F19" s="335">
        <f t="shared" si="0"/>
        <v>4560</v>
      </c>
      <c r="G19" s="335">
        <f>TRUNC(신규_일위대가목록!F18,0)</f>
        <v>15323</v>
      </c>
      <c r="H19" s="335">
        <f t="shared" si="1"/>
        <v>91938</v>
      </c>
      <c r="I19" s="335">
        <f>TRUNC(신규_일위대가목록!G18,0)</f>
        <v>0</v>
      </c>
      <c r="J19" s="335">
        <f t="shared" si="2"/>
        <v>0</v>
      </c>
      <c r="K19" s="335">
        <f t="shared" si="3"/>
        <v>96498</v>
      </c>
      <c r="L19" s="333" t="s">
        <v>1143</v>
      </c>
      <c r="M19" s="329" t="s">
        <v>1144</v>
      </c>
      <c r="N19" s="329" t="s">
        <v>378</v>
      </c>
      <c r="O19" s="329" t="s">
        <v>378</v>
      </c>
      <c r="P19" s="329" t="s">
        <v>1101</v>
      </c>
      <c r="Q19" s="329" t="s">
        <v>1104</v>
      </c>
      <c r="R19" s="329" t="s">
        <v>1105</v>
      </c>
      <c r="S19" s="329" t="s">
        <v>1105</v>
      </c>
      <c r="AQ19" s="329" t="s">
        <v>378</v>
      </c>
      <c r="AR19" s="329" t="s">
        <v>378</v>
      </c>
      <c r="AT19" s="329" t="s">
        <v>1145</v>
      </c>
      <c r="AU19" s="330">
        <v>5964</v>
      </c>
    </row>
    <row r="20" spans="1:47" ht="30" customHeight="1">
      <c r="A20" s="333" t="s">
        <v>370</v>
      </c>
      <c r="B20" s="333" t="s">
        <v>373</v>
      </c>
      <c r="C20" s="333" t="s">
        <v>265</v>
      </c>
      <c r="D20" s="334">
        <v>24</v>
      </c>
      <c r="E20" s="335">
        <f>TRUNC(신규_일위대가목록!E19,0)</f>
        <v>1530</v>
      </c>
      <c r="F20" s="335">
        <f t="shared" si="0"/>
        <v>36720</v>
      </c>
      <c r="G20" s="335">
        <f>TRUNC(신규_일위대가목록!F19,0)</f>
        <v>30647</v>
      </c>
      <c r="H20" s="335">
        <f t="shared" si="1"/>
        <v>735528</v>
      </c>
      <c r="I20" s="335">
        <f>TRUNC(신규_일위대가목록!G19,0)</f>
        <v>0</v>
      </c>
      <c r="J20" s="335">
        <f t="shared" si="2"/>
        <v>0</v>
      </c>
      <c r="K20" s="335">
        <f t="shared" si="3"/>
        <v>772248</v>
      </c>
      <c r="L20" s="333" t="s">
        <v>1146</v>
      </c>
      <c r="M20" s="329" t="s">
        <v>1147</v>
      </c>
      <c r="N20" s="329" t="s">
        <v>378</v>
      </c>
      <c r="O20" s="329" t="s">
        <v>378</v>
      </c>
      <c r="P20" s="329" t="s">
        <v>1101</v>
      </c>
      <c r="Q20" s="329" t="s">
        <v>1104</v>
      </c>
      <c r="R20" s="329" t="s">
        <v>1105</v>
      </c>
      <c r="S20" s="329" t="s">
        <v>1105</v>
      </c>
      <c r="AQ20" s="329" t="s">
        <v>378</v>
      </c>
      <c r="AR20" s="329" t="s">
        <v>378</v>
      </c>
      <c r="AT20" s="329" t="s">
        <v>1148</v>
      </c>
      <c r="AU20" s="330">
        <v>5965</v>
      </c>
    </row>
    <row r="21" spans="1:47" ht="30" customHeight="1">
      <c r="A21" s="333" t="s">
        <v>370</v>
      </c>
      <c r="B21" s="333" t="s">
        <v>374</v>
      </c>
      <c r="C21" s="333" t="s">
        <v>265</v>
      </c>
      <c r="D21" s="334">
        <v>27</v>
      </c>
      <c r="E21" s="335">
        <f>TRUNC(신규_일위대가목록!E20,0)</f>
        <v>6574</v>
      </c>
      <c r="F21" s="335">
        <f t="shared" si="0"/>
        <v>177498</v>
      </c>
      <c r="G21" s="335">
        <f>TRUNC(신규_일위대가목록!F20,0)</f>
        <v>52100</v>
      </c>
      <c r="H21" s="335">
        <f t="shared" si="1"/>
        <v>1406700</v>
      </c>
      <c r="I21" s="335">
        <f>TRUNC(신규_일위대가목록!G20,0)</f>
        <v>0</v>
      </c>
      <c r="J21" s="335">
        <f t="shared" si="2"/>
        <v>0</v>
      </c>
      <c r="K21" s="335">
        <f t="shared" si="3"/>
        <v>1584198</v>
      </c>
      <c r="L21" s="333" t="s">
        <v>1149</v>
      </c>
      <c r="M21" s="329" t="s">
        <v>1150</v>
      </c>
      <c r="N21" s="329" t="s">
        <v>378</v>
      </c>
      <c r="O21" s="329" t="s">
        <v>378</v>
      </c>
      <c r="P21" s="329" t="s">
        <v>1101</v>
      </c>
      <c r="Q21" s="329" t="s">
        <v>1104</v>
      </c>
      <c r="R21" s="329" t="s">
        <v>1105</v>
      </c>
      <c r="S21" s="329" t="s">
        <v>1105</v>
      </c>
      <c r="AQ21" s="329" t="s">
        <v>378</v>
      </c>
      <c r="AR21" s="329" t="s">
        <v>378</v>
      </c>
      <c r="AT21" s="329" t="s">
        <v>1151</v>
      </c>
      <c r="AU21" s="330">
        <v>5871</v>
      </c>
    </row>
    <row r="22" spans="1:47" ht="30" customHeight="1">
      <c r="A22" s="333" t="s">
        <v>375</v>
      </c>
      <c r="B22" s="333" t="s">
        <v>376</v>
      </c>
      <c r="C22" s="333" t="s">
        <v>262</v>
      </c>
      <c r="D22" s="334">
        <v>3</v>
      </c>
      <c r="E22" s="335">
        <f>TRUNC(신규_일위대가목록!E21,0)</f>
        <v>750497</v>
      </c>
      <c r="F22" s="335">
        <f t="shared" si="0"/>
        <v>2251491</v>
      </c>
      <c r="G22" s="335">
        <f>TRUNC(신규_일위대가목록!F21,0)</f>
        <v>436033</v>
      </c>
      <c r="H22" s="335">
        <f t="shared" si="1"/>
        <v>1308099</v>
      </c>
      <c r="I22" s="335">
        <f>TRUNC(신규_일위대가목록!G21,0)</f>
        <v>11085</v>
      </c>
      <c r="J22" s="335">
        <f t="shared" si="2"/>
        <v>33255</v>
      </c>
      <c r="K22" s="335">
        <f t="shared" si="3"/>
        <v>3592845</v>
      </c>
      <c r="L22" s="333" t="s">
        <v>1152</v>
      </c>
      <c r="M22" s="329" t="s">
        <v>1153</v>
      </c>
      <c r="N22" s="329" t="s">
        <v>378</v>
      </c>
      <c r="O22" s="329" t="s">
        <v>378</v>
      </c>
      <c r="P22" s="329" t="s">
        <v>1101</v>
      </c>
      <c r="Q22" s="329" t="s">
        <v>1104</v>
      </c>
      <c r="R22" s="329" t="s">
        <v>1105</v>
      </c>
      <c r="S22" s="329" t="s">
        <v>1105</v>
      </c>
      <c r="AQ22" s="329" t="s">
        <v>378</v>
      </c>
      <c r="AR22" s="329" t="s">
        <v>378</v>
      </c>
      <c r="AT22" s="329" t="s">
        <v>1154</v>
      </c>
      <c r="AU22" s="330">
        <v>5966</v>
      </c>
    </row>
    <row r="23" spans="1:47" s="340" customFormat="1" ht="30" customHeight="1">
      <c r="A23" s="336" t="s">
        <v>377</v>
      </c>
      <c r="B23" s="336" t="s">
        <v>378</v>
      </c>
      <c r="C23" s="336" t="s">
        <v>280</v>
      </c>
      <c r="D23" s="337">
        <v>1</v>
      </c>
      <c r="E23" s="338">
        <f>TRUNC(신규_일위대가목록!E22,0)</f>
        <v>52854</v>
      </c>
      <c r="F23" s="338">
        <f t="shared" si="0"/>
        <v>52854</v>
      </c>
      <c r="G23" s="338">
        <f>TRUNC(신규_일위대가목록!F22,0)</f>
        <v>126539</v>
      </c>
      <c r="H23" s="338">
        <f t="shared" si="1"/>
        <v>126539</v>
      </c>
      <c r="I23" s="338">
        <f>TRUNC(신규_일위대가목록!G22,0)</f>
        <v>2838</v>
      </c>
      <c r="J23" s="338">
        <f t="shared" si="2"/>
        <v>2838</v>
      </c>
      <c r="K23" s="338">
        <f t="shared" si="3"/>
        <v>182231</v>
      </c>
      <c r="L23" s="336" t="s">
        <v>1155</v>
      </c>
      <c r="M23" s="339" t="s">
        <v>1156</v>
      </c>
      <c r="N23" s="339" t="s">
        <v>378</v>
      </c>
      <c r="O23" s="339" t="s">
        <v>378</v>
      </c>
      <c r="P23" s="339" t="s">
        <v>1101</v>
      </c>
      <c r="Q23" s="339" t="s">
        <v>1104</v>
      </c>
      <c r="R23" s="339" t="s">
        <v>1105</v>
      </c>
      <c r="S23" s="339" t="s">
        <v>1105</v>
      </c>
      <c r="AQ23" s="339" t="s">
        <v>378</v>
      </c>
      <c r="AR23" s="339" t="s">
        <v>378</v>
      </c>
      <c r="AT23" s="339" t="s">
        <v>1157</v>
      </c>
      <c r="AU23" s="340">
        <v>5781</v>
      </c>
    </row>
    <row r="24" spans="1:47" ht="30" customHeight="1">
      <c r="A24" s="336" t="s">
        <v>1158</v>
      </c>
      <c r="B24" s="336" t="s">
        <v>309</v>
      </c>
      <c r="C24" s="336" t="s">
        <v>255</v>
      </c>
      <c r="D24" s="337">
        <v>70</v>
      </c>
      <c r="E24" s="338">
        <f>TRUNC(신규_일위대가목록!E23,0)</f>
        <v>487</v>
      </c>
      <c r="F24" s="338">
        <f t="shared" si="0"/>
        <v>34090</v>
      </c>
      <c r="G24" s="338">
        <f>TRUNC(신규_일위대가목록!F23,0)</f>
        <v>6535</v>
      </c>
      <c r="H24" s="338">
        <f t="shared" si="1"/>
        <v>457450</v>
      </c>
      <c r="I24" s="338">
        <f>TRUNC(신규_일위대가목록!G23,0)</f>
        <v>0</v>
      </c>
      <c r="J24" s="338">
        <f t="shared" si="2"/>
        <v>0</v>
      </c>
      <c r="K24" s="338">
        <f t="shared" si="3"/>
        <v>491540</v>
      </c>
      <c r="L24" s="336" t="s">
        <v>696</v>
      </c>
      <c r="M24" s="329" t="s">
        <v>1159</v>
      </c>
      <c r="N24" s="329" t="s">
        <v>378</v>
      </c>
      <c r="O24" s="329" t="s">
        <v>378</v>
      </c>
      <c r="P24" s="329" t="s">
        <v>1101</v>
      </c>
      <c r="Q24" s="329" t="s">
        <v>1104</v>
      </c>
      <c r="R24" s="329" t="s">
        <v>1105</v>
      </c>
      <c r="S24" s="329" t="s">
        <v>1105</v>
      </c>
      <c r="AQ24" s="329" t="s">
        <v>378</v>
      </c>
      <c r="AR24" s="329" t="s">
        <v>378</v>
      </c>
      <c r="AT24" s="329" t="s">
        <v>1160</v>
      </c>
      <c r="AU24" s="330">
        <v>6033</v>
      </c>
    </row>
    <row r="25" spans="1:47" s="340" customFormat="1" ht="30" customHeight="1">
      <c r="A25" s="336" t="s">
        <v>310</v>
      </c>
      <c r="B25" s="336" t="s">
        <v>311</v>
      </c>
      <c r="C25" s="336" t="s">
        <v>255</v>
      </c>
      <c r="D25" s="337">
        <v>45</v>
      </c>
      <c r="E25" s="338">
        <f>TRUNC(신규_일위대가목록!E24,0)</f>
        <v>638</v>
      </c>
      <c r="F25" s="338">
        <f t="shared" si="0"/>
        <v>28710</v>
      </c>
      <c r="G25" s="338">
        <f>TRUNC(신규_일위대가목록!F24,0)</f>
        <v>7996</v>
      </c>
      <c r="H25" s="338">
        <f t="shared" si="1"/>
        <v>359820</v>
      </c>
      <c r="I25" s="338">
        <f>TRUNC(신규_일위대가목록!G24,0)</f>
        <v>0</v>
      </c>
      <c r="J25" s="338">
        <f t="shared" si="2"/>
        <v>0</v>
      </c>
      <c r="K25" s="338">
        <f t="shared" si="3"/>
        <v>388530</v>
      </c>
      <c r="L25" s="336" t="s">
        <v>697</v>
      </c>
      <c r="M25" s="339" t="s">
        <v>1161</v>
      </c>
      <c r="N25" s="339" t="s">
        <v>378</v>
      </c>
      <c r="O25" s="339" t="s">
        <v>378</v>
      </c>
      <c r="P25" s="339" t="s">
        <v>1101</v>
      </c>
      <c r="Q25" s="339" t="s">
        <v>1104</v>
      </c>
      <c r="R25" s="339" t="s">
        <v>1105</v>
      </c>
      <c r="S25" s="339" t="s">
        <v>1105</v>
      </c>
      <c r="AQ25" s="339" t="s">
        <v>378</v>
      </c>
      <c r="AR25" s="339" t="s">
        <v>378</v>
      </c>
      <c r="AT25" s="339" t="s">
        <v>1162</v>
      </c>
      <c r="AU25" s="340">
        <v>5872</v>
      </c>
    </row>
    <row r="26" spans="1:47" ht="30" customHeight="1">
      <c r="A26" s="333" t="s">
        <v>310</v>
      </c>
      <c r="B26" s="333" t="s">
        <v>379</v>
      </c>
      <c r="C26" s="333" t="s">
        <v>255</v>
      </c>
      <c r="D26" s="334">
        <v>172.5</v>
      </c>
      <c r="E26" s="335">
        <f>TRUNC(신규_일위대가목록!E25,0)</f>
        <v>927</v>
      </c>
      <c r="F26" s="335">
        <f t="shared" si="0"/>
        <v>159907</v>
      </c>
      <c r="G26" s="335">
        <f>TRUNC(신규_일위대가목록!F25,0)</f>
        <v>4965</v>
      </c>
      <c r="H26" s="335">
        <f t="shared" si="1"/>
        <v>856462</v>
      </c>
      <c r="I26" s="335">
        <f>TRUNC(신규_일위대가목록!G25,0)</f>
        <v>0</v>
      </c>
      <c r="J26" s="335">
        <f t="shared" si="2"/>
        <v>0</v>
      </c>
      <c r="K26" s="335">
        <f t="shared" si="3"/>
        <v>1016369</v>
      </c>
      <c r="L26" s="333" t="s">
        <v>1163</v>
      </c>
      <c r="M26" s="329" t="s">
        <v>1164</v>
      </c>
      <c r="N26" s="329" t="s">
        <v>378</v>
      </c>
      <c r="O26" s="329" t="s">
        <v>378</v>
      </c>
      <c r="P26" s="329" t="s">
        <v>1101</v>
      </c>
      <c r="Q26" s="329" t="s">
        <v>1104</v>
      </c>
      <c r="R26" s="329" t="s">
        <v>1105</v>
      </c>
      <c r="S26" s="329" t="s">
        <v>1105</v>
      </c>
      <c r="AQ26" s="329" t="s">
        <v>378</v>
      </c>
      <c r="AR26" s="329" t="s">
        <v>378</v>
      </c>
      <c r="AT26" s="329" t="s">
        <v>1165</v>
      </c>
      <c r="AU26" s="330">
        <v>5967</v>
      </c>
    </row>
    <row r="27" spans="1:47" ht="30" customHeight="1">
      <c r="A27" s="333" t="s">
        <v>310</v>
      </c>
      <c r="B27" s="333" t="s">
        <v>380</v>
      </c>
      <c r="C27" s="333" t="s">
        <v>255</v>
      </c>
      <c r="D27" s="334">
        <v>220</v>
      </c>
      <c r="E27" s="335">
        <f>TRUNC(신규_일위대가목록!E26,0)</f>
        <v>1117</v>
      </c>
      <c r="F27" s="335">
        <f t="shared" si="0"/>
        <v>245740</v>
      </c>
      <c r="G27" s="335">
        <f>TRUNC(신규_일위대가목록!F26,0)</f>
        <v>6225</v>
      </c>
      <c r="H27" s="335">
        <f t="shared" si="1"/>
        <v>1369500</v>
      </c>
      <c r="I27" s="335">
        <f>TRUNC(신규_일위대가목록!G26,0)</f>
        <v>0</v>
      </c>
      <c r="J27" s="335">
        <f t="shared" si="2"/>
        <v>0</v>
      </c>
      <c r="K27" s="335">
        <f t="shared" si="3"/>
        <v>1615240</v>
      </c>
      <c r="L27" s="333" t="s">
        <v>1166</v>
      </c>
      <c r="M27" s="329" t="s">
        <v>1167</v>
      </c>
      <c r="N27" s="329" t="s">
        <v>378</v>
      </c>
      <c r="O27" s="329" t="s">
        <v>378</v>
      </c>
      <c r="P27" s="329" t="s">
        <v>1101</v>
      </c>
      <c r="Q27" s="329" t="s">
        <v>1104</v>
      </c>
      <c r="R27" s="329" t="s">
        <v>1105</v>
      </c>
      <c r="S27" s="329" t="s">
        <v>1105</v>
      </c>
      <c r="AQ27" s="329" t="s">
        <v>378</v>
      </c>
      <c r="AR27" s="329" t="s">
        <v>378</v>
      </c>
      <c r="AT27" s="329" t="s">
        <v>1168</v>
      </c>
      <c r="AU27" s="330">
        <v>5968</v>
      </c>
    </row>
    <row r="28" spans="1:47" ht="30" customHeight="1">
      <c r="A28" s="333" t="s">
        <v>310</v>
      </c>
      <c r="B28" s="333" t="s">
        <v>381</v>
      </c>
      <c r="C28" s="333" t="s">
        <v>255</v>
      </c>
      <c r="D28" s="334">
        <v>45</v>
      </c>
      <c r="E28" s="335">
        <f>TRUNC(신규_일위대가목록!E27,0)</f>
        <v>2389</v>
      </c>
      <c r="F28" s="335">
        <f t="shared" si="0"/>
        <v>107505</v>
      </c>
      <c r="G28" s="335">
        <f>TRUNC(신규_일위대가목록!F27,0)</f>
        <v>9227</v>
      </c>
      <c r="H28" s="335">
        <f t="shared" si="1"/>
        <v>415215</v>
      </c>
      <c r="I28" s="335">
        <f>TRUNC(신규_일위대가목록!G27,0)</f>
        <v>0</v>
      </c>
      <c r="J28" s="335">
        <f t="shared" si="2"/>
        <v>0</v>
      </c>
      <c r="K28" s="335">
        <f t="shared" si="3"/>
        <v>522720</v>
      </c>
      <c r="L28" s="333" t="s">
        <v>1169</v>
      </c>
      <c r="M28" s="329" t="s">
        <v>1170</v>
      </c>
      <c r="N28" s="329" t="s">
        <v>378</v>
      </c>
      <c r="O28" s="329" t="s">
        <v>378</v>
      </c>
      <c r="P28" s="329" t="s">
        <v>1101</v>
      </c>
      <c r="Q28" s="329" t="s">
        <v>1104</v>
      </c>
      <c r="R28" s="329" t="s">
        <v>1105</v>
      </c>
      <c r="S28" s="329" t="s">
        <v>1105</v>
      </c>
      <c r="AQ28" s="329" t="s">
        <v>378</v>
      </c>
      <c r="AR28" s="329" t="s">
        <v>378</v>
      </c>
      <c r="AT28" s="329" t="s">
        <v>1171</v>
      </c>
      <c r="AU28" s="330">
        <v>5873</v>
      </c>
    </row>
    <row r="29" spans="1:47" ht="30" customHeight="1">
      <c r="A29" s="333" t="s">
        <v>323</v>
      </c>
      <c r="B29" s="333" t="s">
        <v>324</v>
      </c>
      <c r="C29" s="333" t="s">
        <v>212</v>
      </c>
      <c r="D29" s="334">
        <v>1</v>
      </c>
      <c r="E29" s="335">
        <f>TRUNC(신규_일위대가목록!E28,0)</f>
        <v>72386</v>
      </c>
      <c r="F29" s="335">
        <f t="shared" si="0"/>
        <v>72386</v>
      </c>
      <c r="G29" s="335">
        <f>TRUNC(신규_일위대가목록!F28,0)</f>
        <v>105831</v>
      </c>
      <c r="H29" s="335">
        <f t="shared" si="1"/>
        <v>105831</v>
      </c>
      <c r="I29" s="335">
        <f>TRUNC(신규_일위대가목록!G28,0)</f>
        <v>891</v>
      </c>
      <c r="J29" s="335">
        <f t="shared" si="2"/>
        <v>891</v>
      </c>
      <c r="K29" s="335">
        <f t="shared" si="3"/>
        <v>179108</v>
      </c>
      <c r="L29" s="333" t="s">
        <v>704</v>
      </c>
      <c r="M29" s="329" t="s">
        <v>1172</v>
      </c>
      <c r="N29" s="329" t="s">
        <v>378</v>
      </c>
      <c r="O29" s="329" t="s">
        <v>378</v>
      </c>
      <c r="P29" s="329" t="s">
        <v>1101</v>
      </c>
      <c r="Q29" s="329" t="s">
        <v>1104</v>
      </c>
      <c r="R29" s="329" t="s">
        <v>1105</v>
      </c>
      <c r="S29" s="329" t="s">
        <v>1105</v>
      </c>
      <c r="AQ29" s="329" t="s">
        <v>378</v>
      </c>
      <c r="AR29" s="329" t="s">
        <v>378</v>
      </c>
      <c r="AT29" s="329" t="s">
        <v>1173</v>
      </c>
      <c r="AU29" s="330">
        <v>5969</v>
      </c>
    </row>
    <row r="30" spans="1:47" ht="30" customHeight="1">
      <c r="A30" s="333" t="s">
        <v>382</v>
      </c>
      <c r="B30" s="333" t="s">
        <v>378</v>
      </c>
      <c r="C30" s="333" t="s">
        <v>321</v>
      </c>
      <c r="D30" s="334">
        <v>1</v>
      </c>
      <c r="E30" s="335">
        <f>TRUNC(신규_일위대가목록!E29,0)</f>
        <v>6697</v>
      </c>
      <c r="F30" s="335">
        <f t="shared" si="0"/>
        <v>6697</v>
      </c>
      <c r="G30" s="335">
        <f>TRUNC(신규_일위대가목록!F29,0)</f>
        <v>223248</v>
      </c>
      <c r="H30" s="335">
        <f t="shared" si="1"/>
        <v>223248</v>
      </c>
      <c r="I30" s="335">
        <f>TRUNC(신규_일위대가목록!G29,0)</f>
        <v>0</v>
      </c>
      <c r="J30" s="335">
        <f t="shared" si="2"/>
        <v>0</v>
      </c>
      <c r="K30" s="335">
        <f t="shared" si="3"/>
        <v>229945</v>
      </c>
      <c r="L30" s="333" t="s">
        <v>1174</v>
      </c>
      <c r="M30" s="329" t="s">
        <v>1175</v>
      </c>
      <c r="N30" s="329" t="s">
        <v>378</v>
      </c>
      <c r="O30" s="329" t="s">
        <v>378</v>
      </c>
      <c r="P30" s="329" t="s">
        <v>1101</v>
      </c>
      <c r="Q30" s="329" t="s">
        <v>1104</v>
      </c>
      <c r="R30" s="329" t="s">
        <v>1105</v>
      </c>
      <c r="S30" s="329" t="s">
        <v>1105</v>
      </c>
      <c r="AQ30" s="329" t="s">
        <v>378</v>
      </c>
      <c r="AR30" s="329" t="s">
        <v>378</v>
      </c>
      <c r="AT30" s="329" t="s">
        <v>1176</v>
      </c>
      <c r="AU30" s="330">
        <v>5865</v>
      </c>
    </row>
    <row r="31" spans="1:47" ht="30" customHeight="1">
      <c r="A31" s="333" t="s">
        <v>383</v>
      </c>
      <c r="B31" s="333" t="s">
        <v>384</v>
      </c>
      <c r="C31" s="333" t="s">
        <v>321</v>
      </c>
      <c r="D31" s="334">
        <v>1</v>
      </c>
      <c r="E31" s="335">
        <f>TRUNC(신규_일위대가목록!E30,0)</f>
        <v>8671</v>
      </c>
      <c r="F31" s="335">
        <f t="shared" si="0"/>
        <v>8671</v>
      </c>
      <c r="G31" s="335">
        <f>TRUNC(신규_일위대가목록!F30,0)</f>
        <v>289048</v>
      </c>
      <c r="H31" s="335">
        <f t="shared" si="1"/>
        <v>289048</v>
      </c>
      <c r="I31" s="335">
        <f>TRUNC(신규_일위대가목록!G30,0)</f>
        <v>0</v>
      </c>
      <c r="J31" s="335">
        <f t="shared" si="2"/>
        <v>0</v>
      </c>
      <c r="K31" s="335">
        <f t="shared" si="3"/>
        <v>297719</v>
      </c>
      <c r="L31" s="333" t="s">
        <v>1177</v>
      </c>
      <c r="M31" s="329" t="s">
        <v>1178</v>
      </c>
      <c r="N31" s="329" t="s">
        <v>378</v>
      </c>
      <c r="O31" s="329" t="s">
        <v>378</v>
      </c>
      <c r="P31" s="329" t="s">
        <v>1101</v>
      </c>
      <c r="Q31" s="329" t="s">
        <v>1104</v>
      </c>
      <c r="R31" s="329" t="s">
        <v>1105</v>
      </c>
      <c r="S31" s="329" t="s">
        <v>1105</v>
      </c>
      <c r="AQ31" s="329" t="s">
        <v>378</v>
      </c>
      <c r="AR31" s="329" t="s">
        <v>378</v>
      </c>
      <c r="AT31" s="329" t="s">
        <v>1179</v>
      </c>
      <c r="AU31" s="330">
        <v>5970</v>
      </c>
    </row>
    <row r="32" spans="1:47" ht="30" customHeight="1">
      <c r="A32" s="333" t="s">
        <v>385</v>
      </c>
      <c r="B32" s="333" t="s">
        <v>386</v>
      </c>
      <c r="C32" s="333" t="s">
        <v>321</v>
      </c>
      <c r="D32" s="334">
        <v>1</v>
      </c>
      <c r="E32" s="335">
        <f>TRUNC(신규_일위대가목록!E31,0)</f>
        <v>3105702</v>
      </c>
      <c r="F32" s="335">
        <f t="shared" si="0"/>
        <v>3105702</v>
      </c>
      <c r="G32" s="335">
        <f>TRUNC(신규_일위대가목록!F31,0)</f>
        <v>223248</v>
      </c>
      <c r="H32" s="335">
        <f t="shared" si="1"/>
        <v>223248</v>
      </c>
      <c r="I32" s="335">
        <f>TRUNC(신규_일위대가목록!G31,0)</f>
        <v>0</v>
      </c>
      <c r="J32" s="335">
        <f t="shared" si="2"/>
        <v>0</v>
      </c>
      <c r="K32" s="335">
        <f t="shared" si="3"/>
        <v>3328950</v>
      </c>
      <c r="L32" s="333" t="s">
        <v>1180</v>
      </c>
      <c r="M32" s="329" t="s">
        <v>1181</v>
      </c>
      <c r="N32" s="329" t="s">
        <v>378</v>
      </c>
      <c r="O32" s="329" t="s">
        <v>378</v>
      </c>
      <c r="P32" s="329" t="s">
        <v>1101</v>
      </c>
      <c r="Q32" s="329" t="s">
        <v>1104</v>
      </c>
      <c r="R32" s="329" t="s">
        <v>1105</v>
      </c>
      <c r="S32" s="329" t="s">
        <v>1105</v>
      </c>
      <c r="AQ32" s="329" t="s">
        <v>378</v>
      </c>
      <c r="AR32" s="329" t="s">
        <v>378</v>
      </c>
      <c r="AT32" s="329" t="s">
        <v>1182</v>
      </c>
      <c r="AU32" s="330">
        <v>6037</v>
      </c>
    </row>
    <row r="33" spans="1:47" ht="30" customHeight="1">
      <c r="A33" s="333" t="s">
        <v>387</v>
      </c>
      <c r="B33" s="333" t="s">
        <v>320</v>
      </c>
      <c r="C33" s="333" t="s">
        <v>321</v>
      </c>
      <c r="D33" s="334">
        <v>1</v>
      </c>
      <c r="E33" s="335">
        <f>TRUNC(신규_일위대가목록!E32,0)</f>
        <v>7190</v>
      </c>
      <c r="F33" s="335">
        <f t="shared" si="0"/>
        <v>7190</v>
      </c>
      <c r="G33" s="335">
        <f>TRUNC(신규_일위대가목록!F32,0)</f>
        <v>239698</v>
      </c>
      <c r="H33" s="335">
        <f t="shared" si="1"/>
        <v>239698</v>
      </c>
      <c r="I33" s="335">
        <f>TRUNC(신규_일위대가목록!G32,0)</f>
        <v>0</v>
      </c>
      <c r="J33" s="335">
        <f t="shared" si="2"/>
        <v>0</v>
      </c>
      <c r="K33" s="335">
        <f t="shared" si="3"/>
        <v>246888</v>
      </c>
      <c r="L33" s="333" t="s">
        <v>1183</v>
      </c>
      <c r="M33" s="329" t="s">
        <v>1184</v>
      </c>
      <c r="N33" s="329" t="s">
        <v>378</v>
      </c>
      <c r="O33" s="329" t="s">
        <v>378</v>
      </c>
      <c r="P33" s="329" t="s">
        <v>1101</v>
      </c>
      <c r="Q33" s="329" t="s">
        <v>1104</v>
      </c>
      <c r="R33" s="329" t="s">
        <v>1105</v>
      </c>
      <c r="S33" s="329" t="s">
        <v>1105</v>
      </c>
      <c r="AQ33" s="329" t="s">
        <v>378</v>
      </c>
      <c r="AR33" s="329" t="s">
        <v>378</v>
      </c>
      <c r="AT33" s="329" t="s">
        <v>1185</v>
      </c>
      <c r="AU33" s="330">
        <v>5971</v>
      </c>
    </row>
    <row r="34" spans="1:47" ht="30" customHeight="1">
      <c r="A34" s="333" t="s">
        <v>388</v>
      </c>
      <c r="B34" s="333" t="s">
        <v>389</v>
      </c>
      <c r="C34" s="333" t="s">
        <v>265</v>
      </c>
      <c r="D34" s="334">
        <v>2</v>
      </c>
      <c r="E34" s="335">
        <f>TRUNC(신규_일위대가목록!E33,0)</f>
        <v>53440</v>
      </c>
      <c r="F34" s="335">
        <f t="shared" si="0"/>
        <v>106880</v>
      </c>
      <c r="G34" s="335">
        <f>TRUNC(신규_일위대가목록!F33,0)</f>
        <v>28199</v>
      </c>
      <c r="H34" s="335">
        <f t="shared" si="1"/>
        <v>56398</v>
      </c>
      <c r="I34" s="335">
        <f>TRUNC(신규_일위대가목록!G33,0)</f>
        <v>0</v>
      </c>
      <c r="J34" s="335">
        <f t="shared" si="2"/>
        <v>0</v>
      </c>
      <c r="K34" s="335">
        <f t="shared" si="3"/>
        <v>163278</v>
      </c>
      <c r="L34" s="333" t="s">
        <v>1186</v>
      </c>
      <c r="M34" s="329" t="s">
        <v>1187</v>
      </c>
      <c r="N34" s="329" t="s">
        <v>378</v>
      </c>
      <c r="O34" s="329" t="s">
        <v>378</v>
      </c>
      <c r="P34" s="329" t="s">
        <v>1101</v>
      </c>
      <c r="Q34" s="329" t="s">
        <v>1104</v>
      </c>
      <c r="R34" s="329" t="s">
        <v>1105</v>
      </c>
      <c r="S34" s="329" t="s">
        <v>1105</v>
      </c>
      <c r="AQ34" s="329" t="s">
        <v>378</v>
      </c>
      <c r="AR34" s="329" t="s">
        <v>378</v>
      </c>
      <c r="AT34" s="329" t="s">
        <v>1188</v>
      </c>
      <c r="AU34" s="330">
        <v>5875</v>
      </c>
    </row>
    <row r="35" spans="1:47" ht="30" customHeight="1">
      <c r="A35" s="333" t="s">
        <v>339</v>
      </c>
      <c r="B35" s="333" t="s">
        <v>340</v>
      </c>
      <c r="C35" s="333" t="s">
        <v>287</v>
      </c>
      <c r="D35" s="334">
        <v>123.75</v>
      </c>
      <c r="E35" s="335">
        <f>TRUNC(신규_일위대가목록!E34,0)</f>
        <v>600</v>
      </c>
      <c r="F35" s="335">
        <f t="shared" si="0"/>
        <v>74250</v>
      </c>
      <c r="G35" s="335">
        <f>TRUNC(신규_일위대가목록!F34,0)</f>
        <v>6909</v>
      </c>
      <c r="H35" s="335">
        <f t="shared" si="1"/>
        <v>854988</v>
      </c>
      <c r="I35" s="335">
        <f>TRUNC(신규_일위대가목록!G34,0)</f>
        <v>785</v>
      </c>
      <c r="J35" s="335">
        <f t="shared" si="2"/>
        <v>97143</v>
      </c>
      <c r="K35" s="335">
        <f t="shared" si="3"/>
        <v>1026381</v>
      </c>
      <c r="L35" s="333" t="s">
        <v>713</v>
      </c>
      <c r="M35" s="329" t="s">
        <v>1189</v>
      </c>
      <c r="N35" s="329" t="s">
        <v>378</v>
      </c>
      <c r="O35" s="329" t="s">
        <v>378</v>
      </c>
      <c r="P35" s="329" t="s">
        <v>1101</v>
      </c>
      <c r="Q35" s="329" t="s">
        <v>1104</v>
      </c>
      <c r="R35" s="329" t="s">
        <v>1105</v>
      </c>
      <c r="S35" s="329" t="s">
        <v>1105</v>
      </c>
      <c r="AQ35" s="329" t="s">
        <v>378</v>
      </c>
      <c r="AR35" s="329" t="s">
        <v>378</v>
      </c>
      <c r="AT35" s="329" t="s">
        <v>1190</v>
      </c>
      <c r="AU35" s="330">
        <v>5785</v>
      </c>
    </row>
    <row r="36" spans="1:47" ht="30" customHeight="1">
      <c r="A36" s="333" t="s">
        <v>341</v>
      </c>
      <c r="B36" s="333" t="s">
        <v>342</v>
      </c>
      <c r="C36" s="333" t="s">
        <v>343</v>
      </c>
      <c r="D36" s="334">
        <v>123.75</v>
      </c>
      <c r="E36" s="335">
        <f>TRUNC(신규_일위대가목록!E35,0)</f>
        <v>6606</v>
      </c>
      <c r="F36" s="335">
        <f t="shared" si="0"/>
        <v>817492</v>
      </c>
      <c r="G36" s="335">
        <f>TRUNC(신규_일위대가목록!F35,0)</f>
        <v>525</v>
      </c>
      <c r="H36" s="335">
        <f t="shared" si="1"/>
        <v>64968</v>
      </c>
      <c r="I36" s="335">
        <f>TRUNC(신규_일위대가목록!G35,0)</f>
        <v>419</v>
      </c>
      <c r="J36" s="335">
        <f t="shared" si="2"/>
        <v>51851</v>
      </c>
      <c r="K36" s="335">
        <f t="shared" si="3"/>
        <v>934311</v>
      </c>
      <c r="L36" s="333" t="s">
        <v>714</v>
      </c>
      <c r="M36" s="329" t="s">
        <v>1191</v>
      </c>
      <c r="N36" s="329" t="s">
        <v>378</v>
      </c>
      <c r="O36" s="329" t="s">
        <v>378</v>
      </c>
      <c r="P36" s="329" t="s">
        <v>1101</v>
      </c>
      <c r="Q36" s="329" t="s">
        <v>1104</v>
      </c>
      <c r="R36" s="329" t="s">
        <v>1105</v>
      </c>
      <c r="S36" s="329" t="s">
        <v>1105</v>
      </c>
      <c r="AQ36" s="329" t="s">
        <v>378</v>
      </c>
      <c r="AR36" s="329" t="s">
        <v>378</v>
      </c>
      <c r="AT36" s="329" t="s">
        <v>1192</v>
      </c>
      <c r="AU36" s="330">
        <v>5786</v>
      </c>
    </row>
    <row r="37" spans="1:47" ht="30" customHeight="1">
      <c r="A37" s="333" t="s">
        <v>390</v>
      </c>
      <c r="B37" s="333" t="s">
        <v>391</v>
      </c>
      <c r="C37" s="333" t="s">
        <v>280</v>
      </c>
      <c r="D37" s="334">
        <v>1</v>
      </c>
      <c r="E37" s="335">
        <f>TRUNC(신규_일위대가목록!E36,0)</f>
        <v>835710</v>
      </c>
      <c r="F37" s="335">
        <f t="shared" si="0"/>
        <v>835710</v>
      </c>
      <c r="G37" s="335">
        <f>TRUNC(신규_일위대가목록!F36,0)</f>
        <v>893392</v>
      </c>
      <c r="H37" s="335">
        <f t="shared" si="1"/>
        <v>893392</v>
      </c>
      <c r="I37" s="335">
        <f>TRUNC(신규_일위대가목록!G36,0)</f>
        <v>118141</v>
      </c>
      <c r="J37" s="335">
        <f t="shared" si="2"/>
        <v>118141</v>
      </c>
      <c r="K37" s="335">
        <f t="shared" si="3"/>
        <v>1847243</v>
      </c>
      <c r="L37" s="333" t="s">
        <v>1193</v>
      </c>
      <c r="M37" s="329" t="s">
        <v>1194</v>
      </c>
      <c r="N37" s="329" t="s">
        <v>378</v>
      </c>
      <c r="O37" s="329" t="s">
        <v>378</v>
      </c>
      <c r="P37" s="329" t="s">
        <v>1101</v>
      </c>
      <c r="Q37" s="329" t="s">
        <v>1104</v>
      </c>
      <c r="R37" s="329" t="s">
        <v>1105</v>
      </c>
      <c r="S37" s="329" t="s">
        <v>1105</v>
      </c>
      <c r="AQ37" s="329" t="s">
        <v>378</v>
      </c>
      <c r="AR37" s="329" t="s">
        <v>378</v>
      </c>
      <c r="AT37" s="329" t="s">
        <v>1195</v>
      </c>
      <c r="AU37" s="330">
        <v>5877</v>
      </c>
    </row>
    <row r="38" spans="1:47" ht="30" customHeight="1">
      <c r="A38" s="334"/>
      <c r="B38" s="334"/>
      <c r="C38" s="334"/>
      <c r="D38" s="334"/>
      <c r="E38" s="334"/>
      <c r="F38" s="334"/>
      <c r="G38" s="334"/>
      <c r="H38" s="334"/>
      <c r="I38" s="334"/>
      <c r="J38" s="334"/>
      <c r="K38" s="334"/>
      <c r="L38" s="334"/>
    </row>
    <row r="39" spans="1:47" ht="30" customHeight="1">
      <c r="A39" s="334"/>
      <c r="B39" s="334"/>
      <c r="C39" s="334"/>
      <c r="D39" s="334"/>
      <c r="E39" s="334"/>
      <c r="F39" s="334"/>
      <c r="G39" s="334"/>
      <c r="H39" s="334"/>
      <c r="I39" s="334"/>
      <c r="J39" s="334"/>
      <c r="K39" s="334"/>
      <c r="L39" s="334"/>
    </row>
    <row r="40" spans="1:47" ht="30" customHeight="1">
      <c r="A40" s="334"/>
      <c r="B40" s="334"/>
      <c r="C40" s="334"/>
      <c r="D40" s="334"/>
      <c r="E40" s="334"/>
      <c r="F40" s="334"/>
      <c r="G40" s="334"/>
      <c r="H40" s="334"/>
      <c r="I40" s="334"/>
      <c r="J40" s="334"/>
      <c r="K40" s="334"/>
      <c r="L40" s="334"/>
    </row>
    <row r="41" spans="1:47" ht="30" customHeight="1">
      <c r="A41" s="334"/>
      <c r="B41" s="334"/>
      <c r="C41" s="334"/>
      <c r="D41" s="334"/>
      <c r="E41" s="334"/>
      <c r="F41" s="334"/>
      <c r="G41" s="334"/>
      <c r="H41" s="334"/>
      <c r="I41" s="334"/>
      <c r="J41" s="334"/>
      <c r="K41" s="334"/>
      <c r="L41" s="334"/>
    </row>
    <row r="42" spans="1:47" ht="30" customHeight="1">
      <c r="A42" s="334"/>
      <c r="B42" s="334"/>
      <c r="C42" s="334"/>
      <c r="D42" s="334"/>
      <c r="E42" s="334"/>
      <c r="F42" s="334"/>
      <c r="G42" s="334"/>
      <c r="H42" s="334"/>
      <c r="I42" s="334"/>
      <c r="J42" s="334"/>
      <c r="K42" s="334"/>
      <c r="L42" s="334"/>
    </row>
    <row r="43" spans="1:47" ht="30" customHeight="1">
      <c r="A43" s="334"/>
      <c r="B43" s="334"/>
      <c r="C43" s="334"/>
      <c r="D43" s="334"/>
      <c r="E43" s="334"/>
      <c r="F43" s="334"/>
      <c r="G43" s="334"/>
      <c r="H43" s="334"/>
      <c r="I43" s="334"/>
      <c r="J43" s="334"/>
      <c r="K43" s="334"/>
      <c r="L43" s="334"/>
    </row>
    <row r="44" spans="1:47" ht="30" customHeight="1">
      <c r="A44" s="334"/>
      <c r="B44" s="334"/>
      <c r="C44" s="334"/>
      <c r="D44" s="334"/>
      <c r="E44" s="334"/>
      <c r="F44" s="334"/>
      <c r="G44" s="334"/>
      <c r="H44" s="334"/>
      <c r="I44" s="334"/>
      <c r="J44" s="334"/>
      <c r="K44" s="334"/>
      <c r="L44" s="334"/>
    </row>
    <row r="45" spans="1:47" ht="30" customHeight="1">
      <c r="A45" s="334"/>
      <c r="B45" s="334"/>
      <c r="C45" s="334"/>
      <c r="D45" s="334"/>
      <c r="E45" s="334"/>
      <c r="F45" s="334"/>
      <c r="G45" s="334"/>
      <c r="H45" s="334"/>
      <c r="I45" s="334"/>
      <c r="J45" s="334"/>
      <c r="K45" s="334"/>
      <c r="L45" s="334"/>
    </row>
    <row r="46" spans="1:47" ht="30" customHeight="1">
      <c r="A46" s="334"/>
      <c r="B46" s="334"/>
      <c r="C46" s="334"/>
      <c r="D46" s="334"/>
      <c r="E46" s="334"/>
      <c r="F46" s="334"/>
      <c r="G46" s="334"/>
      <c r="H46" s="334"/>
      <c r="I46" s="334"/>
      <c r="J46" s="334"/>
      <c r="K46" s="334"/>
      <c r="L46" s="334"/>
    </row>
    <row r="47" spans="1:47" ht="30" customHeight="1">
      <c r="A47" s="334"/>
      <c r="B47" s="334"/>
      <c r="C47" s="334"/>
      <c r="D47" s="334"/>
      <c r="E47" s="334"/>
      <c r="F47" s="334"/>
      <c r="G47" s="334"/>
      <c r="H47" s="334"/>
      <c r="I47" s="334"/>
      <c r="J47" s="334"/>
      <c r="K47" s="334"/>
      <c r="L47" s="334"/>
    </row>
    <row r="48" spans="1:47" ht="30" customHeight="1">
      <c r="A48" s="334"/>
      <c r="B48" s="334"/>
      <c r="C48" s="334"/>
      <c r="D48" s="334"/>
      <c r="E48" s="334"/>
      <c r="F48" s="334"/>
      <c r="G48" s="334"/>
      <c r="H48" s="334"/>
      <c r="I48" s="334"/>
      <c r="J48" s="334"/>
      <c r="K48" s="334"/>
      <c r="L48" s="334"/>
    </row>
    <row r="49" spans="1:47" ht="30" customHeight="1">
      <c r="A49" s="334"/>
      <c r="B49" s="334"/>
      <c r="C49" s="334"/>
      <c r="D49" s="334"/>
      <c r="E49" s="334"/>
      <c r="F49" s="334"/>
      <c r="G49" s="334"/>
      <c r="H49" s="334"/>
      <c r="I49" s="334"/>
      <c r="J49" s="334"/>
      <c r="K49" s="334"/>
      <c r="L49" s="334"/>
    </row>
    <row r="50" spans="1:47" ht="30" customHeight="1">
      <c r="A50" s="334"/>
      <c r="B50" s="334"/>
      <c r="C50" s="334"/>
      <c r="D50" s="334"/>
      <c r="E50" s="334"/>
      <c r="F50" s="334"/>
      <c r="G50" s="334"/>
      <c r="H50" s="334"/>
      <c r="I50" s="334"/>
      <c r="J50" s="334"/>
      <c r="K50" s="334"/>
      <c r="L50" s="334"/>
    </row>
    <row r="51" spans="1:47" ht="30" customHeight="1">
      <c r="A51" s="333" t="s">
        <v>1196</v>
      </c>
      <c r="B51" s="334"/>
      <c r="C51" s="334"/>
      <c r="D51" s="334"/>
      <c r="E51" s="334"/>
      <c r="F51" s="335">
        <f>SUM(F5:F50)</f>
        <v>25153358</v>
      </c>
      <c r="G51" s="334"/>
      <c r="H51" s="335">
        <f>SUM(H5:H50)</f>
        <v>19805260</v>
      </c>
      <c r="I51" s="334"/>
      <c r="J51" s="335">
        <f>SUM(J5:J50)</f>
        <v>304119</v>
      </c>
      <c r="K51" s="335">
        <f>SUM(K5:K50)</f>
        <v>45262737</v>
      </c>
      <c r="L51" s="334"/>
      <c r="M51" s="330" t="s">
        <v>1197</v>
      </c>
    </row>
    <row r="52" spans="1:47" ht="30" customHeight="1">
      <c r="A52" s="333" t="s">
        <v>1198</v>
      </c>
      <c r="B52" s="333" t="s">
        <v>378</v>
      </c>
      <c r="C52" s="334"/>
      <c r="D52" s="334"/>
      <c r="E52" s="334"/>
      <c r="F52" s="334"/>
      <c r="G52" s="334"/>
      <c r="H52" s="334"/>
      <c r="I52" s="334"/>
      <c r="J52" s="334"/>
      <c r="K52" s="334"/>
      <c r="L52" s="334"/>
      <c r="P52" s="329" t="s">
        <v>1199</v>
      </c>
    </row>
    <row r="53" spans="1:47" ht="30" customHeight="1">
      <c r="A53" s="333" t="s">
        <v>266</v>
      </c>
      <c r="B53" s="333" t="s">
        <v>297</v>
      </c>
      <c r="C53" s="333" t="s">
        <v>265</v>
      </c>
      <c r="D53" s="334">
        <v>4</v>
      </c>
      <c r="E53" s="335">
        <f>TRUNC(신규_일위대가목록!E37,0)</f>
        <v>2663</v>
      </c>
      <c r="F53" s="335">
        <f t="shared" ref="F53:F78" si="4">TRUNC(E53*D53, 0)</f>
        <v>10652</v>
      </c>
      <c r="G53" s="335">
        <f>TRUNC(신규_일위대가목록!F37,0)</f>
        <v>9399</v>
      </c>
      <c r="H53" s="335">
        <f t="shared" ref="H53:H78" si="5">TRUNC(G53*D53, 0)</f>
        <v>37596</v>
      </c>
      <c r="I53" s="335">
        <f>TRUNC(신규_일위대가목록!G37,0)</f>
        <v>0</v>
      </c>
      <c r="J53" s="335">
        <f t="shared" ref="J53:J78" si="6">TRUNC(I53*D53, 0)</f>
        <v>0</v>
      </c>
      <c r="K53" s="335">
        <f t="shared" ref="K53:K78" si="7">TRUNC(F53+H53+J53, 0)</f>
        <v>48248</v>
      </c>
      <c r="L53" s="333" t="s">
        <v>690</v>
      </c>
      <c r="M53" s="329" t="s">
        <v>1200</v>
      </c>
      <c r="N53" s="329" t="s">
        <v>378</v>
      </c>
      <c r="O53" s="329" t="s">
        <v>378</v>
      </c>
      <c r="P53" s="329" t="s">
        <v>1199</v>
      </c>
      <c r="Q53" s="329" t="s">
        <v>1104</v>
      </c>
      <c r="R53" s="329" t="s">
        <v>1105</v>
      </c>
      <c r="S53" s="329" t="s">
        <v>1105</v>
      </c>
      <c r="AQ53" s="329" t="s">
        <v>378</v>
      </c>
      <c r="AR53" s="329" t="s">
        <v>378</v>
      </c>
      <c r="AT53" s="329" t="s">
        <v>1201</v>
      </c>
      <c r="AU53" s="330">
        <v>5972</v>
      </c>
    </row>
    <row r="54" spans="1:47" ht="30" customHeight="1">
      <c r="A54" s="333" t="s">
        <v>298</v>
      </c>
      <c r="B54" s="333" t="s">
        <v>299</v>
      </c>
      <c r="C54" s="333" t="s">
        <v>300</v>
      </c>
      <c r="D54" s="334">
        <v>564.5</v>
      </c>
      <c r="E54" s="335">
        <f>TRUNC(신규_일위대가목록!E38,0)</f>
        <v>964</v>
      </c>
      <c r="F54" s="335">
        <f t="shared" si="4"/>
        <v>544178</v>
      </c>
      <c r="G54" s="335">
        <f>TRUNC(신규_일위대가목록!F38,0)</f>
        <v>2114</v>
      </c>
      <c r="H54" s="335">
        <f t="shared" si="5"/>
        <v>1193353</v>
      </c>
      <c r="I54" s="335">
        <f>TRUNC(신규_일위대가목록!G38,0)</f>
        <v>0</v>
      </c>
      <c r="J54" s="335">
        <f t="shared" si="6"/>
        <v>0</v>
      </c>
      <c r="K54" s="335">
        <f t="shared" si="7"/>
        <v>1737531</v>
      </c>
      <c r="L54" s="333" t="s">
        <v>1202</v>
      </c>
      <c r="M54" s="329" t="s">
        <v>1203</v>
      </c>
      <c r="N54" s="329" t="s">
        <v>378</v>
      </c>
      <c r="O54" s="329" t="s">
        <v>378</v>
      </c>
      <c r="P54" s="329" t="s">
        <v>1199</v>
      </c>
      <c r="Q54" s="329" t="s">
        <v>1104</v>
      </c>
      <c r="R54" s="329" t="s">
        <v>1105</v>
      </c>
      <c r="S54" s="329" t="s">
        <v>1105</v>
      </c>
      <c r="AQ54" s="329" t="s">
        <v>378</v>
      </c>
      <c r="AR54" s="329" t="s">
        <v>378</v>
      </c>
      <c r="AT54" s="329" t="s">
        <v>1204</v>
      </c>
      <c r="AU54" s="330">
        <v>5973</v>
      </c>
    </row>
    <row r="55" spans="1:47" ht="30" customHeight="1">
      <c r="A55" s="333" t="s">
        <v>298</v>
      </c>
      <c r="B55" s="333" t="s">
        <v>301</v>
      </c>
      <c r="C55" s="333" t="s">
        <v>300</v>
      </c>
      <c r="D55" s="334">
        <v>654.5</v>
      </c>
      <c r="E55" s="335">
        <f>TRUNC(신규_일위대가목록!E7,0)</f>
        <v>849</v>
      </c>
      <c r="F55" s="335">
        <f t="shared" si="4"/>
        <v>555670</v>
      </c>
      <c r="G55" s="335">
        <f>TRUNC(신규_일위대가목록!F7,0)</f>
        <v>2330</v>
      </c>
      <c r="H55" s="335">
        <f t="shared" si="5"/>
        <v>1524985</v>
      </c>
      <c r="I55" s="335">
        <f>TRUNC(신규_일위대가목록!G7,0)</f>
        <v>0</v>
      </c>
      <c r="J55" s="335">
        <f t="shared" si="6"/>
        <v>0</v>
      </c>
      <c r="K55" s="335">
        <f t="shared" si="7"/>
        <v>2080655</v>
      </c>
      <c r="L55" s="333" t="s">
        <v>691</v>
      </c>
      <c r="M55" s="329" t="s">
        <v>1113</v>
      </c>
      <c r="N55" s="329" t="s">
        <v>378</v>
      </c>
      <c r="O55" s="329" t="s">
        <v>378</v>
      </c>
      <c r="P55" s="329" t="s">
        <v>1199</v>
      </c>
      <c r="Q55" s="329" t="s">
        <v>1104</v>
      </c>
      <c r="R55" s="329" t="s">
        <v>1105</v>
      </c>
      <c r="S55" s="329" t="s">
        <v>1105</v>
      </c>
      <c r="AQ55" s="329" t="s">
        <v>378</v>
      </c>
      <c r="AR55" s="329" t="s">
        <v>378</v>
      </c>
      <c r="AT55" s="329" t="s">
        <v>1205</v>
      </c>
      <c r="AU55" s="330">
        <v>5974</v>
      </c>
    </row>
    <row r="56" spans="1:47" ht="30" customHeight="1">
      <c r="A56" s="333" t="s">
        <v>302</v>
      </c>
      <c r="B56" s="333" t="s">
        <v>303</v>
      </c>
      <c r="C56" s="333" t="s">
        <v>300</v>
      </c>
      <c r="D56" s="334">
        <v>564.5</v>
      </c>
      <c r="E56" s="335">
        <f>TRUNC(신규_일위대가목록!E13,0)</f>
        <v>1677</v>
      </c>
      <c r="F56" s="335">
        <f t="shared" si="4"/>
        <v>946666</v>
      </c>
      <c r="G56" s="335">
        <f>TRUNC(신규_일위대가목록!F13,0)</f>
        <v>4086</v>
      </c>
      <c r="H56" s="335">
        <f t="shared" si="5"/>
        <v>2306547</v>
      </c>
      <c r="I56" s="335">
        <f>TRUNC(신규_일위대가목록!G13,0)</f>
        <v>0</v>
      </c>
      <c r="J56" s="335">
        <f t="shared" si="6"/>
        <v>0</v>
      </c>
      <c r="K56" s="335">
        <f t="shared" si="7"/>
        <v>3253213</v>
      </c>
      <c r="L56" s="333" t="s">
        <v>692</v>
      </c>
      <c r="M56" s="329" t="s">
        <v>1130</v>
      </c>
      <c r="N56" s="329" t="s">
        <v>378</v>
      </c>
      <c r="O56" s="329" t="s">
        <v>378</v>
      </c>
      <c r="P56" s="329" t="s">
        <v>1199</v>
      </c>
      <c r="Q56" s="329" t="s">
        <v>1104</v>
      </c>
      <c r="R56" s="329" t="s">
        <v>1105</v>
      </c>
      <c r="S56" s="329" t="s">
        <v>1105</v>
      </c>
      <c r="AQ56" s="329" t="s">
        <v>378</v>
      </c>
      <c r="AR56" s="329" t="s">
        <v>378</v>
      </c>
      <c r="AT56" s="329" t="s">
        <v>1206</v>
      </c>
      <c r="AU56" s="330">
        <v>5981</v>
      </c>
    </row>
    <row r="57" spans="1:47" s="340" customFormat="1" ht="30" customHeight="1">
      <c r="A57" s="336" t="s">
        <v>302</v>
      </c>
      <c r="B57" s="336" t="s">
        <v>304</v>
      </c>
      <c r="C57" s="336" t="s">
        <v>300</v>
      </c>
      <c r="D57" s="337">
        <v>960</v>
      </c>
      <c r="E57" s="338">
        <f>TRUNC(신규_일위대가목록!E39,0)</f>
        <v>2275</v>
      </c>
      <c r="F57" s="338">
        <f t="shared" si="4"/>
        <v>2184000</v>
      </c>
      <c r="G57" s="338">
        <f>TRUNC(신규_일위대가목록!F39,0)</f>
        <v>3685</v>
      </c>
      <c r="H57" s="338">
        <f t="shared" si="5"/>
        <v>3537600</v>
      </c>
      <c r="I57" s="338">
        <f>TRUNC(신규_일위대가목록!G39,0)</f>
        <v>0</v>
      </c>
      <c r="J57" s="338">
        <f t="shared" si="6"/>
        <v>0</v>
      </c>
      <c r="K57" s="338">
        <f t="shared" si="7"/>
        <v>5721600</v>
      </c>
      <c r="L57" s="336" t="s">
        <v>693</v>
      </c>
      <c r="M57" s="339" t="s">
        <v>1207</v>
      </c>
      <c r="N57" s="339" t="s">
        <v>378</v>
      </c>
      <c r="O57" s="339" t="s">
        <v>378</v>
      </c>
      <c r="P57" s="339" t="s">
        <v>1199</v>
      </c>
      <c r="Q57" s="339" t="s">
        <v>1104</v>
      </c>
      <c r="R57" s="339" t="s">
        <v>1105</v>
      </c>
      <c r="S57" s="339" t="s">
        <v>1105</v>
      </c>
      <c r="AQ57" s="339" t="s">
        <v>378</v>
      </c>
      <c r="AR57" s="339" t="s">
        <v>378</v>
      </c>
      <c r="AT57" s="339" t="s">
        <v>1208</v>
      </c>
      <c r="AU57" s="340">
        <v>5982</v>
      </c>
    </row>
    <row r="58" spans="1:47" ht="30" customHeight="1">
      <c r="A58" s="333" t="s">
        <v>305</v>
      </c>
      <c r="B58" s="333" t="s">
        <v>306</v>
      </c>
      <c r="C58" s="333" t="s">
        <v>265</v>
      </c>
      <c r="D58" s="334">
        <v>16</v>
      </c>
      <c r="E58" s="335">
        <f>TRUNC(신규_일위대가목록!E40,0)</f>
        <v>40781</v>
      </c>
      <c r="F58" s="335">
        <f t="shared" si="4"/>
        <v>652496</v>
      </c>
      <c r="G58" s="335">
        <f>TRUNC(신규_일위대가목록!F40,0)</f>
        <v>31254</v>
      </c>
      <c r="H58" s="335">
        <f t="shared" si="5"/>
        <v>500064</v>
      </c>
      <c r="I58" s="335">
        <f>TRUNC(신규_일위대가목록!G40,0)</f>
        <v>0</v>
      </c>
      <c r="J58" s="335">
        <f t="shared" si="6"/>
        <v>0</v>
      </c>
      <c r="K58" s="335">
        <f t="shared" si="7"/>
        <v>1152560</v>
      </c>
      <c r="L58" s="333" t="s">
        <v>694</v>
      </c>
      <c r="M58" s="329" t="s">
        <v>1209</v>
      </c>
      <c r="N58" s="329" t="s">
        <v>378</v>
      </c>
      <c r="O58" s="329" t="s">
        <v>378</v>
      </c>
      <c r="P58" s="329" t="s">
        <v>1199</v>
      </c>
      <c r="Q58" s="329" t="s">
        <v>1104</v>
      </c>
      <c r="R58" s="329" t="s">
        <v>1105</v>
      </c>
      <c r="S58" s="329" t="s">
        <v>1105</v>
      </c>
      <c r="AQ58" s="329" t="s">
        <v>378</v>
      </c>
      <c r="AR58" s="329" t="s">
        <v>378</v>
      </c>
      <c r="AT58" s="329" t="s">
        <v>1210</v>
      </c>
      <c r="AU58" s="330">
        <v>5878</v>
      </c>
    </row>
    <row r="59" spans="1:47" ht="30" customHeight="1">
      <c r="A59" s="333" t="s">
        <v>307</v>
      </c>
      <c r="B59" s="333" t="s">
        <v>308</v>
      </c>
      <c r="C59" s="333" t="s">
        <v>255</v>
      </c>
      <c r="D59" s="334">
        <v>1116.5</v>
      </c>
      <c r="E59" s="335">
        <f>TRUNC(신규_일위대가목록!E16,0)</f>
        <v>270</v>
      </c>
      <c r="F59" s="335">
        <f t="shared" si="4"/>
        <v>301455</v>
      </c>
      <c r="G59" s="335">
        <f>TRUNC(신규_일위대가목록!F16,0)</f>
        <v>266</v>
      </c>
      <c r="H59" s="335">
        <f t="shared" si="5"/>
        <v>296989</v>
      </c>
      <c r="I59" s="335">
        <f>TRUNC(신규_일위대가목록!G16,0)</f>
        <v>0</v>
      </c>
      <c r="J59" s="335">
        <f t="shared" si="6"/>
        <v>0</v>
      </c>
      <c r="K59" s="335">
        <f t="shared" si="7"/>
        <v>598444</v>
      </c>
      <c r="L59" s="333" t="s">
        <v>695</v>
      </c>
      <c r="M59" s="329" t="s">
        <v>1138</v>
      </c>
      <c r="N59" s="329" t="s">
        <v>378</v>
      </c>
      <c r="O59" s="329" t="s">
        <v>378</v>
      </c>
      <c r="P59" s="329" t="s">
        <v>1199</v>
      </c>
      <c r="Q59" s="329" t="s">
        <v>1104</v>
      </c>
      <c r="R59" s="329" t="s">
        <v>1105</v>
      </c>
      <c r="S59" s="329" t="s">
        <v>1105</v>
      </c>
      <c r="AQ59" s="329" t="s">
        <v>378</v>
      </c>
      <c r="AR59" s="329" t="s">
        <v>378</v>
      </c>
      <c r="AT59" s="329" t="s">
        <v>1211</v>
      </c>
      <c r="AU59" s="330">
        <v>5832</v>
      </c>
    </row>
    <row r="60" spans="1:47" ht="30" customHeight="1">
      <c r="A60" s="336" t="s">
        <v>1158</v>
      </c>
      <c r="B60" s="336" t="s">
        <v>309</v>
      </c>
      <c r="C60" s="336" t="s">
        <v>255</v>
      </c>
      <c r="D60" s="337">
        <v>858.5</v>
      </c>
      <c r="E60" s="338">
        <f>TRUNC(신규_일위대가목록!E23,0)</f>
        <v>487</v>
      </c>
      <c r="F60" s="338">
        <f t="shared" si="4"/>
        <v>418089</v>
      </c>
      <c r="G60" s="338">
        <f>TRUNC(신규_일위대가목록!F23,0)</f>
        <v>6535</v>
      </c>
      <c r="H60" s="338">
        <f t="shared" si="5"/>
        <v>5610297</v>
      </c>
      <c r="I60" s="338">
        <f>TRUNC(신규_일위대가목록!G23,0)</f>
        <v>0</v>
      </c>
      <c r="J60" s="338">
        <f t="shared" si="6"/>
        <v>0</v>
      </c>
      <c r="K60" s="338">
        <f t="shared" si="7"/>
        <v>6028386</v>
      </c>
      <c r="L60" s="336" t="s">
        <v>696</v>
      </c>
      <c r="M60" s="329" t="s">
        <v>1159</v>
      </c>
      <c r="N60" s="329" t="s">
        <v>378</v>
      </c>
      <c r="O60" s="329" t="s">
        <v>378</v>
      </c>
      <c r="P60" s="329" t="s">
        <v>1199</v>
      </c>
      <c r="Q60" s="329" t="s">
        <v>1104</v>
      </c>
      <c r="R60" s="329" t="s">
        <v>1105</v>
      </c>
      <c r="S60" s="329" t="s">
        <v>1105</v>
      </c>
      <c r="AQ60" s="329" t="s">
        <v>378</v>
      </c>
      <c r="AR60" s="329" t="s">
        <v>378</v>
      </c>
      <c r="AT60" s="329" t="s">
        <v>1212</v>
      </c>
      <c r="AU60" s="330">
        <v>5849</v>
      </c>
    </row>
    <row r="61" spans="1:47" s="340" customFormat="1" ht="30" customHeight="1">
      <c r="A61" s="336" t="s">
        <v>310</v>
      </c>
      <c r="B61" s="336" t="s">
        <v>311</v>
      </c>
      <c r="C61" s="336" t="s">
        <v>255</v>
      </c>
      <c r="D61" s="337">
        <v>306</v>
      </c>
      <c r="E61" s="338">
        <f>TRUNC(신규_일위대가목록!E24,0)</f>
        <v>638</v>
      </c>
      <c r="F61" s="338">
        <f t="shared" si="4"/>
        <v>195228</v>
      </c>
      <c r="G61" s="338">
        <f>TRUNC(신규_일위대가목록!F24,0)</f>
        <v>7996</v>
      </c>
      <c r="H61" s="338">
        <f t="shared" si="5"/>
        <v>2446776</v>
      </c>
      <c r="I61" s="338">
        <f>TRUNC(신규_일위대가목록!G24,0)</f>
        <v>0</v>
      </c>
      <c r="J61" s="338">
        <f t="shared" si="6"/>
        <v>0</v>
      </c>
      <c r="K61" s="338">
        <f t="shared" si="7"/>
        <v>2642004</v>
      </c>
      <c r="L61" s="336" t="s">
        <v>697</v>
      </c>
      <c r="M61" s="339" t="s">
        <v>1161</v>
      </c>
      <c r="N61" s="339" t="s">
        <v>378</v>
      </c>
      <c r="O61" s="339" t="s">
        <v>378</v>
      </c>
      <c r="P61" s="339" t="s">
        <v>1199</v>
      </c>
      <c r="Q61" s="339" t="s">
        <v>1104</v>
      </c>
      <c r="R61" s="339" t="s">
        <v>1105</v>
      </c>
      <c r="S61" s="339" t="s">
        <v>1105</v>
      </c>
      <c r="AQ61" s="339" t="s">
        <v>378</v>
      </c>
      <c r="AR61" s="339" t="s">
        <v>378</v>
      </c>
      <c r="AT61" s="339" t="s">
        <v>1213</v>
      </c>
      <c r="AU61" s="340">
        <v>5975</v>
      </c>
    </row>
    <row r="62" spans="1:47" ht="30" customHeight="1">
      <c r="A62" s="333" t="s">
        <v>312</v>
      </c>
      <c r="B62" s="333" t="s">
        <v>313</v>
      </c>
      <c r="C62" s="333" t="s">
        <v>300</v>
      </c>
      <c r="D62" s="334">
        <v>60</v>
      </c>
      <c r="E62" s="335">
        <f>TRUNC(신규_일위대가목록!E41,0)</f>
        <v>5007</v>
      </c>
      <c r="F62" s="335">
        <f t="shared" si="4"/>
        <v>300420</v>
      </c>
      <c r="G62" s="335">
        <f>TRUNC(신규_일위대가목록!F41,0)</f>
        <v>30549</v>
      </c>
      <c r="H62" s="335">
        <f t="shared" si="5"/>
        <v>1832940</v>
      </c>
      <c r="I62" s="335">
        <f>TRUNC(신규_일위대가목록!G41,0)</f>
        <v>0</v>
      </c>
      <c r="J62" s="335">
        <f t="shared" si="6"/>
        <v>0</v>
      </c>
      <c r="K62" s="335">
        <f t="shared" si="7"/>
        <v>2133360</v>
      </c>
      <c r="L62" s="333" t="s">
        <v>698</v>
      </c>
      <c r="M62" s="329" t="s">
        <v>1214</v>
      </c>
      <c r="N62" s="329" t="s">
        <v>378</v>
      </c>
      <c r="O62" s="329" t="s">
        <v>378</v>
      </c>
      <c r="P62" s="329" t="s">
        <v>1199</v>
      </c>
      <c r="Q62" s="329" t="s">
        <v>1104</v>
      </c>
      <c r="R62" s="329" t="s">
        <v>1105</v>
      </c>
      <c r="S62" s="329" t="s">
        <v>1105</v>
      </c>
      <c r="AQ62" s="329" t="s">
        <v>378</v>
      </c>
      <c r="AR62" s="329" t="s">
        <v>378</v>
      </c>
      <c r="AT62" s="329" t="s">
        <v>1215</v>
      </c>
      <c r="AU62" s="330">
        <v>5976</v>
      </c>
    </row>
    <row r="63" spans="1:47" ht="30" customHeight="1">
      <c r="A63" s="333" t="s">
        <v>314</v>
      </c>
      <c r="B63" s="333" t="s">
        <v>315</v>
      </c>
      <c r="C63" s="333" t="s">
        <v>265</v>
      </c>
      <c r="D63" s="334">
        <v>60</v>
      </c>
      <c r="E63" s="335">
        <f>TRUNC(신규_일위대가목록!E42,0)</f>
        <v>972</v>
      </c>
      <c r="F63" s="335">
        <f t="shared" si="4"/>
        <v>58320</v>
      </c>
      <c r="G63" s="335">
        <f>TRUNC(신규_일위대가목록!F42,0)</f>
        <v>32429</v>
      </c>
      <c r="H63" s="335">
        <f t="shared" si="5"/>
        <v>1945740</v>
      </c>
      <c r="I63" s="335">
        <f>TRUNC(신규_일위대가목록!G42,0)</f>
        <v>0</v>
      </c>
      <c r="J63" s="335">
        <f t="shared" si="6"/>
        <v>0</v>
      </c>
      <c r="K63" s="335">
        <f t="shared" si="7"/>
        <v>2004060</v>
      </c>
      <c r="L63" s="333" t="s">
        <v>699</v>
      </c>
      <c r="M63" s="329" t="s">
        <v>1216</v>
      </c>
      <c r="N63" s="329" t="s">
        <v>378</v>
      </c>
      <c r="O63" s="329" t="s">
        <v>378</v>
      </c>
      <c r="P63" s="329" t="s">
        <v>1199</v>
      </c>
      <c r="Q63" s="329" t="s">
        <v>1104</v>
      </c>
      <c r="R63" s="329" t="s">
        <v>1105</v>
      </c>
      <c r="S63" s="329" t="s">
        <v>1105</v>
      </c>
      <c r="AQ63" s="329" t="s">
        <v>378</v>
      </c>
      <c r="AR63" s="329" t="s">
        <v>378</v>
      </c>
      <c r="AT63" s="329" t="s">
        <v>1217</v>
      </c>
      <c r="AU63" s="330">
        <v>5977</v>
      </c>
    </row>
    <row r="64" spans="1:47" ht="30" customHeight="1">
      <c r="A64" s="333" t="s">
        <v>316</v>
      </c>
      <c r="B64" s="333" t="s">
        <v>317</v>
      </c>
      <c r="C64" s="333" t="s">
        <v>265</v>
      </c>
      <c r="D64" s="334">
        <v>36</v>
      </c>
      <c r="E64" s="335">
        <f>TRUNC(신규_일위대가목록!E43,0)</f>
        <v>1466</v>
      </c>
      <c r="F64" s="335">
        <f t="shared" si="4"/>
        <v>52776</v>
      </c>
      <c r="G64" s="335">
        <f>TRUNC(신규_일위대가목록!F43,0)</f>
        <v>48879</v>
      </c>
      <c r="H64" s="335">
        <f t="shared" si="5"/>
        <v>1759644</v>
      </c>
      <c r="I64" s="335">
        <f>TRUNC(신규_일위대가목록!G43,0)</f>
        <v>0</v>
      </c>
      <c r="J64" s="335">
        <f t="shared" si="6"/>
        <v>0</v>
      </c>
      <c r="K64" s="335">
        <f t="shared" si="7"/>
        <v>1812420</v>
      </c>
      <c r="L64" s="333" t="s">
        <v>700</v>
      </c>
      <c r="M64" s="329" t="s">
        <v>1218</v>
      </c>
      <c r="N64" s="329" t="s">
        <v>378</v>
      </c>
      <c r="O64" s="329" t="s">
        <v>378</v>
      </c>
      <c r="P64" s="329" t="s">
        <v>1199</v>
      </c>
      <c r="Q64" s="329" t="s">
        <v>1104</v>
      </c>
      <c r="R64" s="329" t="s">
        <v>1105</v>
      </c>
      <c r="S64" s="329" t="s">
        <v>1105</v>
      </c>
      <c r="AQ64" s="329" t="s">
        <v>378</v>
      </c>
      <c r="AR64" s="329" t="s">
        <v>378</v>
      </c>
      <c r="AT64" s="329" t="s">
        <v>1219</v>
      </c>
      <c r="AU64" s="330">
        <v>5978</v>
      </c>
    </row>
    <row r="65" spans="1:47" ht="30" customHeight="1">
      <c r="A65" s="333" t="s">
        <v>318</v>
      </c>
      <c r="B65" s="333" t="s">
        <v>378</v>
      </c>
      <c r="C65" s="333" t="s">
        <v>280</v>
      </c>
      <c r="D65" s="334">
        <v>36</v>
      </c>
      <c r="E65" s="335">
        <f>TRUNC(신규_일위대가목록!E44,0)</f>
        <v>48217</v>
      </c>
      <c r="F65" s="335">
        <f t="shared" si="4"/>
        <v>1735812</v>
      </c>
      <c r="G65" s="335">
        <f>TRUNC(신규_일위대가목록!F44,0)</f>
        <v>63909</v>
      </c>
      <c r="H65" s="335">
        <f t="shared" si="5"/>
        <v>2300724</v>
      </c>
      <c r="I65" s="335">
        <f>TRUNC(신규_일위대가목록!G44,0)</f>
        <v>3703</v>
      </c>
      <c r="J65" s="335">
        <f t="shared" si="6"/>
        <v>133308</v>
      </c>
      <c r="K65" s="335">
        <f t="shared" si="7"/>
        <v>4169844</v>
      </c>
      <c r="L65" s="333" t="s">
        <v>701</v>
      </c>
      <c r="M65" s="329" t="s">
        <v>1220</v>
      </c>
      <c r="N65" s="329" t="s">
        <v>378</v>
      </c>
      <c r="O65" s="329" t="s">
        <v>378</v>
      </c>
      <c r="P65" s="329" t="s">
        <v>1199</v>
      </c>
      <c r="Q65" s="329" t="s">
        <v>1104</v>
      </c>
      <c r="R65" s="329" t="s">
        <v>1105</v>
      </c>
      <c r="S65" s="329" t="s">
        <v>1105</v>
      </c>
      <c r="AQ65" s="329" t="s">
        <v>378</v>
      </c>
      <c r="AR65" s="329" t="s">
        <v>378</v>
      </c>
      <c r="AT65" s="329" t="s">
        <v>1221</v>
      </c>
      <c r="AU65" s="330">
        <v>5980</v>
      </c>
    </row>
    <row r="66" spans="1:47" ht="30" customHeight="1">
      <c r="A66" s="333" t="s">
        <v>319</v>
      </c>
      <c r="B66" s="333" t="s">
        <v>320</v>
      </c>
      <c r="C66" s="333" t="s">
        <v>321</v>
      </c>
      <c r="D66" s="334">
        <v>1</v>
      </c>
      <c r="E66" s="335">
        <f>TRUNC(신규_일위대가목록!E45,0)</f>
        <v>1380760</v>
      </c>
      <c r="F66" s="335">
        <f t="shared" si="4"/>
        <v>1380760</v>
      </c>
      <c r="G66" s="335">
        <f>TRUNC(신규_일위대가목록!F45,0)</f>
        <v>369651</v>
      </c>
      <c r="H66" s="335">
        <f t="shared" si="5"/>
        <v>369651</v>
      </c>
      <c r="I66" s="335">
        <f>TRUNC(신규_일위대가목록!G45,0)</f>
        <v>0</v>
      </c>
      <c r="J66" s="335">
        <f t="shared" si="6"/>
        <v>0</v>
      </c>
      <c r="K66" s="335">
        <f t="shared" si="7"/>
        <v>1750411</v>
      </c>
      <c r="L66" s="333" t="s">
        <v>702</v>
      </c>
      <c r="M66" s="329" t="s">
        <v>1222</v>
      </c>
      <c r="N66" s="329" t="s">
        <v>378</v>
      </c>
      <c r="O66" s="329" t="s">
        <v>378</v>
      </c>
      <c r="P66" s="329" t="s">
        <v>1199</v>
      </c>
      <c r="Q66" s="329" t="s">
        <v>1104</v>
      </c>
      <c r="R66" s="329" t="s">
        <v>1105</v>
      </c>
      <c r="S66" s="329" t="s">
        <v>1105</v>
      </c>
      <c r="AQ66" s="329" t="s">
        <v>378</v>
      </c>
      <c r="AR66" s="329" t="s">
        <v>378</v>
      </c>
      <c r="AT66" s="329" t="s">
        <v>1223</v>
      </c>
      <c r="AU66" s="330">
        <v>5983</v>
      </c>
    </row>
    <row r="67" spans="1:47" ht="30" customHeight="1">
      <c r="A67" s="333" t="s">
        <v>322</v>
      </c>
      <c r="B67" s="333" t="s">
        <v>320</v>
      </c>
      <c r="C67" s="333" t="s">
        <v>321</v>
      </c>
      <c r="D67" s="334">
        <v>1</v>
      </c>
      <c r="E67" s="335">
        <f>TRUNC(신규_일위대가목록!E46,0)</f>
        <v>1355677</v>
      </c>
      <c r="F67" s="335">
        <f t="shared" si="4"/>
        <v>1355677</v>
      </c>
      <c r="G67" s="335">
        <f>TRUNC(신규_일위대가목록!F46,0)</f>
        <v>419001</v>
      </c>
      <c r="H67" s="335">
        <f t="shared" si="5"/>
        <v>419001</v>
      </c>
      <c r="I67" s="335">
        <f>TRUNC(신규_일위대가목록!G46,0)</f>
        <v>0</v>
      </c>
      <c r="J67" s="335">
        <f t="shared" si="6"/>
        <v>0</v>
      </c>
      <c r="K67" s="335">
        <f t="shared" si="7"/>
        <v>1774678</v>
      </c>
      <c r="L67" s="333" t="s">
        <v>703</v>
      </c>
      <c r="M67" s="329" t="s">
        <v>1224</v>
      </c>
      <c r="N67" s="329" t="s">
        <v>378</v>
      </c>
      <c r="O67" s="329" t="s">
        <v>378</v>
      </c>
      <c r="P67" s="329" t="s">
        <v>1199</v>
      </c>
      <c r="Q67" s="329" t="s">
        <v>1104</v>
      </c>
      <c r="R67" s="329" t="s">
        <v>1105</v>
      </c>
      <c r="S67" s="329" t="s">
        <v>1105</v>
      </c>
      <c r="AQ67" s="329" t="s">
        <v>378</v>
      </c>
      <c r="AR67" s="329" t="s">
        <v>378</v>
      </c>
      <c r="AT67" s="329" t="s">
        <v>1225</v>
      </c>
      <c r="AU67" s="330">
        <v>6035</v>
      </c>
    </row>
    <row r="68" spans="1:47" ht="30" customHeight="1">
      <c r="A68" s="333" t="s">
        <v>323</v>
      </c>
      <c r="B68" s="333" t="s">
        <v>324</v>
      </c>
      <c r="C68" s="333" t="s">
        <v>212</v>
      </c>
      <c r="D68" s="334">
        <v>1</v>
      </c>
      <c r="E68" s="335">
        <f>TRUNC(신규_일위대가목록!E28,0)</f>
        <v>72386</v>
      </c>
      <c r="F68" s="335">
        <f t="shared" si="4"/>
        <v>72386</v>
      </c>
      <c r="G68" s="335">
        <f>TRUNC(신규_일위대가목록!F28,0)</f>
        <v>105831</v>
      </c>
      <c r="H68" s="335">
        <f t="shared" si="5"/>
        <v>105831</v>
      </c>
      <c r="I68" s="335">
        <f>TRUNC(신규_일위대가목록!G28,0)</f>
        <v>891</v>
      </c>
      <c r="J68" s="335">
        <f t="shared" si="6"/>
        <v>891</v>
      </c>
      <c r="K68" s="335">
        <f t="shared" si="7"/>
        <v>179108</v>
      </c>
      <c r="L68" s="333" t="s">
        <v>704</v>
      </c>
      <c r="M68" s="329" t="s">
        <v>1172</v>
      </c>
      <c r="N68" s="329" t="s">
        <v>378</v>
      </c>
      <c r="O68" s="329" t="s">
        <v>378</v>
      </c>
      <c r="P68" s="329" t="s">
        <v>1199</v>
      </c>
      <c r="Q68" s="329" t="s">
        <v>1104</v>
      </c>
      <c r="R68" s="329" t="s">
        <v>1105</v>
      </c>
      <c r="S68" s="329" t="s">
        <v>1105</v>
      </c>
      <c r="AQ68" s="329" t="s">
        <v>378</v>
      </c>
      <c r="AR68" s="329" t="s">
        <v>378</v>
      </c>
      <c r="AT68" s="329" t="s">
        <v>1226</v>
      </c>
      <c r="AU68" s="330">
        <v>5984</v>
      </c>
    </row>
    <row r="69" spans="1:47" ht="30" customHeight="1">
      <c r="A69" s="333" t="s">
        <v>325</v>
      </c>
      <c r="B69" s="333" t="s">
        <v>325</v>
      </c>
      <c r="C69" s="333" t="s">
        <v>212</v>
      </c>
      <c r="D69" s="334">
        <v>2</v>
      </c>
      <c r="E69" s="335">
        <f>TRUNC(신규_일위대가목록!E47,0)</f>
        <v>72386</v>
      </c>
      <c r="F69" s="335">
        <f t="shared" si="4"/>
        <v>144772</v>
      </c>
      <c r="G69" s="335">
        <f>TRUNC(신규_일위대가목록!F47,0)</f>
        <v>105831</v>
      </c>
      <c r="H69" s="335">
        <f t="shared" si="5"/>
        <v>211662</v>
      </c>
      <c r="I69" s="335">
        <f>TRUNC(신규_일위대가목록!G47,0)</f>
        <v>891</v>
      </c>
      <c r="J69" s="335">
        <f t="shared" si="6"/>
        <v>1782</v>
      </c>
      <c r="K69" s="335">
        <f t="shared" si="7"/>
        <v>358216</v>
      </c>
      <c r="L69" s="333" t="s">
        <v>705</v>
      </c>
      <c r="M69" s="329" t="s">
        <v>1227</v>
      </c>
      <c r="N69" s="329" t="s">
        <v>378</v>
      </c>
      <c r="O69" s="329" t="s">
        <v>378</v>
      </c>
      <c r="P69" s="329" t="s">
        <v>1199</v>
      </c>
      <c r="Q69" s="329" t="s">
        <v>1104</v>
      </c>
      <c r="R69" s="329" t="s">
        <v>1105</v>
      </c>
      <c r="S69" s="329" t="s">
        <v>1105</v>
      </c>
      <c r="AQ69" s="329" t="s">
        <v>378</v>
      </c>
      <c r="AR69" s="329" t="s">
        <v>378</v>
      </c>
      <c r="AT69" s="329" t="s">
        <v>1228</v>
      </c>
      <c r="AU69" s="330">
        <v>5985</v>
      </c>
    </row>
    <row r="70" spans="1:47" ht="30" customHeight="1">
      <c r="A70" s="333" t="s">
        <v>326</v>
      </c>
      <c r="B70" s="333" t="s">
        <v>378</v>
      </c>
      <c r="C70" s="333" t="s">
        <v>280</v>
      </c>
      <c r="D70" s="334">
        <v>15</v>
      </c>
      <c r="E70" s="335">
        <f>TRUNC(신규_일위대가목록!E48,0)</f>
        <v>76728</v>
      </c>
      <c r="F70" s="335">
        <f t="shared" si="4"/>
        <v>1150920</v>
      </c>
      <c r="G70" s="335">
        <f>TRUNC(신규_일위대가목록!F48,0)</f>
        <v>63909</v>
      </c>
      <c r="H70" s="335">
        <f t="shared" si="5"/>
        <v>958635</v>
      </c>
      <c r="I70" s="335">
        <f>TRUNC(신규_일위대가목록!G48,0)</f>
        <v>3703</v>
      </c>
      <c r="J70" s="335">
        <f t="shared" si="6"/>
        <v>55545</v>
      </c>
      <c r="K70" s="335">
        <f t="shared" si="7"/>
        <v>2165100</v>
      </c>
      <c r="L70" s="333" t="s">
        <v>706</v>
      </c>
      <c r="M70" s="329" t="s">
        <v>1229</v>
      </c>
      <c r="N70" s="329" t="s">
        <v>378</v>
      </c>
      <c r="O70" s="329" t="s">
        <v>378</v>
      </c>
      <c r="P70" s="329" t="s">
        <v>1199</v>
      </c>
      <c r="Q70" s="329" t="s">
        <v>1104</v>
      </c>
      <c r="R70" s="329" t="s">
        <v>1105</v>
      </c>
      <c r="S70" s="329" t="s">
        <v>1105</v>
      </c>
      <c r="AQ70" s="329" t="s">
        <v>378</v>
      </c>
      <c r="AR70" s="329" t="s">
        <v>378</v>
      </c>
      <c r="AT70" s="329" t="s">
        <v>1230</v>
      </c>
      <c r="AU70" s="330">
        <v>5979</v>
      </c>
    </row>
    <row r="71" spans="1:47" ht="30" customHeight="1">
      <c r="A71" s="333" t="s">
        <v>327</v>
      </c>
      <c r="B71" s="333" t="s">
        <v>328</v>
      </c>
      <c r="C71" s="333" t="s">
        <v>329</v>
      </c>
      <c r="D71" s="334">
        <v>15</v>
      </c>
      <c r="E71" s="335">
        <f>TRUNC(신규_일위대가목록!E49,0)</f>
        <v>1290</v>
      </c>
      <c r="F71" s="335">
        <f t="shared" si="4"/>
        <v>19350</v>
      </c>
      <c r="G71" s="335">
        <f>TRUNC(신규_일위대가목록!F49,0)</f>
        <v>43004</v>
      </c>
      <c r="H71" s="335">
        <f t="shared" si="5"/>
        <v>645060</v>
      </c>
      <c r="I71" s="335">
        <f>TRUNC(신규_일위대가목록!G49,0)</f>
        <v>0</v>
      </c>
      <c r="J71" s="335">
        <f t="shared" si="6"/>
        <v>0</v>
      </c>
      <c r="K71" s="335">
        <f t="shared" si="7"/>
        <v>664410</v>
      </c>
      <c r="L71" s="333" t="s">
        <v>707</v>
      </c>
      <c r="M71" s="329" t="s">
        <v>1231</v>
      </c>
      <c r="N71" s="329" t="s">
        <v>378</v>
      </c>
      <c r="O71" s="329" t="s">
        <v>378</v>
      </c>
      <c r="P71" s="329" t="s">
        <v>1199</v>
      </c>
      <c r="Q71" s="329" t="s">
        <v>1104</v>
      </c>
      <c r="R71" s="329" t="s">
        <v>1105</v>
      </c>
      <c r="S71" s="329" t="s">
        <v>1105</v>
      </c>
      <c r="AQ71" s="329" t="s">
        <v>378</v>
      </c>
      <c r="AR71" s="329" t="s">
        <v>378</v>
      </c>
      <c r="AT71" s="329" t="s">
        <v>1232</v>
      </c>
      <c r="AU71" s="330">
        <v>5852</v>
      </c>
    </row>
    <row r="72" spans="1:47" ht="30" customHeight="1">
      <c r="A72" s="333" t="s">
        <v>330</v>
      </c>
      <c r="B72" s="333" t="s">
        <v>331</v>
      </c>
      <c r="C72" s="333" t="s">
        <v>332</v>
      </c>
      <c r="D72" s="334">
        <v>15</v>
      </c>
      <c r="E72" s="335">
        <f>TRUNC(신규_일위대가목록!E50,0)</f>
        <v>5913</v>
      </c>
      <c r="F72" s="335">
        <f t="shared" si="4"/>
        <v>88695</v>
      </c>
      <c r="G72" s="335">
        <f>TRUNC(신규_일위대가목록!F50,0)</f>
        <v>96750</v>
      </c>
      <c r="H72" s="335">
        <f t="shared" si="5"/>
        <v>1451250</v>
      </c>
      <c r="I72" s="335">
        <f>TRUNC(신규_일위대가목록!G50,0)</f>
        <v>4736</v>
      </c>
      <c r="J72" s="335">
        <f t="shared" si="6"/>
        <v>71040</v>
      </c>
      <c r="K72" s="335">
        <f t="shared" si="7"/>
        <v>1610985</v>
      </c>
      <c r="L72" s="333" t="s">
        <v>708</v>
      </c>
      <c r="M72" s="329" t="s">
        <v>1233</v>
      </c>
      <c r="N72" s="329" t="s">
        <v>378</v>
      </c>
      <c r="O72" s="329" t="s">
        <v>378</v>
      </c>
      <c r="P72" s="329" t="s">
        <v>1199</v>
      </c>
      <c r="Q72" s="329" t="s">
        <v>1104</v>
      </c>
      <c r="R72" s="329" t="s">
        <v>1105</v>
      </c>
      <c r="S72" s="329" t="s">
        <v>1105</v>
      </c>
      <c r="AQ72" s="329" t="s">
        <v>378</v>
      </c>
      <c r="AR72" s="329" t="s">
        <v>378</v>
      </c>
      <c r="AT72" s="329" t="s">
        <v>1234</v>
      </c>
      <c r="AU72" s="330">
        <v>5986</v>
      </c>
    </row>
    <row r="73" spans="1:47" ht="30" customHeight="1">
      <c r="A73" s="333" t="s">
        <v>333</v>
      </c>
      <c r="B73" s="333" t="s">
        <v>333</v>
      </c>
      <c r="C73" s="333" t="s">
        <v>291</v>
      </c>
      <c r="D73" s="334">
        <v>27</v>
      </c>
      <c r="E73" s="335">
        <f>TRUNC(신규_일위대가목록!E51,0)</f>
        <v>5913</v>
      </c>
      <c r="F73" s="335">
        <f t="shared" si="4"/>
        <v>159651</v>
      </c>
      <c r="G73" s="335">
        <f>TRUNC(신규_일위대가목록!F51,0)</f>
        <v>96750</v>
      </c>
      <c r="H73" s="335">
        <f t="shared" si="5"/>
        <v>2612250</v>
      </c>
      <c r="I73" s="335">
        <f>TRUNC(신규_일위대가목록!G51,0)</f>
        <v>4736</v>
      </c>
      <c r="J73" s="335">
        <f t="shared" si="6"/>
        <v>127872</v>
      </c>
      <c r="K73" s="335">
        <f t="shared" si="7"/>
        <v>2899773</v>
      </c>
      <c r="L73" s="333" t="s">
        <v>709</v>
      </c>
      <c r="M73" s="329" t="s">
        <v>1235</v>
      </c>
      <c r="N73" s="329" t="s">
        <v>378</v>
      </c>
      <c r="O73" s="329" t="s">
        <v>378</v>
      </c>
      <c r="P73" s="329" t="s">
        <v>1199</v>
      </c>
      <c r="Q73" s="329" t="s">
        <v>1104</v>
      </c>
      <c r="R73" s="329" t="s">
        <v>1105</v>
      </c>
      <c r="S73" s="329" t="s">
        <v>1105</v>
      </c>
      <c r="AQ73" s="329" t="s">
        <v>378</v>
      </c>
      <c r="AR73" s="329" t="s">
        <v>378</v>
      </c>
      <c r="AT73" s="329" t="s">
        <v>1236</v>
      </c>
      <c r="AU73" s="330">
        <v>5987</v>
      </c>
    </row>
    <row r="74" spans="1:47" ht="30" customHeight="1">
      <c r="A74" s="333" t="s">
        <v>334</v>
      </c>
      <c r="B74" s="333" t="s">
        <v>334</v>
      </c>
      <c r="C74" s="333" t="s">
        <v>291</v>
      </c>
      <c r="D74" s="334">
        <v>62</v>
      </c>
      <c r="E74" s="335">
        <f>TRUNC(신규_일위대가목록!E52,0)</f>
        <v>1706</v>
      </c>
      <c r="F74" s="335">
        <f t="shared" si="4"/>
        <v>105772</v>
      </c>
      <c r="G74" s="335">
        <f>TRUNC(신규_일위대가목록!F52,0)</f>
        <v>56869</v>
      </c>
      <c r="H74" s="335">
        <f t="shared" si="5"/>
        <v>3525878</v>
      </c>
      <c r="I74" s="335">
        <f>TRUNC(신규_일위대가목록!G52,0)</f>
        <v>0</v>
      </c>
      <c r="J74" s="335">
        <f t="shared" si="6"/>
        <v>0</v>
      </c>
      <c r="K74" s="335">
        <f t="shared" si="7"/>
        <v>3631650</v>
      </c>
      <c r="L74" s="333" t="s">
        <v>710</v>
      </c>
      <c r="M74" s="329" t="s">
        <v>1237</v>
      </c>
      <c r="N74" s="329" t="s">
        <v>378</v>
      </c>
      <c r="O74" s="329" t="s">
        <v>378</v>
      </c>
      <c r="P74" s="329" t="s">
        <v>1199</v>
      </c>
      <c r="Q74" s="329" t="s">
        <v>1104</v>
      </c>
      <c r="R74" s="329" t="s">
        <v>1105</v>
      </c>
      <c r="S74" s="329" t="s">
        <v>1105</v>
      </c>
      <c r="AQ74" s="329" t="s">
        <v>378</v>
      </c>
      <c r="AR74" s="329" t="s">
        <v>378</v>
      </c>
      <c r="AT74" s="329" t="s">
        <v>1238</v>
      </c>
      <c r="AU74" s="330">
        <v>6034</v>
      </c>
    </row>
    <row r="75" spans="1:47" ht="30" customHeight="1">
      <c r="A75" s="333" t="s">
        <v>335</v>
      </c>
      <c r="B75" s="333" t="s">
        <v>336</v>
      </c>
      <c r="C75" s="333" t="s">
        <v>280</v>
      </c>
      <c r="D75" s="334">
        <v>27</v>
      </c>
      <c r="E75" s="335">
        <f>TRUNC(신규_일위대가목록!E53,0)</f>
        <v>48217</v>
      </c>
      <c r="F75" s="335">
        <f t="shared" si="4"/>
        <v>1301859</v>
      </c>
      <c r="G75" s="335">
        <f>TRUNC(신규_일위대가목록!F53,0)</f>
        <v>63909</v>
      </c>
      <c r="H75" s="335">
        <f t="shared" si="5"/>
        <v>1725543</v>
      </c>
      <c r="I75" s="335">
        <f>TRUNC(신규_일위대가목록!G53,0)</f>
        <v>3703</v>
      </c>
      <c r="J75" s="335">
        <f t="shared" si="6"/>
        <v>99981</v>
      </c>
      <c r="K75" s="335">
        <f t="shared" si="7"/>
        <v>3127383</v>
      </c>
      <c r="L75" s="333" t="s">
        <v>711</v>
      </c>
      <c r="M75" s="329" t="s">
        <v>1239</v>
      </c>
      <c r="N75" s="329" t="s">
        <v>378</v>
      </c>
      <c r="O75" s="329" t="s">
        <v>378</v>
      </c>
      <c r="P75" s="329" t="s">
        <v>1199</v>
      </c>
      <c r="Q75" s="329" t="s">
        <v>1104</v>
      </c>
      <c r="R75" s="329" t="s">
        <v>1105</v>
      </c>
      <c r="S75" s="329" t="s">
        <v>1105</v>
      </c>
      <c r="AQ75" s="329" t="s">
        <v>378</v>
      </c>
      <c r="AR75" s="329" t="s">
        <v>378</v>
      </c>
      <c r="AT75" s="329" t="s">
        <v>1240</v>
      </c>
      <c r="AU75" s="330">
        <v>5988</v>
      </c>
    </row>
    <row r="76" spans="1:47" ht="30" customHeight="1">
      <c r="A76" s="333" t="s">
        <v>337</v>
      </c>
      <c r="B76" s="333" t="s">
        <v>338</v>
      </c>
      <c r="C76" s="333" t="s">
        <v>265</v>
      </c>
      <c r="D76" s="334">
        <v>15</v>
      </c>
      <c r="E76" s="335">
        <f>TRUNC(신규_일위대가목록!E54,0)</f>
        <v>15718</v>
      </c>
      <c r="F76" s="335">
        <f t="shared" si="4"/>
        <v>235770</v>
      </c>
      <c r="G76" s="335">
        <f>TRUNC(신규_일위대가목록!F54,0)</f>
        <v>36975</v>
      </c>
      <c r="H76" s="335">
        <f t="shared" si="5"/>
        <v>554625</v>
      </c>
      <c r="I76" s="335">
        <f>TRUNC(신규_일위대가목록!G54,0)</f>
        <v>0</v>
      </c>
      <c r="J76" s="335">
        <f t="shared" si="6"/>
        <v>0</v>
      </c>
      <c r="K76" s="335">
        <f t="shared" si="7"/>
        <v>790395</v>
      </c>
      <c r="L76" s="333" t="s">
        <v>712</v>
      </c>
      <c r="M76" s="329" t="s">
        <v>1241</v>
      </c>
      <c r="N76" s="329" t="s">
        <v>378</v>
      </c>
      <c r="O76" s="329" t="s">
        <v>378</v>
      </c>
      <c r="P76" s="329" t="s">
        <v>1199</v>
      </c>
      <c r="Q76" s="329" t="s">
        <v>1104</v>
      </c>
      <c r="R76" s="329" t="s">
        <v>1105</v>
      </c>
      <c r="S76" s="329" t="s">
        <v>1105</v>
      </c>
      <c r="AQ76" s="329" t="s">
        <v>378</v>
      </c>
      <c r="AR76" s="329" t="s">
        <v>378</v>
      </c>
      <c r="AT76" s="329" t="s">
        <v>1242</v>
      </c>
      <c r="AU76" s="330">
        <v>5989</v>
      </c>
    </row>
    <row r="77" spans="1:47" ht="30" customHeight="1">
      <c r="A77" s="333" t="s">
        <v>339</v>
      </c>
      <c r="B77" s="333" t="s">
        <v>340</v>
      </c>
      <c r="C77" s="333" t="s">
        <v>287</v>
      </c>
      <c r="D77" s="334">
        <v>404.55</v>
      </c>
      <c r="E77" s="335">
        <f>TRUNC(신규_일위대가목록!E34,0)</f>
        <v>600</v>
      </c>
      <c r="F77" s="335">
        <f t="shared" si="4"/>
        <v>242730</v>
      </c>
      <c r="G77" s="335">
        <f>TRUNC(신규_일위대가목록!F34,0)</f>
        <v>6909</v>
      </c>
      <c r="H77" s="335">
        <f t="shared" si="5"/>
        <v>2795035</v>
      </c>
      <c r="I77" s="335">
        <f>TRUNC(신규_일위대가목록!G34,0)</f>
        <v>785</v>
      </c>
      <c r="J77" s="335">
        <f t="shared" si="6"/>
        <v>317571</v>
      </c>
      <c r="K77" s="335">
        <f t="shared" si="7"/>
        <v>3355336</v>
      </c>
      <c r="L77" s="333" t="s">
        <v>713</v>
      </c>
      <c r="M77" s="329" t="s">
        <v>1189</v>
      </c>
      <c r="N77" s="329" t="s">
        <v>378</v>
      </c>
      <c r="O77" s="329" t="s">
        <v>378</v>
      </c>
      <c r="P77" s="329" t="s">
        <v>1199</v>
      </c>
      <c r="Q77" s="329" t="s">
        <v>1104</v>
      </c>
      <c r="R77" s="329" t="s">
        <v>1105</v>
      </c>
      <c r="S77" s="329" t="s">
        <v>1105</v>
      </c>
      <c r="AQ77" s="329" t="s">
        <v>378</v>
      </c>
      <c r="AR77" s="329" t="s">
        <v>378</v>
      </c>
      <c r="AT77" s="329" t="s">
        <v>1243</v>
      </c>
      <c r="AU77" s="330">
        <v>5853</v>
      </c>
    </row>
    <row r="78" spans="1:47" ht="30" customHeight="1">
      <c r="A78" s="333" t="s">
        <v>341</v>
      </c>
      <c r="B78" s="333" t="s">
        <v>342</v>
      </c>
      <c r="C78" s="333" t="s">
        <v>343</v>
      </c>
      <c r="D78" s="334">
        <v>404.55</v>
      </c>
      <c r="E78" s="335">
        <f>TRUNC(신규_일위대가목록!E35,0)</f>
        <v>6606</v>
      </c>
      <c r="F78" s="335">
        <f t="shared" si="4"/>
        <v>2672457</v>
      </c>
      <c r="G78" s="335">
        <f>TRUNC(신규_일위대가목록!F35,0)</f>
        <v>525</v>
      </c>
      <c r="H78" s="335">
        <f t="shared" si="5"/>
        <v>212388</v>
      </c>
      <c r="I78" s="335">
        <f>TRUNC(신규_일위대가목록!G35,0)</f>
        <v>419</v>
      </c>
      <c r="J78" s="335">
        <f t="shared" si="6"/>
        <v>169506</v>
      </c>
      <c r="K78" s="335">
        <f t="shared" si="7"/>
        <v>3054351</v>
      </c>
      <c r="L78" s="333" t="s">
        <v>714</v>
      </c>
      <c r="M78" s="329" t="s">
        <v>1191</v>
      </c>
      <c r="N78" s="329" t="s">
        <v>378</v>
      </c>
      <c r="O78" s="329" t="s">
        <v>378</v>
      </c>
      <c r="P78" s="329" t="s">
        <v>1199</v>
      </c>
      <c r="Q78" s="329" t="s">
        <v>1104</v>
      </c>
      <c r="R78" s="329" t="s">
        <v>1105</v>
      </c>
      <c r="S78" s="329" t="s">
        <v>1105</v>
      </c>
      <c r="AQ78" s="329" t="s">
        <v>378</v>
      </c>
      <c r="AR78" s="329" t="s">
        <v>378</v>
      </c>
      <c r="AT78" s="329" t="s">
        <v>1244</v>
      </c>
      <c r="AU78" s="330">
        <v>5854</v>
      </c>
    </row>
    <row r="79" spans="1:47" ht="30" customHeight="1">
      <c r="A79" s="334"/>
      <c r="B79" s="334"/>
      <c r="C79" s="334"/>
      <c r="D79" s="334"/>
      <c r="E79" s="334"/>
      <c r="F79" s="334"/>
      <c r="G79" s="334"/>
      <c r="H79" s="334"/>
      <c r="I79" s="334"/>
      <c r="J79" s="334"/>
      <c r="K79" s="334"/>
      <c r="L79" s="334"/>
    </row>
    <row r="80" spans="1:47" ht="30" customHeight="1">
      <c r="A80" s="334"/>
      <c r="B80" s="334"/>
      <c r="C80" s="334"/>
      <c r="D80" s="334"/>
      <c r="E80" s="334"/>
      <c r="F80" s="334"/>
      <c r="G80" s="334"/>
      <c r="H80" s="334"/>
      <c r="I80" s="334"/>
      <c r="J80" s="334"/>
      <c r="K80" s="334"/>
      <c r="L80" s="334"/>
    </row>
    <row r="81" spans="1:12" ht="30" customHeight="1">
      <c r="A81" s="334"/>
      <c r="B81" s="334"/>
      <c r="C81" s="334"/>
      <c r="D81" s="334"/>
      <c r="E81" s="334"/>
      <c r="F81" s="334"/>
      <c r="G81" s="334"/>
      <c r="H81" s="334"/>
      <c r="I81" s="334"/>
      <c r="J81" s="334"/>
      <c r="K81" s="334"/>
      <c r="L81" s="334"/>
    </row>
    <row r="82" spans="1:12" ht="30" customHeight="1">
      <c r="A82" s="334"/>
      <c r="B82" s="334"/>
      <c r="C82" s="334"/>
      <c r="D82" s="334"/>
      <c r="E82" s="334"/>
      <c r="F82" s="334"/>
      <c r="G82" s="334"/>
      <c r="H82" s="334"/>
      <c r="I82" s="334"/>
      <c r="J82" s="334"/>
      <c r="K82" s="334"/>
      <c r="L82" s="334"/>
    </row>
    <row r="83" spans="1:12" ht="30" customHeight="1">
      <c r="A83" s="334"/>
      <c r="B83" s="334"/>
      <c r="C83" s="334"/>
      <c r="D83" s="334"/>
      <c r="E83" s="334"/>
      <c r="F83" s="334"/>
      <c r="G83" s="334"/>
      <c r="H83" s="334"/>
      <c r="I83" s="334"/>
      <c r="J83" s="334"/>
      <c r="K83" s="334"/>
      <c r="L83" s="334"/>
    </row>
    <row r="84" spans="1:12" ht="30" customHeight="1">
      <c r="A84" s="334"/>
      <c r="B84" s="334"/>
      <c r="C84" s="334"/>
      <c r="D84" s="334"/>
      <c r="E84" s="334"/>
      <c r="F84" s="334"/>
      <c r="G84" s="334"/>
      <c r="H84" s="334"/>
      <c r="I84" s="334"/>
      <c r="J84" s="334"/>
      <c r="K84" s="334"/>
      <c r="L84" s="334"/>
    </row>
    <row r="85" spans="1:12" ht="30" customHeight="1">
      <c r="A85" s="334"/>
      <c r="B85" s="334"/>
      <c r="C85" s="334"/>
      <c r="D85" s="334"/>
      <c r="E85" s="334"/>
      <c r="F85" s="334"/>
      <c r="G85" s="334"/>
      <c r="H85" s="334"/>
      <c r="I85" s="334"/>
      <c r="J85" s="334"/>
      <c r="K85" s="334"/>
      <c r="L85" s="334"/>
    </row>
    <row r="86" spans="1:12" ht="30" customHeight="1">
      <c r="A86" s="334"/>
      <c r="B86" s="334"/>
      <c r="C86" s="334"/>
      <c r="D86" s="334"/>
      <c r="E86" s="334"/>
      <c r="F86" s="334"/>
      <c r="G86" s="334"/>
      <c r="H86" s="334"/>
      <c r="I86" s="334"/>
      <c r="J86" s="334"/>
      <c r="K86" s="334"/>
      <c r="L86" s="334"/>
    </row>
    <row r="87" spans="1:12" ht="30" customHeight="1">
      <c r="A87" s="334"/>
      <c r="B87" s="334"/>
      <c r="C87" s="334"/>
      <c r="D87" s="334"/>
      <c r="E87" s="334"/>
      <c r="F87" s="334"/>
      <c r="G87" s="334"/>
      <c r="H87" s="334"/>
      <c r="I87" s="334"/>
      <c r="J87" s="334"/>
      <c r="K87" s="334"/>
      <c r="L87" s="334"/>
    </row>
    <row r="88" spans="1:12" ht="30" customHeight="1">
      <c r="A88" s="334"/>
      <c r="B88" s="334"/>
      <c r="C88" s="334"/>
      <c r="D88" s="334"/>
      <c r="E88" s="334"/>
      <c r="F88" s="334"/>
      <c r="G88" s="334"/>
      <c r="H88" s="334"/>
      <c r="I88" s="334"/>
      <c r="J88" s="334"/>
      <c r="K88" s="334"/>
      <c r="L88" s="334"/>
    </row>
    <row r="89" spans="1:12" ht="30" customHeight="1">
      <c r="A89" s="334"/>
      <c r="B89" s="334"/>
      <c r="C89" s="334"/>
      <c r="D89" s="334"/>
      <c r="E89" s="334"/>
      <c r="F89" s="334"/>
      <c r="G89" s="334"/>
      <c r="H89" s="334"/>
      <c r="I89" s="334"/>
      <c r="J89" s="334"/>
      <c r="K89" s="334"/>
      <c r="L89" s="334"/>
    </row>
    <row r="90" spans="1:12" ht="30" customHeight="1">
      <c r="A90" s="334"/>
      <c r="B90" s="334"/>
      <c r="C90" s="334"/>
      <c r="D90" s="334"/>
      <c r="E90" s="334"/>
      <c r="F90" s="334"/>
      <c r="G90" s="334"/>
      <c r="H90" s="334"/>
      <c r="I90" s="334"/>
      <c r="J90" s="334"/>
      <c r="K90" s="334"/>
      <c r="L90" s="334"/>
    </row>
    <row r="91" spans="1:12" ht="30" customHeight="1">
      <c r="A91" s="334"/>
      <c r="B91" s="334"/>
      <c r="C91" s="334"/>
      <c r="D91" s="334"/>
      <c r="E91" s="334"/>
      <c r="F91" s="334"/>
      <c r="G91" s="334"/>
      <c r="H91" s="334"/>
      <c r="I91" s="334"/>
      <c r="J91" s="334"/>
      <c r="K91" s="334"/>
      <c r="L91" s="334"/>
    </row>
    <row r="92" spans="1:12" ht="30" customHeight="1">
      <c r="A92" s="334"/>
      <c r="B92" s="334"/>
      <c r="C92" s="334"/>
      <c r="D92" s="334"/>
      <c r="E92" s="334"/>
      <c r="F92" s="334"/>
      <c r="G92" s="334"/>
      <c r="H92" s="334"/>
      <c r="I92" s="334"/>
      <c r="J92" s="334"/>
      <c r="K92" s="334"/>
      <c r="L92" s="334"/>
    </row>
    <row r="93" spans="1:12" ht="30" customHeight="1">
      <c r="A93" s="334"/>
      <c r="B93" s="334"/>
      <c r="C93" s="334"/>
      <c r="D93" s="334"/>
      <c r="E93" s="334"/>
      <c r="F93" s="334"/>
      <c r="G93" s="334"/>
      <c r="H93" s="334"/>
      <c r="I93" s="334"/>
      <c r="J93" s="334"/>
      <c r="K93" s="334"/>
      <c r="L93" s="334"/>
    </row>
    <row r="94" spans="1:12" ht="30" customHeight="1">
      <c r="A94" s="334"/>
      <c r="B94" s="334"/>
      <c r="C94" s="334"/>
      <c r="D94" s="334"/>
      <c r="E94" s="334"/>
      <c r="F94" s="334"/>
      <c r="G94" s="334"/>
      <c r="H94" s="334"/>
      <c r="I94" s="334"/>
      <c r="J94" s="334"/>
      <c r="K94" s="334"/>
      <c r="L94" s="334"/>
    </row>
    <row r="95" spans="1:12" ht="30" customHeight="1">
      <c r="A95" s="334"/>
      <c r="B95" s="334"/>
      <c r="C95" s="334"/>
      <c r="D95" s="334"/>
      <c r="E95" s="334"/>
      <c r="F95" s="334"/>
      <c r="G95" s="334"/>
      <c r="H95" s="334"/>
      <c r="I95" s="334"/>
      <c r="J95" s="334"/>
      <c r="K95" s="334"/>
      <c r="L95" s="334"/>
    </row>
    <row r="96" spans="1:12" ht="30" customHeight="1">
      <c r="A96" s="334"/>
      <c r="B96" s="334"/>
      <c r="C96" s="334"/>
      <c r="D96" s="334"/>
      <c r="E96" s="334"/>
      <c r="F96" s="334"/>
      <c r="G96" s="334"/>
      <c r="H96" s="334"/>
      <c r="I96" s="334"/>
      <c r="J96" s="334"/>
      <c r="K96" s="334"/>
      <c r="L96" s="334"/>
    </row>
    <row r="97" spans="1:47" ht="30" customHeight="1">
      <c r="A97" s="334"/>
      <c r="B97" s="334"/>
      <c r="C97" s="334"/>
      <c r="D97" s="334"/>
      <c r="E97" s="334"/>
      <c r="F97" s="334"/>
      <c r="G97" s="334"/>
      <c r="H97" s="334"/>
      <c r="I97" s="334"/>
      <c r="J97" s="334"/>
      <c r="K97" s="334"/>
      <c r="L97" s="334"/>
    </row>
    <row r="98" spans="1:47" ht="30" customHeight="1">
      <c r="A98" s="334"/>
      <c r="B98" s="334"/>
      <c r="C98" s="334"/>
      <c r="D98" s="334"/>
      <c r="E98" s="334"/>
      <c r="F98" s="334"/>
      <c r="G98" s="334"/>
      <c r="H98" s="334"/>
      <c r="I98" s="334"/>
      <c r="J98" s="334"/>
      <c r="K98" s="334"/>
      <c r="L98" s="334"/>
    </row>
    <row r="99" spans="1:47" ht="30" customHeight="1">
      <c r="A99" s="333" t="s">
        <v>1196</v>
      </c>
      <c r="B99" s="334"/>
      <c r="C99" s="334"/>
      <c r="D99" s="334"/>
      <c r="E99" s="334"/>
      <c r="F99" s="335">
        <f>SUM(F53:F98)</f>
        <v>16886561</v>
      </c>
      <c r="G99" s="334"/>
      <c r="H99" s="335">
        <f>SUM(H53:H98)</f>
        <v>40880064</v>
      </c>
      <c r="I99" s="334"/>
      <c r="J99" s="335">
        <f>SUM(J53:J98)</f>
        <v>977496</v>
      </c>
      <c r="K99" s="335">
        <f>SUM(K53:K98)</f>
        <v>58744121</v>
      </c>
      <c r="L99" s="334"/>
      <c r="M99" s="330" t="s">
        <v>1197</v>
      </c>
    </row>
    <row r="100" spans="1:47" ht="30" customHeight="1">
      <c r="A100" s="333" t="s">
        <v>1245</v>
      </c>
      <c r="B100" s="333" t="s">
        <v>378</v>
      </c>
      <c r="C100" s="334"/>
      <c r="D100" s="334"/>
      <c r="E100" s="334"/>
      <c r="F100" s="334"/>
      <c r="G100" s="334"/>
      <c r="H100" s="334"/>
      <c r="I100" s="334"/>
      <c r="J100" s="334"/>
      <c r="K100" s="334"/>
      <c r="L100" s="334"/>
      <c r="P100" s="329" t="s">
        <v>1246</v>
      </c>
    </row>
    <row r="101" spans="1:47" ht="30" customHeight="1">
      <c r="A101" s="336" t="s">
        <v>1247</v>
      </c>
      <c r="B101" s="336" t="s">
        <v>345</v>
      </c>
      <c r="C101" s="336" t="s">
        <v>255</v>
      </c>
      <c r="D101" s="337">
        <v>30.7</v>
      </c>
      <c r="E101" s="338">
        <f>TRUNC(신규_일위대가목록!E55,0)</f>
        <v>1411</v>
      </c>
      <c r="F101" s="338">
        <f t="shared" ref="F101:F121" si="8">TRUNC(E101*D101, 0)</f>
        <v>43317</v>
      </c>
      <c r="G101" s="338">
        <f>TRUNC(신규_일위대가목록!F55,0)</f>
        <v>25891</v>
      </c>
      <c r="H101" s="338">
        <f t="shared" ref="H101:H121" si="9">TRUNC(G101*D101, 0)</f>
        <v>794853</v>
      </c>
      <c r="I101" s="338">
        <f>TRUNC(신규_일위대가목록!G55,0)</f>
        <v>0</v>
      </c>
      <c r="J101" s="338">
        <f t="shared" ref="J101:J121" si="10">TRUNC(I101*D101, 0)</f>
        <v>0</v>
      </c>
      <c r="K101" s="338">
        <f t="shared" ref="K101:K121" si="11">TRUNC(F101+H101+J101, 0)</f>
        <v>838170</v>
      </c>
      <c r="L101" s="336" t="s">
        <v>1248</v>
      </c>
      <c r="M101" s="329" t="s">
        <v>1249</v>
      </c>
      <c r="N101" s="329" t="s">
        <v>378</v>
      </c>
      <c r="O101" s="329" t="s">
        <v>378</v>
      </c>
      <c r="P101" s="329" t="s">
        <v>1246</v>
      </c>
      <c r="Q101" s="329" t="s">
        <v>1104</v>
      </c>
      <c r="R101" s="329" t="s">
        <v>1105</v>
      </c>
      <c r="S101" s="329" t="s">
        <v>1105</v>
      </c>
      <c r="AQ101" s="329" t="s">
        <v>378</v>
      </c>
      <c r="AR101" s="329" t="s">
        <v>378</v>
      </c>
      <c r="AT101" s="329" t="s">
        <v>1250</v>
      </c>
      <c r="AU101" s="330">
        <v>5886</v>
      </c>
    </row>
    <row r="102" spans="1:47" ht="30" customHeight="1">
      <c r="A102" s="333" t="s">
        <v>422</v>
      </c>
      <c r="B102" s="333" t="s">
        <v>423</v>
      </c>
      <c r="C102" s="333" t="s">
        <v>255</v>
      </c>
      <c r="D102" s="334">
        <v>29.4</v>
      </c>
      <c r="E102" s="335">
        <f>TRUNC(신규_일위대가목록!E56,0)</f>
        <v>2371</v>
      </c>
      <c r="F102" s="335">
        <f t="shared" si="8"/>
        <v>69707</v>
      </c>
      <c r="G102" s="335">
        <f>TRUNC(신규_일위대가목록!F56,0)</f>
        <v>44649</v>
      </c>
      <c r="H102" s="335">
        <f t="shared" si="9"/>
        <v>1312680</v>
      </c>
      <c r="I102" s="335">
        <f>TRUNC(신규_일위대가목록!G56,0)</f>
        <v>0</v>
      </c>
      <c r="J102" s="335">
        <f t="shared" si="10"/>
        <v>0</v>
      </c>
      <c r="K102" s="335">
        <f t="shared" si="11"/>
        <v>1382387</v>
      </c>
      <c r="L102" s="333" t="s">
        <v>1251</v>
      </c>
      <c r="M102" s="329" t="s">
        <v>1252</v>
      </c>
      <c r="N102" s="329" t="s">
        <v>378</v>
      </c>
      <c r="O102" s="329" t="s">
        <v>378</v>
      </c>
      <c r="P102" s="329" t="s">
        <v>1246</v>
      </c>
      <c r="Q102" s="329" t="s">
        <v>1104</v>
      </c>
      <c r="R102" s="329" t="s">
        <v>1105</v>
      </c>
      <c r="S102" s="329" t="s">
        <v>1105</v>
      </c>
      <c r="AQ102" s="329" t="s">
        <v>378</v>
      </c>
      <c r="AR102" s="329" t="s">
        <v>378</v>
      </c>
      <c r="AT102" s="329" t="s">
        <v>1253</v>
      </c>
      <c r="AU102" s="330">
        <v>5887</v>
      </c>
    </row>
    <row r="103" spans="1:47" ht="30" customHeight="1">
      <c r="A103" s="336" t="s">
        <v>1247</v>
      </c>
      <c r="B103" s="336" t="s">
        <v>397</v>
      </c>
      <c r="C103" s="336" t="s">
        <v>255</v>
      </c>
      <c r="D103" s="337">
        <v>1.5</v>
      </c>
      <c r="E103" s="338">
        <f>TRUNC(신규_일위대가목록!E57,0)</f>
        <v>6707</v>
      </c>
      <c r="F103" s="338">
        <f t="shared" si="8"/>
        <v>10060</v>
      </c>
      <c r="G103" s="338">
        <f>TRUNC(신규_일위대가목록!F57,0)</f>
        <v>119101</v>
      </c>
      <c r="H103" s="338">
        <f t="shared" si="9"/>
        <v>178651</v>
      </c>
      <c r="I103" s="338">
        <f>TRUNC(신규_일위대가목록!G57,0)</f>
        <v>0</v>
      </c>
      <c r="J103" s="338">
        <f t="shared" si="10"/>
        <v>0</v>
      </c>
      <c r="K103" s="338">
        <f t="shared" si="11"/>
        <v>188711</v>
      </c>
      <c r="L103" s="336" t="s">
        <v>1254</v>
      </c>
      <c r="M103" s="329" t="s">
        <v>1255</v>
      </c>
      <c r="N103" s="329" t="s">
        <v>378</v>
      </c>
      <c r="O103" s="329" t="s">
        <v>378</v>
      </c>
      <c r="P103" s="329" t="s">
        <v>1246</v>
      </c>
      <c r="Q103" s="329" t="s">
        <v>1104</v>
      </c>
      <c r="R103" s="329" t="s">
        <v>1105</v>
      </c>
      <c r="S103" s="329" t="s">
        <v>1105</v>
      </c>
      <c r="AQ103" s="329" t="s">
        <v>378</v>
      </c>
      <c r="AR103" s="329" t="s">
        <v>378</v>
      </c>
      <c r="AT103" s="329" t="s">
        <v>1256</v>
      </c>
      <c r="AU103" s="330">
        <v>5945</v>
      </c>
    </row>
    <row r="104" spans="1:47" ht="30" customHeight="1">
      <c r="A104" s="333" t="s">
        <v>360</v>
      </c>
      <c r="B104" s="333" t="s">
        <v>361</v>
      </c>
      <c r="C104" s="333" t="s">
        <v>300</v>
      </c>
      <c r="D104" s="334">
        <v>1</v>
      </c>
      <c r="E104" s="335">
        <f>TRUNC(신규_일위대가목록!E5,0)</f>
        <v>35300</v>
      </c>
      <c r="F104" s="335">
        <f t="shared" si="8"/>
        <v>35300</v>
      </c>
      <c r="G104" s="335">
        <f>TRUNC(신규_일위대가목록!F5,0)</f>
        <v>56399</v>
      </c>
      <c r="H104" s="335">
        <f t="shared" si="9"/>
        <v>56399</v>
      </c>
      <c r="I104" s="335">
        <f>TRUNC(신규_일위대가목록!G5,0)</f>
        <v>0</v>
      </c>
      <c r="J104" s="335">
        <f t="shared" si="10"/>
        <v>0</v>
      </c>
      <c r="K104" s="335">
        <f t="shared" si="11"/>
        <v>91699</v>
      </c>
      <c r="L104" s="333" t="s">
        <v>1107</v>
      </c>
      <c r="M104" s="329" t="s">
        <v>1108</v>
      </c>
      <c r="N104" s="329" t="s">
        <v>378</v>
      </c>
      <c r="O104" s="329" t="s">
        <v>378</v>
      </c>
      <c r="P104" s="329" t="s">
        <v>1246</v>
      </c>
      <c r="Q104" s="329" t="s">
        <v>1104</v>
      </c>
      <c r="R104" s="329" t="s">
        <v>1105</v>
      </c>
      <c r="S104" s="329" t="s">
        <v>1105</v>
      </c>
      <c r="AQ104" s="329" t="s">
        <v>378</v>
      </c>
      <c r="AR104" s="329" t="s">
        <v>378</v>
      </c>
      <c r="AT104" s="329" t="s">
        <v>1257</v>
      </c>
      <c r="AU104" s="330">
        <v>5954</v>
      </c>
    </row>
    <row r="105" spans="1:47" ht="30" customHeight="1">
      <c r="A105" s="333" t="s">
        <v>298</v>
      </c>
      <c r="B105" s="333" t="s">
        <v>301</v>
      </c>
      <c r="C105" s="333" t="s">
        <v>300</v>
      </c>
      <c r="D105" s="334">
        <v>32.700000000000003</v>
      </c>
      <c r="E105" s="335">
        <f>TRUNC(신규_일위대가목록!E7,0)</f>
        <v>849</v>
      </c>
      <c r="F105" s="335">
        <f t="shared" si="8"/>
        <v>27762</v>
      </c>
      <c r="G105" s="335">
        <f>TRUNC(신규_일위대가목록!F7,0)</f>
        <v>2330</v>
      </c>
      <c r="H105" s="335">
        <f t="shared" si="9"/>
        <v>76191</v>
      </c>
      <c r="I105" s="335">
        <f>TRUNC(신규_일위대가목록!G7,0)</f>
        <v>0</v>
      </c>
      <c r="J105" s="335">
        <f t="shared" si="10"/>
        <v>0</v>
      </c>
      <c r="K105" s="335">
        <f t="shared" si="11"/>
        <v>103953</v>
      </c>
      <c r="L105" s="333" t="s">
        <v>691</v>
      </c>
      <c r="M105" s="329" t="s">
        <v>1113</v>
      </c>
      <c r="N105" s="329" t="s">
        <v>378</v>
      </c>
      <c r="O105" s="329" t="s">
        <v>378</v>
      </c>
      <c r="P105" s="329" t="s">
        <v>1246</v>
      </c>
      <c r="Q105" s="329" t="s">
        <v>1104</v>
      </c>
      <c r="R105" s="329" t="s">
        <v>1105</v>
      </c>
      <c r="S105" s="329" t="s">
        <v>1105</v>
      </c>
      <c r="AQ105" s="329" t="s">
        <v>378</v>
      </c>
      <c r="AR105" s="329" t="s">
        <v>378</v>
      </c>
      <c r="AT105" s="329" t="s">
        <v>1258</v>
      </c>
      <c r="AU105" s="330">
        <v>5889</v>
      </c>
    </row>
    <row r="106" spans="1:47" ht="30" customHeight="1">
      <c r="A106" s="333" t="s">
        <v>298</v>
      </c>
      <c r="B106" s="333" t="s">
        <v>362</v>
      </c>
      <c r="C106" s="333" t="s">
        <v>300</v>
      </c>
      <c r="D106" s="334">
        <v>31.4</v>
      </c>
      <c r="E106" s="335">
        <f>TRUNC(신규_일위대가목록!E8,0)</f>
        <v>1963</v>
      </c>
      <c r="F106" s="335">
        <f t="shared" si="8"/>
        <v>61638</v>
      </c>
      <c r="G106" s="335">
        <f>TRUNC(신규_일위대가목록!F8,0)</f>
        <v>2467</v>
      </c>
      <c r="H106" s="335">
        <f t="shared" si="9"/>
        <v>77463</v>
      </c>
      <c r="I106" s="335">
        <f>TRUNC(신규_일위대가목록!G8,0)</f>
        <v>0</v>
      </c>
      <c r="J106" s="335">
        <f t="shared" si="10"/>
        <v>0</v>
      </c>
      <c r="K106" s="335">
        <f t="shared" si="11"/>
        <v>139101</v>
      </c>
      <c r="L106" s="333" t="s">
        <v>1115</v>
      </c>
      <c r="M106" s="329" t="s">
        <v>1116</v>
      </c>
      <c r="N106" s="329" t="s">
        <v>378</v>
      </c>
      <c r="O106" s="329" t="s">
        <v>378</v>
      </c>
      <c r="P106" s="329" t="s">
        <v>1246</v>
      </c>
      <c r="Q106" s="329" t="s">
        <v>1104</v>
      </c>
      <c r="R106" s="329" t="s">
        <v>1105</v>
      </c>
      <c r="S106" s="329" t="s">
        <v>1105</v>
      </c>
      <c r="AQ106" s="329" t="s">
        <v>378</v>
      </c>
      <c r="AR106" s="329" t="s">
        <v>378</v>
      </c>
      <c r="AT106" s="329" t="s">
        <v>1259</v>
      </c>
      <c r="AU106" s="330">
        <v>5891</v>
      </c>
    </row>
    <row r="107" spans="1:47" ht="30" customHeight="1">
      <c r="A107" s="333" t="s">
        <v>424</v>
      </c>
      <c r="B107" s="333" t="s">
        <v>425</v>
      </c>
      <c r="C107" s="333" t="s">
        <v>300</v>
      </c>
      <c r="D107" s="334">
        <v>4.5</v>
      </c>
      <c r="E107" s="335">
        <f>TRUNC(신규_일위대가목록!E58,0)</f>
        <v>9583</v>
      </c>
      <c r="F107" s="335">
        <f t="shared" si="8"/>
        <v>43123</v>
      </c>
      <c r="G107" s="335">
        <f>TRUNC(신규_일위대가목록!F58,0)</f>
        <v>2819</v>
      </c>
      <c r="H107" s="335">
        <f t="shared" si="9"/>
        <v>12685</v>
      </c>
      <c r="I107" s="335">
        <f>TRUNC(신규_일위대가목록!G58,0)</f>
        <v>0</v>
      </c>
      <c r="J107" s="335">
        <f t="shared" si="10"/>
        <v>0</v>
      </c>
      <c r="K107" s="335">
        <f t="shared" si="11"/>
        <v>55808</v>
      </c>
      <c r="L107" s="333" t="s">
        <v>1260</v>
      </c>
      <c r="M107" s="329" t="s">
        <v>1261</v>
      </c>
      <c r="N107" s="329" t="s">
        <v>378</v>
      </c>
      <c r="O107" s="329" t="s">
        <v>378</v>
      </c>
      <c r="P107" s="329" t="s">
        <v>1246</v>
      </c>
      <c r="Q107" s="329" t="s">
        <v>1104</v>
      </c>
      <c r="R107" s="329" t="s">
        <v>1105</v>
      </c>
      <c r="S107" s="329" t="s">
        <v>1105</v>
      </c>
      <c r="AQ107" s="329" t="s">
        <v>378</v>
      </c>
      <c r="AR107" s="329" t="s">
        <v>378</v>
      </c>
      <c r="AT107" s="329" t="s">
        <v>1262</v>
      </c>
      <c r="AU107" s="330">
        <v>5947</v>
      </c>
    </row>
    <row r="108" spans="1:47" ht="30" customHeight="1">
      <c r="A108" s="333" t="s">
        <v>302</v>
      </c>
      <c r="B108" s="333" t="s">
        <v>426</v>
      </c>
      <c r="C108" s="333" t="s">
        <v>300</v>
      </c>
      <c r="D108" s="334">
        <v>18</v>
      </c>
      <c r="E108" s="335">
        <f>TRUNC(신규_일위대가목록!E59,0)</f>
        <v>16796</v>
      </c>
      <c r="F108" s="335">
        <f t="shared" si="8"/>
        <v>302328</v>
      </c>
      <c r="G108" s="335">
        <f>TRUNC(신규_일위대가목록!F59,0)</f>
        <v>21044</v>
      </c>
      <c r="H108" s="335">
        <f t="shared" si="9"/>
        <v>378792</v>
      </c>
      <c r="I108" s="335">
        <f>TRUNC(신규_일위대가목록!G59,0)</f>
        <v>0</v>
      </c>
      <c r="J108" s="335">
        <f t="shared" si="10"/>
        <v>0</v>
      </c>
      <c r="K108" s="335">
        <f t="shared" si="11"/>
        <v>681120</v>
      </c>
      <c r="L108" s="333" t="s">
        <v>1263</v>
      </c>
      <c r="M108" s="329" t="s">
        <v>1264</v>
      </c>
      <c r="N108" s="329" t="s">
        <v>378</v>
      </c>
      <c r="O108" s="329" t="s">
        <v>378</v>
      </c>
      <c r="P108" s="329" t="s">
        <v>1246</v>
      </c>
      <c r="Q108" s="329" t="s">
        <v>1104</v>
      </c>
      <c r="R108" s="329" t="s">
        <v>1105</v>
      </c>
      <c r="S108" s="329" t="s">
        <v>1105</v>
      </c>
      <c r="AQ108" s="329" t="s">
        <v>378</v>
      </c>
      <c r="AR108" s="329" t="s">
        <v>378</v>
      </c>
      <c r="AT108" s="329" t="s">
        <v>1265</v>
      </c>
      <c r="AU108" s="330">
        <v>5948</v>
      </c>
    </row>
    <row r="109" spans="1:47" s="340" customFormat="1" ht="30" customHeight="1">
      <c r="A109" s="336" t="s">
        <v>302</v>
      </c>
      <c r="B109" s="336" t="s">
        <v>304</v>
      </c>
      <c r="C109" s="336" t="s">
        <v>300</v>
      </c>
      <c r="D109" s="337">
        <v>20.399999999999999</v>
      </c>
      <c r="E109" s="338">
        <f>TRUNC(신규_일위대가목록!E39,0)</f>
        <v>2275</v>
      </c>
      <c r="F109" s="338">
        <f t="shared" si="8"/>
        <v>46410</v>
      </c>
      <c r="G109" s="338">
        <f>TRUNC(신규_일위대가목록!F39,0)</f>
        <v>3685</v>
      </c>
      <c r="H109" s="338">
        <f t="shared" si="9"/>
        <v>75174</v>
      </c>
      <c r="I109" s="338">
        <f>TRUNC(신규_일위대가목록!G39,0)</f>
        <v>0</v>
      </c>
      <c r="J109" s="338">
        <f t="shared" si="10"/>
        <v>0</v>
      </c>
      <c r="K109" s="338">
        <f t="shared" si="11"/>
        <v>121584</v>
      </c>
      <c r="L109" s="336" t="s">
        <v>693</v>
      </c>
      <c r="M109" s="339" t="s">
        <v>1207</v>
      </c>
      <c r="N109" s="339" t="s">
        <v>378</v>
      </c>
      <c r="O109" s="339" t="s">
        <v>378</v>
      </c>
      <c r="P109" s="339" t="s">
        <v>1246</v>
      </c>
      <c r="Q109" s="339" t="s">
        <v>1104</v>
      </c>
      <c r="R109" s="339" t="s">
        <v>1105</v>
      </c>
      <c r="S109" s="339" t="s">
        <v>1105</v>
      </c>
      <c r="AQ109" s="339" t="s">
        <v>378</v>
      </c>
      <c r="AR109" s="339" t="s">
        <v>378</v>
      </c>
      <c r="AT109" s="339" t="s">
        <v>1266</v>
      </c>
      <c r="AU109" s="340">
        <v>5892</v>
      </c>
    </row>
    <row r="110" spans="1:47" s="340" customFormat="1" ht="30" customHeight="1">
      <c r="A110" s="336" t="s">
        <v>302</v>
      </c>
      <c r="B110" s="336" t="s">
        <v>368</v>
      </c>
      <c r="C110" s="336" t="s">
        <v>300</v>
      </c>
      <c r="D110" s="337">
        <v>12.3</v>
      </c>
      <c r="E110" s="338">
        <f>TRUNC(신규_일위대가목록!E14,0)</f>
        <v>4046</v>
      </c>
      <c r="F110" s="338">
        <f t="shared" si="8"/>
        <v>49765</v>
      </c>
      <c r="G110" s="338">
        <f>TRUNC(신규_일위대가목록!F14,0)</f>
        <v>9238</v>
      </c>
      <c r="H110" s="338">
        <f t="shared" si="9"/>
        <v>113627</v>
      </c>
      <c r="I110" s="338">
        <f>TRUNC(신규_일위대가목록!G14,0)</f>
        <v>0</v>
      </c>
      <c r="J110" s="338">
        <f t="shared" si="10"/>
        <v>0</v>
      </c>
      <c r="K110" s="338">
        <f t="shared" si="11"/>
        <v>163392</v>
      </c>
      <c r="L110" s="336" t="s">
        <v>1132</v>
      </c>
      <c r="M110" s="339" t="s">
        <v>1133</v>
      </c>
      <c r="N110" s="339" t="s">
        <v>378</v>
      </c>
      <c r="O110" s="339" t="s">
        <v>378</v>
      </c>
      <c r="P110" s="339" t="s">
        <v>1246</v>
      </c>
      <c r="Q110" s="339" t="s">
        <v>1104</v>
      </c>
      <c r="R110" s="339" t="s">
        <v>1105</v>
      </c>
      <c r="S110" s="339" t="s">
        <v>1105</v>
      </c>
      <c r="AQ110" s="339" t="s">
        <v>378</v>
      </c>
      <c r="AR110" s="339" t="s">
        <v>378</v>
      </c>
      <c r="AT110" s="339" t="s">
        <v>1267</v>
      </c>
      <c r="AU110" s="340">
        <v>5893</v>
      </c>
    </row>
    <row r="111" spans="1:47" ht="30" customHeight="1">
      <c r="A111" s="333" t="s">
        <v>302</v>
      </c>
      <c r="B111" s="333" t="s">
        <v>369</v>
      </c>
      <c r="C111" s="333" t="s">
        <v>300</v>
      </c>
      <c r="D111" s="334">
        <v>22.2</v>
      </c>
      <c r="E111" s="335">
        <f>TRUNC(신규_일위대가목록!E15,0)</f>
        <v>10984</v>
      </c>
      <c r="F111" s="335">
        <f t="shared" si="8"/>
        <v>243844</v>
      </c>
      <c r="G111" s="335">
        <f>TRUNC(신규_일위대가목록!F15,0)</f>
        <v>15272</v>
      </c>
      <c r="H111" s="335">
        <f t="shared" si="9"/>
        <v>339038</v>
      </c>
      <c r="I111" s="335">
        <f>TRUNC(신규_일위대가목록!G15,0)</f>
        <v>0</v>
      </c>
      <c r="J111" s="335">
        <f t="shared" si="10"/>
        <v>0</v>
      </c>
      <c r="K111" s="335">
        <f t="shared" si="11"/>
        <v>582882</v>
      </c>
      <c r="L111" s="333" t="s">
        <v>1135</v>
      </c>
      <c r="M111" s="329" t="s">
        <v>1136</v>
      </c>
      <c r="N111" s="329" t="s">
        <v>378</v>
      </c>
      <c r="O111" s="329" t="s">
        <v>378</v>
      </c>
      <c r="P111" s="329" t="s">
        <v>1246</v>
      </c>
      <c r="Q111" s="329" t="s">
        <v>1104</v>
      </c>
      <c r="R111" s="329" t="s">
        <v>1105</v>
      </c>
      <c r="S111" s="329" t="s">
        <v>1105</v>
      </c>
      <c r="AQ111" s="329" t="s">
        <v>378</v>
      </c>
      <c r="AR111" s="329" t="s">
        <v>378</v>
      </c>
      <c r="AT111" s="329" t="s">
        <v>1268</v>
      </c>
      <c r="AU111" s="330">
        <v>5990</v>
      </c>
    </row>
    <row r="112" spans="1:47" ht="30" customHeight="1">
      <c r="A112" s="333" t="s">
        <v>302</v>
      </c>
      <c r="B112" s="333" t="s">
        <v>427</v>
      </c>
      <c r="C112" s="333" t="s">
        <v>300</v>
      </c>
      <c r="D112" s="334">
        <v>9.1999999999999993</v>
      </c>
      <c r="E112" s="335">
        <f>TRUNC(신규_일위대가목록!E60,0)</f>
        <v>17184</v>
      </c>
      <c r="F112" s="335">
        <f t="shared" si="8"/>
        <v>158092</v>
      </c>
      <c r="G112" s="335">
        <f>TRUNC(신규_일위대가목록!F60,0)</f>
        <v>19920</v>
      </c>
      <c r="H112" s="335">
        <f t="shared" si="9"/>
        <v>183264</v>
      </c>
      <c r="I112" s="335">
        <f>TRUNC(신규_일위대가목록!G60,0)</f>
        <v>0</v>
      </c>
      <c r="J112" s="335">
        <f t="shared" si="10"/>
        <v>0</v>
      </c>
      <c r="K112" s="335">
        <f t="shared" si="11"/>
        <v>341356</v>
      </c>
      <c r="L112" s="333" t="s">
        <v>1269</v>
      </c>
      <c r="M112" s="329" t="s">
        <v>1270</v>
      </c>
      <c r="N112" s="329" t="s">
        <v>378</v>
      </c>
      <c r="O112" s="329" t="s">
        <v>378</v>
      </c>
      <c r="P112" s="329" t="s">
        <v>1246</v>
      </c>
      <c r="Q112" s="329" t="s">
        <v>1104</v>
      </c>
      <c r="R112" s="329" t="s">
        <v>1105</v>
      </c>
      <c r="S112" s="329" t="s">
        <v>1105</v>
      </c>
      <c r="AQ112" s="329" t="s">
        <v>378</v>
      </c>
      <c r="AR112" s="329" t="s">
        <v>378</v>
      </c>
      <c r="AT112" s="329" t="s">
        <v>1271</v>
      </c>
      <c r="AU112" s="330">
        <v>5895</v>
      </c>
    </row>
    <row r="113" spans="1:47" ht="30" customHeight="1">
      <c r="A113" s="333" t="s">
        <v>370</v>
      </c>
      <c r="B113" s="333" t="s">
        <v>371</v>
      </c>
      <c r="C113" s="333" t="s">
        <v>265</v>
      </c>
      <c r="D113" s="334">
        <v>12</v>
      </c>
      <c r="E113" s="335">
        <f>TRUNC(신규_일위대가목록!E17,0)</f>
        <v>824</v>
      </c>
      <c r="F113" s="335">
        <f t="shared" si="8"/>
        <v>9888</v>
      </c>
      <c r="G113" s="335">
        <f>TRUNC(신규_일위대가목록!F17,0)</f>
        <v>20687</v>
      </c>
      <c r="H113" s="335">
        <f t="shared" si="9"/>
        <v>248244</v>
      </c>
      <c r="I113" s="335">
        <f>TRUNC(신규_일위대가목록!G17,0)</f>
        <v>0</v>
      </c>
      <c r="J113" s="335">
        <f t="shared" si="10"/>
        <v>0</v>
      </c>
      <c r="K113" s="335">
        <f t="shared" si="11"/>
        <v>258132</v>
      </c>
      <c r="L113" s="333" t="s">
        <v>1140</v>
      </c>
      <c r="M113" s="329" t="s">
        <v>1141</v>
      </c>
      <c r="N113" s="329" t="s">
        <v>378</v>
      </c>
      <c r="O113" s="329" t="s">
        <v>378</v>
      </c>
      <c r="P113" s="329" t="s">
        <v>1246</v>
      </c>
      <c r="Q113" s="329" t="s">
        <v>1104</v>
      </c>
      <c r="R113" s="329" t="s">
        <v>1105</v>
      </c>
      <c r="S113" s="329" t="s">
        <v>1105</v>
      </c>
      <c r="AQ113" s="329" t="s">
        <v>378</v>
      </c>
      <c r="AR113" s="329" t="s">
        <v>378</v>
      </c>
      <c r="AT113" s="329" t="s">
        <v>1272</v>
      </c>
      <c r="AU113" s="330">
        <v>5896</v>
      </c>
    </row>
    <row r="114" spans="1:47" ht="30" customHeight="1">
      <c r="A114" s="333" t="s">
        <v>370</v>
      </c>
      <c r="B114" s="333" t="s">
        <v>372</v>
      </c>
      <c r="C114" s="333" t="s">
        <v>265</v>
      </c>
      <c r="D114" s="334">
        <v>8</v>
      </c>
      <c r="E114" s="335">
        <f>TRUNC(신규_일위대가목록!E18,0)</f>
        <v>760</v>
      </c>
      <c r="F114" s="335">
        <f t="shared" si="8"/>
        <v>6080</v>
      </c>
      <c r="G114" s="335">
        <f>TRUNC(신규_일위대가목록!F18,0)</f>
        <v>15323</v>
      </c>
      <c r="H114" s="335">
        <f t="shared" si="9"/>
        <v>122584</v>
      </c>
      <c r="I114" s="335">
        <f>TRUNC(신규_일위대가목록!G18,0)</f>
        <v>0</v>
      </c>
      <c r="J114" s="335">
        <f t="shared" si="10"/>
        <v>0</v>
      </c>
      <c r="K114" s="335">
        <f t="shared" si="11"/>
        <v>128664</v>
      </c>
      <c r="L114" s="333" t="s">
        <v>1143</v>
      </c>
      <c r="M114" s="329" t="s">
        <v>1144</v>
      </c>
      <c r="N114" s="329" t="s">
        <v>378</v>
      </c>
      <c r="O114" s="329" t="s">
        <v>378</v>
      </c>
      <c r="P114" s="329" t="s">
        <v>1246</v>
      </c>
      <c r="Q114" s="329" t="s">
        <v>1104</v>
      </c>
      <c r="R114" s="329" t="s">
        <v>1105</v>
      </c>
      <c r="S114" s="329" t="s">
        <v>1105</v>
      </c>
      <c r="AQ114" s="329" t="s">
        <v>378</v>
      </c>
      <c r="AR114" s="329" t="s">
        <v>378</v>
      </c>
      <c r="AT114" s="329" t="s">
        <v>1273</v>
      </c>
      <c r="AU114" s="330">
        <v>5897</v>
      </c>
    </row>
    <row r="115" spans="1:47" ht="30" customHeight="1">
      <c r="A115" s="333" t="s">
        <v>370</v>
      </c>
      <c r="B115" s="333" t="s">
        <v>428</v>
      </c>
      <c r="C115" s="333" t="s">
        <v>265</v>
      </c>
      <c r="D115" s="334">
        <v>2</v>
      </c>
      <c r="E115" s="335">
        <f>TRUNC(신규_일위대가목록!E61,0)</f>
        <v>2521</v>
      </c>
      <c r="F115" s="335">
        <f t="shared" si="8"/>
        <v>5042</v>
      </c>
      <c r="G115" s="335">
        <f>TRUNC(신규_일위대가목록!F61,0)</f>
        <v>38309</v>
      </c>
      <c r="H115" s="335">
        <f t="shared" si="9"/>
        <v>76618</v>
      </c>
      <c r="I115" s="335">
        <f>TRUNC(신규_일위대가목록!G61,0)</f>
        <v>0</v>
      </c>
      <c r="J115" s="335">
        <f t="shared" si="10"/>
        <v>0</v>
      </c>
      <c r="K115" s="335">
        <f t="shared" si="11"/>
        <v>81660</v>
      </c>
      <c r="L115" s="333" t="s">
        <v>1274</v>
      </c>
      <c r="M115" s="329" t="s">
        <v>1275</v>
      </c>
      <c r="N115" s="329" t="s">
        <v>378</v>
      </c>
      <c r="O115" s="329" t="s">
        <v>378</v>
      </c>
      <c r="P115" s="329" t="s">
        <v>1246</v>
      </c>
      <c r="Q115" s="329" t="s">
        <v>1104</v>
      </c>
      <c r="R115" s="329" t="s">
        <v>1105</v>
      </c>
      <c r="S115" s="329" t="s">
        <v>1105</v>
      </c>
      <c r="AQ115" s="329" t="s">
        <v>378</v>
      </c>
      <c r="AR115" s="329" t="s">
        <v>378</v>
      </c>
      <c r="AT115" s="329" t="s">
        <v>1276</v>
      </c>
      <c r="AU115" s="330">
        <v>5949</v>
      </c>
    </row>
    <row r="116" spans="1:47" s="340" customFormat="1" ht="30" customHeight="1">
      <c r="A116" s="336" t="s">
        <v>370</v>
      </c>
      <c r="B116" s="336" t="s">
        <v>429</v>
      </c>
      <c r="C116" s="336" t="s">
        <v>265</v>
      </c>
      <c r="D116" s="337">
        <v>8</v>
      </c>
      <c r="E116" s="338">
        <f>TRUNC(신규_일위대가목록!E62,0)</f>
        <v>4253</v>
      </c>
      <c r="F116" s="338">
        <f t="shared" si="8"/>
        <v>34024</v>
      </c>
      <c r="G116" s="338">
        <f>TRUNC(신규_일위대가목록!F62,0)</f>
        <v>52169</v>
      </c>
      <c r="H116" s="338">
        <f t="shared" si="9"/>
        <v>417352</v>
      </c>
      <c r="I116" s="338">
        <f>TRUNC(신규_일위대가목록!G62,0)</f>
        <v>0</v>
      </c>
      <c r="J116" s="338">
        <f t="shared" si="10"/>
        <v>0</v>
      </c>
      <c r="K116" s="338">
        <f t="shared" si="11"/>
        <v>451376</v>
      </c>
      <c r="L116" s="336" t="s">
        <v>1277</v>
      </c>
      <c r="M116" s="339" t="s">
        <v>1278</v>
      </c>
      <c r="N116" s="339" t="s">
        <v>378</v>
      </c>
      <c r="O116" s="339" t="s">
        <v>378</v>
      </c>
      <c r="P116" s="339" t="s">
        <v>1246</v>
      </c>
      <c r="Q116" s="339" t="s">
        <v>1104</v>
      </c>
      <c r="R116" s="339" t="s">
        <v>1105</v>
      </c>
      <c r="S116" s="339" t="s">
        <v>1105</v>
      </c>
      <c r="AQ116" s="339" t="s">
        <v>378</v>
      </c>
      <c r="AR116" s="339" t="s">
        <v>378</v>
      </c>
      <c r="AT116" s="339" t="s">
        <v>1279</v>
      </c>
      <c r="AU116" s="340">
        <v>5950</v>
      </c>
    </row>
    <row r="117" spans="1:47" ht="30" customHeight="1">
      <c r="A117" s="333" t="s">
        <v>430</v>
      </c>
      <c r="B117" s="333" t="s">
        <v>431</v>
      </c>
      <c r="C117" s="333" t="s">
        <v>321</v>
      </c>
      <c r="D117" s="334">
        <v>1</v>
      </c>
      <c r="E117" s="335">
        <f>TRUNC(신규_일위대가목록!E63,0)</f>
        <v>8671</v>
      </c>
      <c r="F117" s="335">
        <f t="shared" si="8"/>
        <v>8671</v>
      </c>
      <c r="G117" s="335">
        <f>TRUNC(신규_일위대가목록!F63,0)</f>
        <v>289048</v>
      </c>
      <c r="H117" s="335">
        <f t="shared" si="9"/>
        <v>289048</v>
      </c>
      <c r="I117" s="335">
        <f>TRUNC(신규_일위대가목록!G63,0)</f>
        <v>0</v>
      </c>
      <c r="J117" s="335">
        <f t="shared" si="10"/>
        <v>0</v>
      </c>
      <c r="K117" s="335">
        <f t="shared" si="11"/>
        <v>297719</v>
      </c>
      <c r="L117" s="333" t="s">
        <v>1280</v>
      </c>
      <c r="M117" s="329" t="s">
        <v>1281</v>
      </c>
      <c r="N117" s="329" t="s">
        <v>378</v>
      </c>
      <c r="O117" s="329" t="s">
        <v>378</v>
      </c>
      <c r="P117" s="329" t="s">
        <v>1246</v>
      </c>
      <c r="Q117" s="329" t="s">
        <v>1104</v>
      </c>
      <c r="R117" s="329" t="s">
        <v>1105</v>
      </c>
      <c r="S117" s="329" t="s">
        <v>1105</v>
      </c>
      <c r="AQ117" s="329" t="s">
        <v>378</v>
      </c>
      <c r="AR117" s="329" t="s">
        <v>378</v>
      </c>
      <c r="AT117" s="329" t="s">
        <v>1282</v>
      </c>
      <c r="AU117" s="330">
        <v>5864</v>
      </c>
    </row>
    <row r="118" spans="1:47" ht="30" customHeight="1">
      <c r="A118" s="333" t="s">
        <v>430</v>
      </c>
      <c r="B118" s="333" t="s">
        <v>432</v>
      </c>
      <c r="C118" s="333" t="s">
        <v>321</v>
      </c>
      <c r="D118" s="334">
        <v>1</v>
      </c>
      <c r="E118" s="335">
        <f>TRUNC(신규_일위대가목록!E64,0)</f>
        <v>8671</v>
      </c>
      <c r="F118" s="335">
        <f t="shared" si="8"/>
        <v>8671</v>
      </c>
      <c r="G118" s="335">
        <f>TRUNC(신규_일위대가목록!F64,0)</f>
        <v>289048</v>
      </c>
      <c r="H118" s="335">
        <f t="shared" si="9"/>
        <v>289048</v>
      </c>
      <c r="I118" s="335">
        <f>TRUNC(신규_일위대가목록!G64,0)</f>
        <v>0</v>
      </c>
      <c r="J118" s="335">
        <f t="shared" si="10"/>
        <v>0</v>
      </c>
      <c r="K118" s="335">
        <f t="shared" si="11"/>
        <v>297719</v>
      </c>
      <c r="L118" s="333" t="s">
        <v>1283</v>
      </c>
      <c r="M118" s="329" t="s">
        <v>1284</v>
      </c>
      <c r="N118" s="329" t="s">
        <v>378</v>
      </c>
      <c r="O118" s="329" t="s">
        <v>378</v>
      </c>
      <c r="P118" s="329" t="s">
        <v>1246</v>
      </c>
      <c r="Q118" s="329" t="s">
        <v>1104</v>
      </c>
      <c r="R118" s="329" t="s">
        <v>1105</v>
      </c>
      <c r="S118" s="329" t="s">
        <v>1105</v>
      </c>
      <c r="AQ118" s="329" t="s">
        <v>378</v>
      </c>
      <c r="AR118" s="329" t="s">
        <v>378</v>
      </c>
      <c r="AT118" s="329" t="s">
        <v>1285</v>
      </c>
      <c r="AU118" s="330">
        <v>5899</v>
      </c>
    </row>
    <row r="119" spans="1:47" ht="30" customHeight="1">
      <c r="A119" s="333" t="s">
        <v>430</v>
      </c>
      <c r="B119" s="333" t="s">
        <v>433</v>
      </c>
      <c r="C119" s="333" t="s">
        <v>321</v>
      </c>
      <c r="D119" s="334">
        <v>1</v>
      </c>
      <c r="E119" s="335">
        <f>TRUNC(신규_일위대가목록!E65,0)</f>
        <v>8671</v>
      </c>
      <c r="F119" s="335">
        <f t="shared" si="8"/>
        <v>8671</v>
      </c>
      <c r="G119" s="335">
        <f>TRUNC(신규_일위대가목록!F65,0)</f>
        <v>289048</v>
      </c>
      <c r="H119" s="335">
        <f t="shared" si="9"/>
        <v>289048</v>
      </c>
      <c r="I119" s="335">
        <f>TRUNC(신규_일위대가목록!G65,0)</f>
        <v>0</v>
      </c>
      <c r="J119" s="335">
        <f t="shared" si="10"/>
        <v>0</v>
      </c>
      <c r="K119" s="335">
        <f t="shared" si="11"/>
        <v>297719</v>
      </c>
      <c r="L119" s="333" t="s">
        <v>1286</v>
      </c>
      <c r="M119" s="329" t="s">
        <v>1287</v>
      </c>
      <c r="N119" s="329" t="s">
        <v>378</v>
      </c>
      <c r="O119" s="329" t="s">
        <v>378</v>
      </c>
      <c r="P119" s="329" t="s">
        <v>1246</v>
      </c>
      <c r="Q119" s="329" t="s">
        <v>1104</v>
      </c>
      <c r="R119" s="329" t="s">
        <v>1105</v>
      </c>
      <c r="S119" s="329" t="s">
        <v>1105</v>
      </c>
      <c r="AQ119" s="329" t="s">
        <v>378</v>
      </c>
      <c r="AR119" s="329" t="s">
        <v>378</v>
      </c>
      <c r="AT119" s="329" t="s">
        <v>1288</v>
      </c>
      <c r="AU119" s="330">
        <v>5900</v>
      </c>
    </row>
    <row r="120" spans="1:47" ht="30" customHeight="1">
      <c r="A120" s="333" t="s">
        <v>430</v>
      </c>
      <c r="B120" s="333" t="s">
        <v>434</v>
      </c>
      <c r="C120" s="333" t="s">
        <v>321</v>
      </c>
      <c r="D120" s="334">
        <v>1</v>
      </c>
      <c r="E120" s="335">
        <f>TRUNC(신규_일위대가목록!E66,0)</f>
        <v>6697</v>
      </c>
      <c r="F120" s="335">
        <f t="shared" si="8"/>
        <v>6697</v>
      </c>
      <c r="G120" s="335">
        <f>TRUNC(신규_일위대가목록!F66,0)</f>
        <v>223248</v>
      </c>
      <c r="H120" s="335">
        <f t="shared" si="9"/>
        <v>223248</v>
      </c>
      <c r="I120" s="335">
        <f>TRUNC(신규_일위대가목록!G66,0)</f>
        <v>0</v>
      </c>
      <c r="J120" s="335">
        <f t="shared" si="10"/>
        <v>0</v>
      </c>
      <c r="K120" s="335">
        <f t="shared" si="11"/>
        <v>229945</v>
      </c>
      <c r="L120" s="333" t="s">
        <v>1289</v>
      </c>
      <c r="M120" s="329" t="s">
        <v>1290</v>
      </c>
      <c r="N120" s="329" t="s">
        <v>378</v>
      </c>
      <c r="O120" s="329" t="s">
        <v>378</v>
      </c>
      <c r="P120" s="329" t="s">
        <v>1246</v>
      </c>
      <c r="Q120" s="329" t="s">
        <v>1104</v>
      </c>
      <c r="R120" s="329" t="s">
        <v>1105</v>
      </c>
      <c r="S120" s="329" t="s">
        <v>1105</v>
      </c>
      <c r="AQ120" s="329" t="s">
        <v>378</v>
      </c>
      <c r="AR120" s="329" t="s">
        <v>378</v>
      </c>
      <c r="AT120" s="329" t="s">
        <v>1291</v>
      </c>
      <c r="AU120" s="330">
        <v>5901</v>
      </c>
    </row>
    <row r="121" spans="1:47" ht="30" customHeight="1">
      <c r="A121" s="333" t="s">
        <v>430</v>
      </c>
      <c r="B121" s="333" t="s">
        <v>435</v>
      </c>
      <c r="C121" s="333" t="s">
        <v>321</v>
      </c>
      <c r="D121" s="334">
        <v>1</v>
      </c>
      <c r="E121" s="335">
        <f>TRUNC(신규_일위대가목록!E67,0)</f>
        <v>8671</v>
      </c>
      <c r="F121" s="335">
        <f t="shared" si="8"/>
        <v>8671</v>
      </c>
      <c r="G121" s="335">
        <f>TRUNC(신규_일위대가목록!F67,0)</f>
        <v>289048</v>
      </c>
      <c r="H121" s="335">
        <f t="shared" si="9"/>
        <v>289048</v>
      </c>
      <c r="I121" s="335">
        <f>TRUNC(신규_일위대가목록!G67,0)</f>
        <v>0</v>
      </c>
      <c r="J121" s="335">
        <f t="shared" si="10"/>
        <v>0</v>
      </c>
      <c r="K121" s="335">
        <f t="shared" si="11"/>
        <v>297719</v>
      </c>
      <c r="L121" s="333" t="s">
        <v>1292</v>
      </c>
      <c r="M121" s="329" t="s">
        <v>1293</v>
      </c>
      <c r="N121" s="329" t="s">
        <v>378</v>
      </c>
      <c r="O121" s="329" t="s">
        <v>378</v>
      </c>
      <c r="P121" s="329" t="s">
        <v>1246</v>
      </c>
      <c r="Q121" s="329" t="s">
        <v>1104</v>
      </c>
      <c r="R121" s="329" t="s">
        <v>1105</v>
      </c>
      <c r="S121" s="329" t="s">
        <v>1105</v>
      </c>
      <c r="AQ121" s="329" t="s">
        <v>378</v>
      </c>
      <c r="AR121" s="329" t="s">
        <v>378</v>
      </c>
      <c r="AT121" s="329" t="s">
        <v>1294</v>
      </c>
      <c r="AU121" s="330">
        <v>5922</v>
      </c>
    </row>
    <row r="122" spans="1:47" ht="30" customHeight="1">
      <c r="A122" s="334"/>
      <c r="B122" s="334"/>
      <c r="C122" s="334"/>
      <c r="D122" s="334"/>
      <c r="E122" s="334"/>
      <c r="F122" s="334"/>
      <c r="G122" s="334"/>
      <c r="H122" s="334"/>
      <c r="I122" s="334"/>
      <c r="J122" s="334"/>
      <c r="K122" s="334"/>
      <c r="L122" s="334"/>
    </row>
    <row r="123" spans="1:47" ht="30" customHeight="1">
      <c r="A123" s="333" t="s">
        <v>1196</v>
      </c>
      <c r="B123" s="334"/>
      <c r="C123" s="334"/>
      <c r="D123" s="334"/>
      <c r="E123" s="334"/>
      <c r="F123" s="335">
        <f>SUM(F101:F122)</f>
        <v>1187761</v>
      </c>
      <c r="G123" s="334"/>
      <c r="H123" s="335">
        <f>SUM(H101:H122)</f>
        <v>5843055</v>
      </c>
      <c r="I123" s="334"/>
      <c r="J123" s="335">
        <f>SUM(J101:J122)</f>
        <v>0</v>
      </c>
      <c r="K123" s="335">
        <f>SUM(K101:K122)</f>
        <v>7030816</v>
      </c>
      <c r="L123" s="334"/>
      <c r="M123" s="330" t="s">
        <v>1197</v>
      </c>
    </row>
    <row r="124" spans="1:47" ht="30" customHeight="1">
      <c r="A124" s="333" t="s">
        <v>1295</v>
      </c>
      <c r="B124" s="333" t="s">
        <v>378</v>
      </c>
      <c r="C124" s="334"/>
      <c r="D124" s="334"/>
      <c r="E124" s="334"/>
      <c r="F124" s="334"/>
      <c r="G124" s="334"/>
      <c r="H124" s="334"/>
      <c r="I124" s="334"/>
      <c r="J124" s="334"/>
      <c r="K124" s="334"/>
      <c r="L124" s="334"/>
      <c r="P124" s="329" t="s">
        <v>1296</v>
      </c>
    </row>
    <row r="125" spans="1:47" ht="30" customHeight="1">
      <c r="A125" s="336" t="s">
        <v>1247</v>
      </c>
      <c r="B125" s="336" t="s">
        <v>345</v>
      </c>
      <c r="C125" s="336" t="s">
        <v>255</v>
      </c>
      <c r="D125" s="337">
        <v>8.3000000000000007</v>
      </c>
      <c r="E125" s="338">
        <f>TRUNC(신규_일위대가목록!E55,0)</f>
        <v>1411</v>
      </c>
      <c r="F125" s="338">
        <f t="shared" ref="F125:F133" si="12">TRUNC(E125*D125, 0)</f>
        <v>11711</v>
      </c>
      <c r="G125" s="338">
        <f>TRUNC(신규_일위대가목록!F55,0)</f>
        <v>25891</v>
      </c>
      <c r="H125" s="338">
        <f t="shared" ref="H125:H133" si="13">TRUNC(G125*D125, 0)</f>
        <v>214895</v>
      </c>
      <c r="I125" s="338">
        <f>TRUNC(신규_일위대가목록!G55,0)</f>
        <v>0</v>
      </c>
      <c r="J125" s="338">
        <f t="shared" ref="J125:J133" si="14">TRUNC(I125*D125, 0)</f>
        <v>0</v>
      </c>
      <c r="K125" s="338">
        <f t="shared" ref="K125:K133" si="15">TRUNC(F125+H125+J125, 0)</f>
        <v>226606</v>
      </c>
      <c r="L125" s="336" t="s">
        <v>1248</v>
      </c>
      <c r="M125" s="329" t="s">
        <v>1249</v>
      </c>
      <c r="N125" s="329" t="s">
        <v>378</v>
      </c>
      <c r="O125" s="329" t="s">
        <v>378</v>
      </c>
      <c r="P125" s="329" t="s">
        <v>1296</v>
      </c>
      <c r="Q125" s="329" t="s">
        <v>1104</v>
      </c>
      <c r="R125" s="329" t="s">
        <v>1105</v>
      </c>
      <c r="S125" s="329" t="s">
        <v>1105</v>
      </c>
      <c r="AQ125" s="329" t="s">
        <v>378</v>
      </c>
      <c r="AR125" s="329" t="s">
        <v>378</v>
      </c>
      <c r="AT125" s="329" t="s">
        <v>1297</v>
      </c>
      <c r="AU125" s="330">
        <v>5902</v>
      </c>
    </row>
    <row r="126" spans="1:47" ht="30" customHeight="1">
      <c r="A126" s="333" t="s">
        <v>477</v>
      </c>
      <c r="B126" s="333" t="s">
        <v>478</v>
      </c>
      <c r="C126" s="333" t="s">
        <v>255</v>
      </c>
      <c r="D126" s="334">
        <v>285.10000000000002</v>
      </c>
      <c r="E126" s="335">
        <f>TRUNC(신규_일위대가목록!E68,0)</f>
        <v>516</v>
      </c>
      <c r="F126" s="335">
        <f t="shared" si="12"/>
        <v>147111</v>
      </c>
      <c r="G126" s="335">
        <f>TRUNC(신규_일위대가목록!F68,0)</f>
        <v>9399</v>
      </c>
      <c r="H126" s="335">
        <f t="shared" si="13"/>
        <v>2679654</v>
      </c>
      <c r="I126" s="335">
        <f>TRUNC(신규_일위대가목록!G68,0)</f>
        <v>0</v>
      </c>
      <c r="J126" s="335">
        <f t="shared" si="14"/>
        <v>0</v>
      </c>
      <c r="K126" s="335">
        <f t="shared" si="15"/>
        <v>2826765</v>
      </c>
      <c r="L126" s="333" t="s">
        <v>1298</v>
      </c>
      <c r="M126" s="329" t="s">
        <v>1299</v>
      </c>
      <c r="N126" s="329" t="s">
        <v>378</v>
      </c>
      <c r="O126" s="329" t="s">
        <v>378</v>
      </c>
      <c r="P126" s="329" t="s">
        <v>1296</v>
      </c>
      <c r="Q126" s="329" t="s">
        <v>1104</v>
      </c>
      <c r="R126" s="329" t="s">
        <v>1105</v>
      </c>
      <c r="S126" s="329" t="s">
        <v>1105</v>
      </c>
      <c r="AQ126" s="329" t="s">
        <v>378</v>
      </c>
      <c r="AR126" s="329" t="s">
        <v>378</v>
      </c>
      <c r="AT126" s="329" t="s">
        <v>1300</v>
      </c>
      <c r="AU126" s="330">
        <v>5880</v>
      </c>
    </row>
    <row r="127" spans="1:47" ht="30" customHeight="1">
      <c r="A127" s="333" t="s">
        <v>448</v>
      </c>
      <c r="B127" s="333" t="s">
        <v>450</v>
      </c>
      <c r="C127" s="333" t="s">
        <v>265</v>
      </c>
      <c r="D127" s="334">
        <v>47</v>
      </c>
      <c r="E127" s="335">
        <f>TRUNC(신규_일위대가목록!E69,0)</f>
        <v>2477</v>
      </c>
      <c r="F127" s="335">
        <f t="shared" si="12"/>
        <v>116419</v>
      </c>
      <c r="G127" s="335">
        <f>TRUNC(신규_일위대가목록!F69,0)</f>
        <v>46999</v>
      </c>
      <c r="H127" s="335">
        <f t="shared" si="13"/>
        <v>2208953</v>
      </c>
      <c r="I127" s="335">
        <f>TRUNC(신규_일위대가목록!G69,0)</f>
        <v>0</v>
      </c>
      <c r="J127" s="335">
        <f t="shared" si="14"/>
        <v>0</v>
      </c>
      <c r="K127" s="335">
        <f t="shared" si="15"/>
        <v>2325372</v>
      </c>
      <c r="L127" s="333" t="s">
        <v>1301</v>
      </c>
      <c r="M127" s="329" t="s">
        <v>1302</v>
      </c>
      <c r="N127" s="329" t="s">
        <v>378</v>
      </c>
      <c r="O127" s="329" t="s">
        <v>378</v>
      </c>
      <c r="P127" s="329" t="s">
        <v>1296</v>
      </c>
      <c r="Q127" s="329" t="s">
        <v>1104</v>
      </c>
      <c r="R127" s="329" t="s">
        <v>1105</v>
      </c>
      <c r="S127" s="329" t="s">
        <v>1105</v>
      </c>
      <c r="AQ127" s="329" t="s">
        <v>378</v>
      </c>
      <c r="AR127" s="329" t="s">
        <v>378</v>
      </c>
      <c r="AT127" s="329" t="s">
        <v>1303</v>
      </c>
      <c r="AU127" s="330">
        <v>5882</v>
      </c>
    </row>
    <row r="128" spans="1:47" s="340" customFormat="1" ht="30" customHeight="1">
      <c r="A128" s="336" t="s">
        <v>483</v>
      </c>
      <c r="B128" s="336" t="s">
        <v>515</v>
      </c>
      <c r="C128" s="336" t="s">
        <v>300</v>
      </c>
      <c r="D128" s="337">
        <v>934.2</v>
      </c>
      <c r="E128" s="338">
        <f>TRUNC(신규_일위대가목록!E70,0)</f>
        <v>764</v>
      </c>
      <c r="F128" s="338">
        <f t="shared" si="12"/>
        <v>713728</v>
      </c>
      <c r="G128" s="338">
        <f>TRUNC(신규_일위대가목록!F70,0)</f>
        <v>2589</v>
      </c>
      <c r="H128" s="338">
        <f t="shared" si="13"/>
        <v>2418643</v>
      </c>
      <c r="I128" s="338">
        <f>TRUNC(신규_일위대가목록!G70,0)</f>
        <v>0</v>
      </c>
      <c r="J128" s="338">
        <f t="shared" si="14"/>
        <v>0</v>
      </c>
      <c r="K128" s="338">
        <f t="shared" si="15"/>
        <v>3132371</v>
      </c>
      <c r="L128" s="336" t="s">
        <v>1304</v>
      </c>
      <c r="M128" s="339" t="s">
        <v>1305</v>
      </c>
      <c r="N128" s="339" t="s">
        <v>378</v>
      </c>
      <c r="O128" s="339" t="s">
        <v>378</v>
      </c>
      <c r="P128" s="339" t="s">
        <v>1296</v>
      </c>
      <c r="Q128" s="339" t="s">
        <v>1104</v>
      </c>
      <c r="R128" s="339" t="s">
        <v>1105</v>
      </c>
      <c r="S128" s="339" t="s">
        <v>1105</v>
      </c>
      <c r="AQ128" s="339" t="s">
        <v>378</v>
      </c>
      <c r="AR128" s="339" t="s">
        <v>378</v>
      </c>
      <c r="AT128" s="339" t="s">
        <v>1306</v>
      </c>
      <c r="AU128" s="340">
        <v>5883</v>
      </c>
    </row>
    <row r="129" spans="1:47" ht="30" customHeight="1">
      <c r="A129" s="333" t="s">
        <v>298</v>
      </c>
      <c r="B129" s="333" t="s">
        <v>299</v>
      </c>
      <c r="C129" s="333" t="s">
        <v>300</v>
      </c>
      <c r="D129" s="334">
        <v>9.1</v>
      </c>
      <c r="E129" s="335">
        <f>TRUNC(신규_일위대가목록!E38,0)</f>
        <v>964</v>
      </c>
      <c r="F129" s="335">
        <f t="shared" si="12"/>
        <v>8772</v>
      </c>
      <c r="G129" s="335">
        <f>TRUNC(신규_일위대가목록!F38,0)</f>
        <v>2114</v>
      </c>
      <c r="H129" s="335">
        <f t="shared" si="13"/>
        <v>19237</v>
      </c>
      <c r="I129" s="335">
        <f>TRUNC(신규_일위대가목록!G38,0)</f>
        <v>0</v>
      </c>
      <c r="J129" s="335">
        <f t="shared" si="14"/>
        <v>0</v>
      </c>
      <c r="K129" s="335">
        <f t="shared" si="15"/>
        <v>28009</v>
      </c>
      <c r="L129" s="333" t="s">
        <v>1202</v>
      </c>
      <c r="M129" s="329" t="s">
        <v>1203</v>
      </c>
      <c r="N129" s="329" t="s">
        <v>378</v>
      </c>
      <c r="O129" s="329" t="s">
        <v>378</v>
      </c>
      <c r="P129" s="329" t="s">
        <v>1296</v>
      </c>
      <c r="Q129" s="329" t="s">
        <v>1104</v>
      </c>
      <c r="R129" s="329" t="s">
        <v>1105</v>
      </c>
      <c r="S129" s="329" t="s">
        <v>1105</v>
      </c>
      <c r="AQ129" s="329" t="s">
        <v>378</v>
      </c>
      <c r="AR129" s="329" t="s">
        <v>378</v>
      </c>
      <c r="AT129" s="329" t="s">
        <v>1307</v>
      </c>
      <c r="AU129" s="330">
        <v>5903</v>
      </c>
    </row>
    <row r="130" spans="1:47" ht="30" customHeight="1">
      <c r="A130" s="333" t="s">
        <v>302</v>
      </c>
      <c r="B130" s="333" t="s">
        <v>516</v>
      </c>
      <c r="C130" s="333" t="s">
        <v>300</v>
      </c>
      <c r="D130" s="334">
        <v>9.1</v>
      </c>
      <c r="E130" s="335">
        <f>TRUNC(신규_일위대가목록!E71,0)</f>
        <v>3373</v>
      </c>
      <c r="F130" s="335">
        <f t="shared" si="12"/>
        <v>30694</v>
      </c>
      <c r="G130" s="335">
        <f>TRUNC(신규_일위대가목록!F71,0)</f>
        <v>7406</v>
      </c>
      <c r="H130" s="335">
        <f t="shared" si="13"/>
        <v>67394</v>
      </c>
      <c r="I130" s="335">
        <f>TRUNC(신규_일위대가목록!G71,0)</f>
        <v>0</v>
      </c>
      <c r="J130" s="335">
        <f t="shared" si="14"/>
        <v>0</v>
      </c>
      <c r="K130" s="335">
        <f t="shared" si="15"/>
        <v>98088</v>
      </c>
      <c r="L130" s="333" t="s">
        <v>1308</v>
      </c>
      <c r="M130" s="329" t="s">
        <v>1309</v>
      </c>
      <c r="N130" s="329" t="s">
        <v>378</v>
      </c>
      <c r="O130" s="329" t="s">
        <v>378</v>
      </c>
      <c r="P130" s="329" t="s">
        <v>1296</v>
      </c>
      <c r="Q130" s="329" t="s">
        <v>1104</v>
      </c>
      <c r="R130" s="329" t="s">
        <v>1105</v>
      </c>
      <c r="S130" s="329" t="s">
        <v>1105</v>
      </c>
      <c r="AQ130" s="329" t="s">
        <v>378</v>
      </c>
      <c r="AR130" s="329" t="s">
        <v>378</v>
      </c>
      <c r="AT130" s="329" t="s">
        <v>1310</v>
      </c>
      <c r="AU130" s="330">
        <v>5943</v>
      </c>
    </row>
    <row r="131" spans="1:47" s="340" customFormat="1" ht="30" customHeight="1">
      <c r="A131" s="336" t="s">
        <v>517</v>
      </c>
      <c r="B131" s="336" t="s">
        <v>518</v>
      </c>
      <c r="C131" s="336" t="s">
        <v>265</v>
      </c>
      <c r="D131" s="337">
        <v>14</v>
      </c>
      <c r="E131" s="338">
        <f>TRUNC(신규_일위대가목록!E72,0)</f>
        <v>1759</v>
      </c>
      <c r="F131" s="338">
        <f t="shared" si="12"/>
        <v>24626</v>
      </c>
      <c r="G131" s="338">
        <f>TRUNC(신규_일위대가목록!F72,0)</f>
        <v>20713</v>
      </c>
      <c r="H131" s="338">
        <f t="shared" si="13"/>
        <v>289982</v>
      </c>
      <c r="I131" s="338">
        <f>TRUNC(신규_일위대가목록!G72,0)</f>
        <v>0</v>
      </c>
      <c r="J131" s="338">
        <f t="shared" si="14"/>
        <v>0</v>
      </c>
      <c r="K131" s="338">
        <f t="shared" si="15"/>
        <v>314608</v>
      </c>
      <c r="L131" s="336" t="s">
        <v>1311</v>
      </c>
      <c r="M131" s="339" t="s">
        <v>1312</v>
      </c>
      <c r="N131" s="339" t="s">
        <v>378</v>
      </c>
      <c r="O131" s="339" t="s">
        <v>378</v>
      </c>
      <c r="P131" s="339" t="s">
        <v>1296</v>
      </c>
      <c r="Q131" s="339" t="s">
        <v>1104</v>
      </c>
      <c r="R131" s="339" t="s">
        <v>1105</v>
      </c>
      <c r="S131" s="339" t="s">
        <v>1105</v>
      </c>
      <c r="AQ131" s="339" t="s">
        <v>378</v>
      </c>
      <c r="AR131" s="339" t="s">
        <v>378</v>
      </c>
      <c r="AT131" s="339" t="s">
        <v>1313</v>
      </c>
      <c r="AU131" s="340">
        <v>5884</v>
      </c>
    </row>
    <row r="132" spans="1:47" s="340" customFormat="1" ht="30" customHeight="1">
      <c r="A132" s="336" t="s">
        <v>517</v>
      </c>
      <c r="B132" s="336" t="s">
        <v>519</v>
      </c>
      <c r="C132" s="336" t="s">
        <v>265</v>
      </c>
      <c r="D132" s="337">
        <v>16</v>
      </c>
      <c r="E132" s="338">
        <f>TRUNC(신규_일위대가목록!E73,0)</f>
        <v>2854</v>
      </c>
      <c r="F132" s="338">
        <f t="shared" si="12"/>
        <v>45664</v>
      </c>
      <c r="G132" s="338">
        <f>TRUNC(신규_일위대가목록!F73,0)</f>
        <v>20713</v>
      </c>
      <c r="H132" s="338">
        <f t="shared" si="13"/>
        <v>331408</v>
      </c>
      <c r="I132" s="338">
        <f>TRUNC(신규_일위대가목록!G73,0)</f>
        <v>0</v>
      </c>
      <c r="J132" s="338">
        <f t="shared" si="14"/>
        <v>0</v>
      </c>
      <c r="K132" s="338">
        <f t="shared" si="15"/>
        <v>377072</v>
      </c>
      <c r="L132" s="336" t="s">
        <v>1314</v>
      </c>
      <c r="M132" s="339" t="s">
        <v>1315</v>
      </c>
      <c r="N132" s="339" t="s">
        <v>378</v>
      </c>
      <c r="O132" s="339" t="s">
        <v>378</v>
      </c>
      <c r="P132" s="339" t="s">
        <v>1296</v>
      </c>
      <c r="Q132" s="339" t="s">
        <v>1104</v>
      </c>
      <c r="R132" s="339" t="s">
        <v>1105</v>
      </c>
      <c r="S132" s="339" t="s">
        <v>1105</v>
      </c>
      <c r="AQ132" s="339" t="s">
        <v>378</v>
      </c>
      <c r="AR132" s="339" t="s">
        <v>378</v>
      </c>
      <c r="AT132" s="339" t="s">
        <v>1316</v>
      </c>
      <c r="AU132" s="340">
        <v>5885</v>
      </c>
    </row>
    <row r="133" spans="1:47" ht="30" customHeight="1">
      <c r="A133" s="333" t="s">
        <v>520</v>
      </c>
      <c r="B133" s="333" t="s">
        <v>521</v>
      </c>
      <c r="C133" s="333" t="s">
        <v>265</v>
      </c>
      <c r="D133" s="334">
        <v>14</v>
      </c>
      <c r="E133" s="335">
        <f>TRUNC(신규_일위대가목록!E74,0)</f>
        <v>53352</v>
      </c>
      <c r="F133" s="335">
        <f t="shared" si="12"/>
        <v>746928</v>
      </c>
      <c r="G133" s="335">
        <f>TRUNC(신규_일위대가목록!F74,0)</f>
        <v>22324</v>
      </c>
      <c r="H133" s="335">
        <f t="shared" si="13"/>
        <v>312536</v>
      </c>
      <c r="I133" s="335">
        <f>TRUNC(신규_일위대가목록!G74,0)</f>
        <v>0</v>
      </c>
      <c r="J133" s="335">
        <f t="shared" si="14"/>
        <v>0</v>
      </c>
      <c r="K133" s="335">
        <f t="shared" si="15"/>
        <v>1059464</v>
      </c>
      <c r="L133" s="333" t="s">
        <v>1317</v>
      </c>
      <c r="M133" s="329" t="s">
        <v>1318</v>
      </c>
      <c r="N133" s="329" t="s">
        <v>378</v>
      </c>
      <c r="O133" s="329" t="s">
        <v>378</v>
      </c>
      <c r="P133" s="329" t="s">
        <v>1296</v>
      </c>
      <c r="Q133" s="329" t="s">
        <v>1104</v>
      </c>
      <c r="R133" s="329" t="s">
        <v>1105</v>
      </c>
      <c r="S133" s="329" t="s">
        <v>1105</v>
      </c>
      <c r="AQ133" s="329" t="s">
        <v>378</v>
      </c>
      <c r="AR133" s="329" t="s">
        <v>378</v>
      </c>
      <c r="AT133" s="329" t="s">
        <v>1319</v>
      </c>
      <c r="AU133" s="330">
        <v>5905</v>
      </c>
    </row>
    <row r="134" spans="1:47" ht="30" customHeight="1">
      <c r="A134" s="334"/>
      <c r="B134" s="334"/>
      <c r="C134" s="334"/>
      <c r="D134" s="334"/>
      <c r="E134" s="334"/>
      <c r="F134" s="334"/>
      <c r="G134" s="334"/>
      <c r="H134" s="334"/>
      <c r="I134" s="334"/>
      <c r="J134" s="334"/>
      <c r="K134" s="334"/>
      <c r="L134" s="334"/>
    </row>
    <row r="135" spans="1:47" ht="30" customHeight="1">
      <c r="A135" s="334"/>
      <c r="B135" s="334"/>
      <c r="C135" s="334"/>
      <c r="D135" s="334"/>
      <c r="E135" s="334"/>
      <c r="F135" s="334"/>
      <c r="G135" s="334"/>
      <c r="H135" s="334"/>
      <c r="I135" s="334"/>
      <c r="J135" s="334"/>
      <c r="K135" s="334"/>
      <c r="L135" s="334"/>
    </row>
    <row r="136" spans="1:47" ht="30" customHeight="1">
      <c r="A136" s="334"/>
      <c r="B136" s="334"/>
      <c r="C136" s="334"/>
      <c r="D136" s="334"/>
      <c r="E136" s="334"/>
      <c r="F136" s="334"/>
      <c r="G136" s="334"/>
      <c r="H136" s="334"/>
      <c r="I136" s="334"/>
      <c r="J136" s="334"/>
      <c r="K136" s="334"/>
      <c r="L136" s="334"/>
    </row>
    <row r="137" spans="1:47" ht="30" customHeight="1">
      <c r="A137" s="334"/>
      <c r="B137" s="334"/>
      <c r="C137" s="334"/>
      <c r="D137" s="334"/>
      <c r="E137" s="334"/>
      <c r="F137" s="334"/>
      <c r="G137" s="334"/>
      <c r="H137" s="334"/>
      <c r="I137" s="334"/>
      <c r="J137" s="334"/>
      <c r="K137" s="334"/>
      <c r="L137" s="334"/>
    </row>
    <row r="138" spans="1:47" ht="30" customHeight="1">
      <c r="A138" s="334"/>
      <c r="B138" s="334"/>
      <c r="C138" s="334"/>
      <c r="D138" s="334"/>
      <c r="E138" s="334"/>
      <c r="F138" s="334"/>
      <c r="G138" s="334"/>
      <c r="H138" s="334"/>
      <c r="I138" s="334"/>
      <c r="J138" s="334"/>
      <c r="K138" s="334"/>
      <c r="L138" s="334"/>
    </row>
    <row r="139" spans="1:47" ht="30" customHeight="1">
      <c r="A139" s="334"/>
      <c r="B139" s="334"/>
      <c r="C139" s="334"/>
      <c r="D139" s="334"/>
      <c r="E139" s="334"/>
      <c r="F139" s="334"/>
      <c r="G139" s="334"/>
      <c r="H139" s="334"/>
      <c r="I139" s="334"/>
      <c r="J139" s="334"/>
      <c r="K139" s="334"/>
      <c r="L139" s="334"/>
    </row>
    <row r="140" spans="1:47" ht="30" customHeight="1">
      <c r="A140" s="334"/>
      <c r="B140" s="334"/>
      <c r="C140" s="334"/>
      <c r="D140" s="334"/>
      <c r="E140" s="334"/>
      <c r="F140" s="334"/>
      <c r="G140" s="334"/>
      <c r="H140" s="334"/>
      <c r="I140" s="334"/>
      <c r="J140" s="334"/>
      <c r="K140" s="334"/>
      <c r="L140" s="334"/>
    </row>
    <row r="141" spans="1:47" ht="30" customHeight="1">
      <c r="A141" s="334"/>
      <c r="B141" s="334"/>
      <c r="C141" s="334"/>
      <c r="D141" s="334"/>
      <c r="E141" s="334"/>
      <c r="F141" s="334"/>
      <c r="G141" s="334"/>
      <c r="H141" s="334"/>
      <c r="I141" s="334"/>
      <c r="J141" s="334"/>
      <c r="K141" s="334"/>
      <c r="L141" s="334"/>
    </row>
    <row r="142" spans="1:47" ht="30" customHeight="1">
      <c r="A142" s="334"/>
      <c r="B142" s="334"/>
      <c r="C142" s="334"/>
      <c r="D142" s="334"/>
      <c r="E142" s="334"/>
      <c r="F142" s="334"/>
      <c r="G142" s="334"/>
      <c r="H142" s="334"/>
      <c r="I142" s="334"/>
      <c r="J142" s="334"/>
      <c r="K142" s="334"/>
      <c r="L142" s="334"/>
    </row>
    <row r="143" spans="1:47" ht="30" customHeight="1">
      <c r="A143" s="334"/>
      <c r="B143" s="334"/>
      <c r="C143" s="334"/>
      <c r="D143" s="334"/>
      <c r="E143" s="334"/>
      <c r="F143" s="334"/>
      <c r="G143" s="334"/>
      <c r="H143" s="334"/>
      <c r="I143" s="334"/>
      <c r="J143" s="334"/>
      <c r="K143" s="334"/>
      <c r="L143" s="334"/>
    </row>
    <row r="144" spans="1:47" ht="30" customHeight="1">
      <c r="A144" s="334"/>
      <c r="B144" s="334"/>
      <c r="C144" s="334"/>
      <c r="D144" s="334"/>
      <c r="E144" s="334"/>
      <c r="F144" s="334"/>
      <c r="G144" s="334"/>
      <c r="H144" s="334"/>
      <c r="I144" s="334"/>
      <c r="J144" s="334"/>
      <c r="K144" s="334"/>
      <c r="L144" s="334"/>
    </row>
    <row r="145" spans="1:47" ht="30" customHeight="1">
      <c r="A145" s="334"/>
      <c r="B145" s="334"/>
      <c r="C145" s="334"/>
      <c r="D145" s="334"/>
      <c r="E145" s="334"/>
      <c r="F145" s="334"/>
      <c r="G145" s="334"/>
      <c r="H145" s="334"/>
      <c r="I145" s="334"/>
      <c r="J145" s="334"/>
      <c r="K145" s="334"/>
      <c r="L145" s="334"/>
    </row>
    <row r="146" spans="1:47" ht="30" customHeight="1">
      <c r="A146" s="334"/>
      <c r="B146" s="334"/>
      <c r="C146" s="334"/>
      <c r="D146" s="334"/>
      <c r="E146" s="334"/>
      <c r="F146" s="334"/>
      <c r="G146" s="334"/>
      <c r="H146" s="334"/>
      <c r="I146" s="334"/>
      <c r="J146" s="334"/>
      <c r="K146" s="334"/>
      <c r="L146" s="334"/>
    </row>
    <row r="147" spans="1:47" ht="30" customHeight="1">
      <c r="A147" s="333" t="s">
        <v>1196</v>
      </c>
      <c r="B147" s="334"/>
      <c r="C147" s="334"/>
      <c r="D147" s="334"/>
      <c r="E147" s="334"/>
      <c r="F147" s="335">
        <f>SUM(F125:F146)</f>
        <v>1845653</v>
      </c>
      <c r="G147" s="334"/>
      <c r="H147" s="335">
        <f>SUM(H125:H146)</f>
        <v>8542702</v>
      </c>
      <c r="I147" s="334"/>
      <c r="J147" s="335">
        <f>SUM(J125:J146)</f>
        <v>0</v>
      </c>
      <c r="K147" s="335">
        <f>SUM(K125:K146)</f>
        <v>10388355</v>
      </c>
      <c r="L147" s="334"/>
      <c r="M147" s="330" t="s">
        <v>1197</v>
      </c>
    </row>
    <row r="148" spans="1:47" ht="30" customHeight="1">
      <c r="A148" s="333" t="s">
        <v>1320</v>
      </c>
      <c r="B148" s="333" t="s">
        <v>378</v>
      </c>
      <c r="C148" s="334"/>
      <c r="D148" s="334"/>
      <c r="E148" s="334"/>
      <c r="F148" s="334"/>
      <c r="G148" s="334"/>
      <c r="H148" s="334"/>
      <c r="I148" s="334"/>
      <c r="J148" s="334"/>
      <c r="K148" s="334"/>
      <c r="L148" s="334"/>
      <c r="P148" s="329" t="s">
        <v>1321</v>
      </c>
    </row>
    <row r="149" spans="1:47" ht="30" customHeight="1">
      <c r="A149" s="333" t="s">
        <v>477</v>
      </c>
      <c r="B149" s="333" t="s">
        <v>478</v>
      </c>
      <c r="C149" s="333" t="s">
        <v>255</v>
      </c>
      <c r="D149" s="334">
        <v>451.7</v>
      </c>
      <c r="E149" s="335">
        <f>TRUNC(신규_일위대가목록!E68,0)</f>
        <v>516</v>
      </c>
      <c r="F149" s="335">
        <f t="shared" ref="F149:F171" si="16">TRUNC(E149*D149, 0)</f>
        <v>233077</v>
      </c>
      <c r="G149" s="335">
        <f>TRUNC(신규_일위대가목록!F68,0)</f>
        <v>9399</v>
      </c>
      <c r="H149" s="335">
        <f t="shared" ref="H149:H171" si="17">TRUNC(G149*D149, 0)</f>
        <v>4245528</v>
      </c>
      <c r="I149" s="335">
        <f>TRUNC(신규_일위대가목록!G68,0)</f>
        <v>0</v>
      </c>
      <c r="J149" s="335">
        <f t="shared" ref="J149:J171" si="18">TRUNC(I149*D149, 0)</f>
        <v>0</v>
      </c>
      <c r="K149" s="335">
        <f t="shared" ref="K149:K171" si="19">TRUNC(F149+H149+J149, 0)</f>
        <v>4478605</v>
      </c>
      <c r="L149" s="333" t="s">
        <v>1298</v>
      </c>
      <c r="M149" s="329" t="s">
        <v>1299</v>
      </c>
      <c r="N149" s="329" t="s">
        <v>378</v>
      </c>
      <c r="O149" s="329" t="s">
        <v>378</v>
      </c>
      <c r="P149" s="329" t="s">
        <v>1321</v>
      </c>
      <c r="Q149" s="329" t="s">
        <v>1104</v>
      </c>
      <c r="R149" s="329" t="s">
        <v>1105</v>
      </c>
      <c r="S149" s="329" t="s">
        <v>1105</v>
      </c>
      <c r="AQ149" s="329" t="s">
        <v>378</v>
      </c>
      <c r="AR149" s="329" t="s">
        <v>378</v>
      </c>
      <c r="AT149" s="329" t="s">
        <v>1322</v>
      </c>
      <c r="AU149" s="330">
        <v>5731</v>
      </c>
    </row>
    <row r="150" spans="1:47" ht="30" customHeight="1">
      <c r="A150" s="336" t="s">
        <v>446</v>
      </c>
      <c r="B150" s="336" t="s">
        <v>479</v>
      </c>
      <c r="C150" s="336" t="s">
        <v>255</v>
      </c>
      <c r="D150" s="337">
        <v>45.3</v>
      </c>
      <c r="E150" s="338">
        <f>TRUNC(신규_일위대가목록!E75,0)</f>
        <v>649</v>
      </c>
      <c r="F150" s="338">
        <f t="shared" si="16"/>
        <v>29399</v>
      </c>
      <c r="G150" s="338">
        <f>TRUNC(신규_일위대가목록!F75,0)</f>
        <v>11392</v>
      </c>
      <c r="H150" s="338">
        <f t="shared" si="17"/>
        <v>516057</v>
      </c>
      <c r="I150" s="338">
        <f>TRUNC(신규_일위대가목록!G75,0)</f>
        <v>0</v>
      </c>
      <c r="J150" s="338">
        <f t="shared" si="18"/>
        <v>0</v>
      </c>
      <c r="K150" s="338">
        <f t="shared" si="19"/>
        <v>545456</v>
      </c>
      <c r="L150" s="336" t="s">
        <v>1323</v>
      </c>
      <c r="M150" s="329" t="s">
        <v>1324</v>
      </c>
      <c r="N150" s="329" t="s">
        <v>378</v>
      </c>
      <c r="O150" s="329" t="s">
        <v>378</v>
      </c>
      <c r="P150" s="329" t="s">
        <v>1321</v>
      </c>
      <c r="Q150" s="329" t="s">
        <v>1104</v>
      </c>
      <c r="R150" s="329" t="s">
        <v>1105</v>
      </c>
      <c r="S150" s="329" t="s">
        <v>1105</v>
      </c>
      <c r="AQ150" s="329" t="s">
        <v>378</v>
      </c>
      <c r="AR150" s="329" t="s">
        <v>378</v>
      </c>
      <c r="AT150" s="329" t="s">
        <v>1325</v>
      </c>
      <c r="AU150" s="330">
        <v>5732</v>
      </c>
    </row>
    <row r="151" spans="1:47" ht="30" customHeight="1">
      <c r="A151" s="333" t="s">
        <v>446</v>
      </c>
      <c r="B151" s="333" t="s">
        <v>480</v>
      </c>
      <c r="C151" s="333" t="s">
        <v>265</v>
      </c>
      <c r="D151" s="334">
        <v>56</v>
      </c>
      <c r="E151" s="335">
        <f>TRUNC(신규_단가대비표!O140,0)</f>
        <v>973</v>
      </c>
      <c r="F151" s="335">
        <f t="shared" si="16"/>
        <v>54488</v>
      </c>
      <c r="G151" s="335">
        <f>TRUNC(신규_단가대비표!P140,0)</f>
        <v>0</v>
      </c>
      <c r="H151" s="335">
        <f t="shared" si="17"/>
        <v>0</v>
      </c>
      <c r="I151" s="335">
        <f>TRUNC(신규_단가대비표!V140,0)</f>
        <v>0</v>
      </c>
      <c r="J151" s="335">
        <f t="shared" si="18"/>
        <v>0</v>
      </c>
      <c r="K151" s="335">
        <f t="shared" si="19"/>
        <v>54488</v>
      </c>
      <c r="L151" s="333" t="s">
        <v>378</v>
      </c>
      <c r="M151" s="329" t="s">
        <v>1326</v>
      </c>
      <c r="N151" s="329" t="s">
        <v>378</v>
      </c>
      <c r="O151" s="329" t="s">
        <v>378</v>
      </c>
      <c r="P151" s="329" t="s">
        <v>1321</v>
      </c>
      <c r="Q151" s="329" t="s">
        <v>1105</v>
      </c>
      <c r="R151" s="329" t="s">
        <v>1105</v>
      </c>
      <c r="S151" s="329" t="s">
        <v>1104</v>
      </c>
      <c r="AQ151" s="329" t="s">
        <v>378</v>
      </c>
      <c r="AR151" s="329" t="s">
        <v>378</v>
      </c>
      <c r="AT151" s="329" t="s">
        <v>1327</v>
      </c>
      <c r="AU151" s="330">
        <v>5733</v>
      </c>
    </row>
    <row r="152" spans="1:47" ht="30" customHeight="1">
      <c r="A152" s="336" t="s">
        <v>448</v>
      </c>
      <c r="B152" s="336" t="s">
        <v>481</v>
      </c>
      <c r="C152" s="336" t="s">
        <v>265</v>
      </c>
      <c r="D152" s="337">
        <v>104</v>
      </c>
      <c r="E152" s="338">
        <f>TRUNC(신규_일위대가목록!E76,0)</f>
        <v>1365</v>
      </c>
      <c r="F152" s="338">
        <f t="shared" si="16"/>
        <v>141960</v>
      </c>
      <c r="G152" s="338">
        <f>TRUNC(신규_일위대가목록!F76,0)</f>
        <v>31070</v>
      </c>
      <c r="H152" s="338">
        <f t="shared" si="17"/>
        <v>3231280</v>
      </c>
      <c r="I152" s="338">
        <f>TRUNC(신규_일위대가목록!G76,0)</f>
        <v>0</v>
      </c>
      <c r="J152" s="338">
        <f t="shared" si="18"/>
        <v>0</v>
      </c>
      <c r="K152" s="338">
        <f t="shared" si="19"/>
        <v>3373240</v>
      </c>
      <c r="L152" s="336" t="s">
        <v>1328</v>
      </c>
      <c r="M152" s="329" t="s">
        <v>1329</v>
      </c>
      <c r="N152" s="329" t="s">
        <v>378</v>
      </c>
      <c r="O152" s="329" t="s">
        <v>378</v>
      </c>
      <c r="P152" s="329" t="s">
        <v>1321</v>
      </c>
      <c r="Q152" s="329" t="s">
        <v>1104</v>
      </c>
      <c r="R152" s="329" t="s">
        <v>1105</v>
      </c>
      <c r="S152" s="329" t="s">
        <v>1105</v>
      </c>
      <c r="AQ152" s="329" t="s">
        <v>378</v>
      </c>
      <c r="AR152" s="329" t="s">
        <v>378</v>
      </c>
      <c r="AT152" s="329" t="s">
        <v>1330</v>
      </c>
      <c r="AU152" s="330">
        <v>5734</v>
      </c>
    </row>
    <row r="153" spans="1:47" ht="30" customHeight="1">
      <c r="A153" s="336" t="s">
        <v>448</v>
      </c>
      <c r="B153" s="336" t="s">
        <v>450</v>
      </c>
      <c r="C153" s="336" t="s">
        <v>265</v>
      </c>
      <c r="D153" s="337">
        <v>12</v>
      </c>
      <c r="E153" s="338">
        <f>TRUNC(신규_일위대가목록!E77,0)</f>
        <v>1592</v>
      </c>
      <c r="F153" s="338">
        <f t="shared" si="16"/>
        <v>19104</v>
      </c>
      <c r="G153" s="338">
        <f>TRUNC(신규_일위대가목록!F77,0)</f>
        <v>31070</v>
      </c>
      <c r="H153" s="338">
        <f t="shared" si="17"/>
        <v>372840</v>
      </c>
      <c r="I153" s="338">
        <f>TRUNC(신규_일위대가목록!G77,0)</f>
        <v>0</v>
      </c>
      <c r="J153" s="338">
        <f t="shared" si="18"/>
        <v>0</v>
      </c>
      <c r="K153" s="338">
        <f t="shared" si="19"/>
        <v>391944</v>
      </c>
      <c r="L153" s="336" t="s">
        <v>1331</v>
      </c>
      <c r="M153" s="329" t="s">
        <v>1332</v>
      </c>
      <c r="N153" s="329" t="s">
        <v>378</v>
      </c>
      <c r="O153" s="329" t="s">
        <v>378</v>
      </c>
      <c r="P153" s="329" t="s">
        <v>1321</v>
      </c>
      <c r="Q153" s="329" t="s">
        <v>1104</v>
      </c>
      <c r="R153" s="329" t="s">
        <v>1105</v>
      </c>
      <c r="S153" s="329" t="s">
        <v>1105</v>
      </c>
      <c r="AQ153" s="329" t="s">
        <v>378</v>
      </c>
      <c r="AR153" s="329" t="s">
        <v>378</v>
      </c>
      <c r="AT153" s="329" t="s">
        <v>1333</v>
      </c>
      <c r="AU153" s="330">
        <v>5735</v>
      </c>
    </row>
    <row r="154" spans="1:47" ht="30" customHeight="1">
      <c r="A154" s="336" t="s">
        <v>482</v>
      </c>
      <c r="B154" s="336" t="s">
        <v>452</v>
      </c>
      <c r="C154" s="336" t="s">
        <v>265</v>
      </c>
      <c r="D154" s="337">
        <v>20</v>
      </c>
      <c r="E154" s="338">
        <f>TRUNC(신규_일위대가목록!E78,0)</f>
        <v>1905</v>
      </c>
      <c r="F154" s="338">
        <f t="shared" si="16"/>
        <v>38100</v>
      </c>
      <c r="G154" s="338">
        <f>TRUNC(신규_일위대가목록!F78,0)</f>
        <v>51783</v>
      </c>
      <c r="H154" s="338">
        <f t="shared" si="17"/>
        <v>1035660</v>
      </c>
      <c r="I154" s="338">
        <f>TRUNC(신규_일위대가목록!G78,0)</f>
        <v>0</v>
      </c>
      <c r="J154" s="338">
        <f t="shared" si="18"/>
        <v>0</v>
      </c>
      <c r="K154" s="338">
        <f t="shared" si="19"/>
        <v>1073760</v>
      </c>
      <c r="L154" s="336" t="s">
        <v>1334</v>
      </c>
      <c r="M154" s="329" t="s">
        <v>1335</v>
      </c>
      <c r="N154" s="329" t="s">
        <v>378</v>
      </c>
      <c r="O154" s="329" t="s">
        <v>378</v>
      </c>
      <c r="P154" s="329" t="s">
        <v>1321</v>
      </c>
      <c r="Q154" s="329" t="s">
        <v>1104</v>
      </c>
      <c r="R154" s="329" t="s">
        <v>1105</v>
      </c>
      <c r="S154" s="329" t="s">
        <v>1105</v>
      </c>
      <c r="AQ154" s="329" t="s">
        <v>378</v>
      </c>
      <c r="AR154" s="329" t="s">
        <v>378</v>
      </c>
      <c r="AT154" s="329" t="s">
        <v>1336</v>
      </c>
      <c r="AU154" s="330">
        <v>5736</v>
      </c>
    </row>
    <row r="155" spans="1:47" s="340" customFormat="1" ht="30" customHeight="1">
      <c r="A155" s="336" t="s">
        <v>483</v>
      </c>
      <c r="B155" s="336" t="s">
        <v>484</v>
      </c>
      <c r="C155" s="336" t="s">
        <v>300</v>
      </c>
      <c r="D155" s="337">
        <v>1876.5</v>
      </c>
      <c r="E155" s="338">
        <f>TRUNC(신규_일위대가목록!E79,0)</f>
        <v>514</v>
      </c>
      <c r="F155" s="338">
        <f t="shared" si="16"/>
        <v>964521</v>
      </c>
      <c r="G155" s="338">
        <f>TRUNC(신규_일위대가목록!F79,0)</f>
        <v>2589</v>
      </c>
      <c r="H155" s="338">
        <f t="shared" si="17"/>
        <v>4858258</v>
      </c>
      <c r="I155" s="338">
        <f>TRUNC(신규_일위대가목록!G79,0)</f>
        <v>0</v>
      </c>
      <c r="J155" s="338">
        <f t="shared" si="18"/>
        <v>0</v>
      </c>
      <c r="K155" s="338">
        <f t="shared" si="19"/>
        <v>5822779</v>
      </c>
      <c r="L155" s="336" t="s">
        <v>1337</v>
      </c>
      <c r="M155" s="339" t="s">
        <v>1338</v>
      </c>
      <c r="N155" s="339" t="s">
        <v>378</v>
      </c>
      <c r="O155" s="339" t="s">
        <v>378</v>
      </c>
      <c r="P155" s="339" t="s">
        <v>1321</v>
      </c>
      <c r="Q155" s="339" t="s">
        <v>1104</v>
      </c>
      <c r="R155" s="339" t="s">
        <v>1105</v>
      </c>
      <c r="S155" s="339" t="s">
        <v>1105</v>
      </c>
      <c r="AQ155" s="339" t="s">
        <v>378</v>
      </c>
      <c r="AR155" s="339" t="s">
        <v>378</v>
      </c>
      <c r="AT155" s="339" t="s">
        <v>1339</v>
      </c>
      <c r="AU155" s="340">
        <v>5737</v>
      </c>
    </row>
    <row r="156" spans="1:47" s="340" customFormat="1" ht="30" customHeight="1">
      <c r="A156" s="336" t="s">
        <v>459</v>
      </c>
      <c r="B156" s="336" t="s">
        <v>485</v>
      </c>
      <c r="C156" s="336" t="s">
        <v>265</v>
      </c>
      <c r="D156" s="337">
        <v>9</v>
      </c>
      <c r="E156" s="338">
        <f>TRUNC(신규_일위대가목록!E80,0)</f>
        <v>2110</v>
      </c>
      <c r="F156" s="338">
        <f t="shared" si="16"/>
        <v>18990</v>
      </c>
      <c r="G156" s="338">
        <f>TRUNC(신규_일위대가목록!F80,0)</f>
        <v>22007</v>
      </c>
      <c r="H156" s="338">
        <f t="shared" si="17"/>
        <v>198063</v>
      </c>
      <c r="I156" s="338">
        <f>TRUNC(신규_일위대가목록!G80,0)</f>
        <v>0</v>
      </c>
      <c r="J156" s="338">
        <f t="shared" si="18"/>
        <v>0</v>
      </c>
      <c r="K156" s="338">
        <f t="shared" si="19"/>
        <v>217053</v>
      </c>
      <c r="L156" s="336" t="s">
        <v>1340</v>
      </c>
      <c r="M156" s="339" t="s">
        <v>1341</v>
      </c>
      <c r="N156" s="339" t="s">
        <v>378</v>
      </c>
      <c r="O156" s="339" t="s">
        <v>378</v>
      </c>
      <c r="P156" s="339" t="s">
        <v>1321</v>
      </c>
      <c r="Q156" s="339" t="s">
        <v>1104</v>
      </c>
      <c r="R156" s="339" t="s">
        <v>1105</v>
      </c>
      <c r="S156" s="339" t="s">
        <v>1105</v>
      </c>
      <c r="AQ156" s="339" t="s">
        <v>378</v>
      </c>
      <c r="AR156" s="339" t="s">
        <v>378</v>
      </c>
      <c r="AT156" s="339" t="s">
        <v>1342</v>
      </c>
      <c r="AU156" s="340">
        <v>5738</v>
      </c>
    </row>
    <row r="157" spans="1:47" s="340" customFormat="1" ht="30" customHeight="1">
      <c r="A157" s="336" t="s">
        <v>459</v>
      </c>
      <c r="B157" s="336" t="s">
        <v>486</v>
      </c>
      <c r="C157" s="336" t="s">
        <v>265</v>
      </c>
      <c r="D157" s="337">
        <v>6</v>
      </c>
      <c r="E157" s="338">
        <f>TRUNC(신규_일위대가목록!E81,0)</f>
        <v>2920</v>
      </c>
      <c r="F157" s="338">
        <f t="shared" si="16"/>
        <v>17520</v>
      </c>
      <c r="G157" s="338">
        <f>TRUNC(신규_일위대가목록!F81,0)</f>
        <v>22007</v>
      </c>
      <c r="H157" s="338">
        <f t="shared" si="17"/>
        <v>132042</v>
      </c>
      <c r="I157" s="338">
        <f>TRUNC(신규_일위대가목록!G81,0)</f>
        <v>0</v>
      </c>
      <c r="J157" s="338">
        <f t="shared" si="18"/>
        <v>0</v>
      </c>
      <c r="K157" s="338">
        <f t="shared" si="19"/>
        <v>149562</v>
      </c>
      <c r="L157" s="336" t="s">
        <v>1343</v>
      </c>
      <c r="M157" s="339" t="s">
        <v>1344</v>
      </c>
      <c r="N157" s="339" t="s">
        <v>378</v>
      </c>
      <c r="O157" s="339" t="s">
        <v>378</v>
      </c>
      <c r="P157" s="339" t="s">
        <v>1321</v>
      </c>
      <c r="Q157" s="339" t="s">
        <v>1104</v>
      </c>
      <c r="R157" s="339" t="s">
        <v>1105</v>
      </c>
      <c r="S157" s="339" t="s">
        <v>1105</v>
      </c>
      <c r="AQ157" s="339" t="s">
        <v>378</v>
      </c>
      <c r="AR157" s="339" t="s">
        <v>378</v>
      </c>
      <c r="AT157" s="339" t="s">
        <v>1345</v>
      </c>
      <c r="AU157" s="340">
        <v>5739</v>
      </c>
    </row>
    <row r="158" spans="1:47" s="340" customFormat="1" ht="30" customHeight="1">
      <c r="A158" s="336" t="s">
        <v>459</v>
      </c>
      <c r="B158" s="336" t="s">
        <v>487</v>
      </c>
      <c r="C158" s="336" t="s">
        <v>265</v>
      </c>
      <c r="D158" s="337">
        <v>2</v>
      </c>
      <c r="E158" s="338">
        <f>TRUNC(신규_일위대가목록!E82,0)</f>
        <v>3640</v>
      </c>
      <c r="F158" s="338">
        <f t="shared" si="16"/>
        <v>7280</v>
      </c>
      <c r="G158" s="338">
        <f>TRUNC(신규_일위대가목록!F82,0)</f>
        <v>22007</v>
      </c>
      <c r="H158" s="338">
        <f t="shared" si="17"/>
        <v>44014</v>
      </c>
      <c r="I158" s="338">
        <f>TRUNC(신규_일위대가목록!G82,0)</f>
        <v>0</v>
      </c>
      <c r="J158" s="338">
        <f t="shared" si="18"/>
        <v>0</v>
      </c>
      <c r="K158" s="338">
        <f t="shared" si="19"/>
        <v>51294</v>
      </c>
      <c r="L158" s="336" t="s">
        <v>1346</v>
      </c>
      <c r="M158" s="339" t="s">
        <v>1347</v>
      </c>
      <c r="N158" s="339" t="s">
        <v>378</v>
      </c>
      <c r="O158" s="339" t="s">
        <v>378</v>
      </c>
      <c r="P158" s="339" t="s">
        <v>1321</v>
      </c>
      <c r="Q158" s="339" t="s">
        <v>1104</v>
      </c>
      <c r="R158" s="339" t="s">
        <v>1105</v>
      </c>
      <c r="S158" s="339" t="s">
        <v>1105</v>
      </c>
      <c r="AQ158" s="339" t="s">
        <v>378</v>
      </c>
      <c r="AR158" s="339" t="s">
        <v>378</v>
      </c>
      <c r="AT158" s="339" t="s">
        <v>1348</v>
      </c>
      <c r="AU158" s="340">
        <v>5906</v>
      </c>
    </row>
    <row r="159" spans="1:47" ht="30" customHeight="1">
      <c r="A159" s="333" t="s">
        <v>459</v>
      </c>
      <c r="B159" s="333" t="s">
        <v>488</v>
      </c>
      <c r="C159" s="333" t="s">
        <v>265</v>
      </c>
      <c r="D159" s="334">
        <v>2</v>
      </c>
      <c r="E159" s="335">
        <f>TRUNC(신규_일위대가목록!E83,0)</f>
        <v>5833</v>
      </c>
      <c r="F159" s="335">
        <f t="shared" si="16"/>
        <v>11666</v>
      </c>
      <c r="G159" s="335">
        <f>TRUNC(신규_일위대가목록!F83,0)</f>
        <v>19974</v>
      </c>
      <c r="H159" s="335">
        <f t="shared" si="17"/>
        <v>39948</v>
      </c>
      <c r="I159" s="335">
        <f>TRUNC(신규_일위대가목록!G83,0)</f>
        <v>0</v>
      </c>
      <c r="J159" s="335">
        <f t="shared" si="18"/>
        <v>0</v>
      </c>
      <c r="K159" s="335">
        <f t="shared" si="19"/>
        <v>51614</v>
      </c>
      <c r="L159" s="333" t="s">
        <v>1349</v>
      </c>
      <c r="M159" s="329" t="s">
        <v>1350</v>
      </c>
      <c r="N159" s="329" t="s">
        <v>378</v>
      </c>
      <c r="O159" s="329" t="s">
        <v>378</v>
      </c>
      <c r="P159" s="329" t="s">
        <v>1321</v>
      </c>
      <c r="Q159" s="329" t="s">
        <v>1104</v>
      </c>
      <c r="R159" s="329" t="s">
        <v>1105</v>
      </c>
      <c r="S159" s="329" t="s">
        <v>1105</v>
      </c>
      <c r="AQ159" s="329" t="s">
        <v>378</v>
      </c>
      <c r="AR159" s="329" t="s">
        <v>378</v>
      </c>
      <c r="AT159" s="329" t="s">
        <v>1351</v>
      </c>
      <c r="AU159" s="330">
        <v>5907</v>
      </c>
    </row>
    <row r="160" spans="1:47" ht="30" customHeight="1">
      <c r="A160" s="333" t="s">
        <v>489</v>
      </c>
      <c r="B160" s="333" t="s">
        <v>490</v>
      </c>
      <c r="C160" s="333" t="s">
        <v>265</v>
      </c>
      <c r="D160" s="334">
        <v>21</v>
      </c>
      <c r="E160" s="335">
        <f>TRUNC(신규_일위대가목록!E84,0)</f>
        <v>9636</v>
      </c>
      <c r="F160" s="335">
        <f t="shared" si="16"/>
        <v>202356</v>
      </c>
      <c r="G160" s="335">
        <f>TRUNC(신규_일위대가목록!F84,0)</f>
        <v>26084</v>
      </c>
      <c r="H160" s="335">
        <f t="shared" si="17"/>
        <v>547764</v>
      </c>
      <c r="I160" s="335">
        <f>TRUNC(신규_일위대가목록!G84,0)</f>
        <v>0</v>
      </c>
      <c r="J160" s="335">
        <f t="shared" si="18"/>
        <v>0</v>
      </c>
      <c r="K160" s="335">
        <f t="shared" si="19"/>
        <v>750120</v>
      </c>
      <c r="L160" s="333" t="s">
        <v>1352</v>
      </c>
      <c r="M160" s="329" t="s">
        <v>1353</v>
      </c>
      <c r="N160" s="329" t="s">
        <v>378</v>
      </c>
      <c r="O160" s="329" t="s">
        <v>378</v>
      </c>
      <c r="P160" s="329" t="s">
        <v>1321</v>
      </c>
      <c r="Q160" s="329" t="s">
        <v>1104</v>
      </c>
      <c r="R160" s="329" t="s">
        <v>1105</v>
      </c>
      <c r="S160" s="329" t="s">
        <v>1105</v>
      </c>
      <c r="AQ160" s="329" t="s">
        <v>378</v>
      </c>
      <c r="AR160" s="329" t="s">
        <v>378</v>
      </c>
      <c r="AT160" s="329" t="s">
        <v>1354</v>
      </c>
      <c r="AU160" s="330">
        <v>5951</v>
      </c>
    </row>
    <row r="161" spans="1:47" ht="30" customHeight="1">
      <c r="A161" s="333" t="s">
        <v>491</v>
      </c>
      <c r="B161" s="333" t="s">
        <v>491</v>
      </c>
      <c r="C161" s="333" t="s">
        <v>265</v>
      </c>
      <c r="D161" s="334">
        <v>20</v>
      </c>
      <c r="E161" s="335">
        <f>TRUNC(신규_단가대비표!O144,0)</f>
        <v>1770</v>
      </c>
      <c r="F161" s="335">
        <f t="shared" si="16"/>
        <v>35400</v>
      </c>
      <c r="G161" s="335">
        <f>TRUNC(신규_단가대비표!P144,0)</f>
        <v>0</v>
      </c>
      <c r="H161" s="335">
        <f t="shared" si="17"/>
        <v>0</v>
      </c>
      <c r="I161" s="335">
        <f>TRUNC(신규_단가대비표!V144,0)</f>
        <v>0</v>
      </c>
      <c r="J161" s="335">
        <f t="shared" si="18"/>
        <v>0</v>
      </c>
      <c r="K161" s="335">
        <f t="shared" si="19"/>
        <v>35400</v>
      </c>
      <c r="L161" s="333" t="s">
        <v>378</v>
      </c>
      <c r="M161" s="329" t="s">
        <v>1355</v>
      </c>
      <c r="N161" s="329" t="s">
        <v>378</v>
      </c>
      <c r="O161" s="329" t="s">
        <v>378</v>
      </c>
      <c r="P161" s="329" t="s">
        <v>1321</v>
      </c>
      <c r="Q161" s="329" t="s">
        <v>1105</v>
      </c>
      <c r="R161" s="329" t="s">
        <v>1105</v>
      </c>
      <c r="S161" s="329" t="s">
        <v>1104</v>
      </c>
      <c r="AQ161" s="329" t="s">
        <v>378</v>
      </c>
      <c r="AR161" s="329" t="s">
        <v>378</v>
      </c>
      <c r="AT161" s="329" t="s">
        <v>1356</v>
      </c>
      <c r="AU161" s="330">
        <v>5953</v>
      </c>
    </row>
    <row r="162" spans="1:47" ht="30" customHeight="1">
      <c r="A162" s="333" t="s">
        <v>492</v>
      </c>
      <c r="B162" s="333" t="s">
        <v>492</v>
      </c>
      <c r="C162" s="333" t="s">
        <v>265</v>
      </c>
      <c r="D162" s="334">
        <v>8</v>
      </c>
      <c r="E162" s="335">
        <f>TRUNC(신규_단가대비표!O143,0)</f>
        <v>2656</v>
      </c>
      <c r="F162" s="335">
        <f t="shared" si="16"/>
        <v>21248</v>
      </c>
      <c r="G162" s="335">
        <f>TRUNC(신규_단가대비표!P143,0)</f>
        <v>0</v>
      </c>
      <c r="H162" s="335">
        <f t="shared" si="17"/>
        <v>0</v>
      </c>
      <c r="I162" s="335">
        <f>TRUNC(신규_단가대비표!V143,0)</f>
        <v>0</v>
      </c>
      <c r="J162" s="335">
        <f t="shared" si="18"/>
        <v>0</v>
      </c>
      <c r="K162" s="335">
        <f t="shared" si="19"/>
        <v>21248</v>
      </c>
      <c r="L162" s="333" t="s">
        <v>378</v>
      </c>
      <c r="M162" s="329" t="s">
        <v>1357</v>
      </c>
      <c r="N162" s="329" t="s">
        <v>378</v>
      </c>
      <c r="O162" s="329" t="s">
        <v>378</v>
      </c>
      <c r="P162" s="329" t="s">
        <v>1321</v>
      </c>
      <c r="Q162" s="329" t="s">
        <v>1105</v>
      </c>
      <c r="R162" s="329" t="s">
        <v>1105</v>
      </c>
      <c r="S162" s="329" t="s">
        <v>1104</v>
      </c>
      <c r="AQ162" s="329" t="s">
        <v>378</v>
      </c>
      <c r="AR162" s="329" t="s">
        <v>378</v>
      </c>
      <c r="AT162" s="329" t="s">
        <v>1358</v>
      </c>
      <c r="AU162" s="330">
        <v>5952</v>
      </c>
    </row>
    <row r="163" spans="1:47" ht="30" customHeight="1">
      <c r="A163" s="333" t="s">
        <v>493</v>
      </c>
      <c r="B163" s="333" t="s">
        <v>494</v>
      </c>
      <c r="C163" s="333" t="s">
        <v>265</v>
      </c>
      <c r="D163" s="334">
        <v>13</v>
      </c>
      <c r="E163" s="335">
        <f>TRUNC(신규_일위대가목록!E85,0)</f>
        <v>972</v>
      </c>
      <c r="F163" s="335">
        <f t="shared" si="16"/>
        <v>12636</v>
      </c>
      <c r="G163" s="335">
        <f>TRUNC(신규_일위대가목록!F85,0)</f>
        <v>32429</v>
      </c>
      <c r="H163" s="335">
        <f t="shared" si="17"/>
        <v>421577</v>
      </c>
      <c r="I163" s="335">
        <f>TRUNC(신규_일위대가목록!G85,0)</f>
        <v>0</v>
      </c>
      <c r="J163" s="335">
        <f t="shared" si="18"/>
        <v>0</v>
      </c>
      <c r="K163" s="335">
        <f t="shared" si="19"/>
        <v>434213</v>
      </c>
      <c r="L163" s="333" t="s">
        <v>1359</v>
      </c>
      <c r="M163" s="329" t="s">
        <v>1360</v>
      </c>
      <c r="N163" s="329" t="s">
        <v>378</v>
      </c>
      <c r="O163" s="329" t="s">
        <v>378</v>
      </c>
      <c r="P163" s="329" t="s">
        <v>1321</v>
      </c>
      <c r="Q163" s="329" t="s">
        <v>1104</v>
      </c>
      <c r="R163" s="329" t="s">
        <v>1105</v>
      </c>
      <c r="S163" s="329" t="s">
        <v>1105</v>
      </c>
      <c r="AQ163" s="329" t="s">
        <v>378</v>
      </c>
      <c r="AR163" s="329" t="s">
        <v>378</v>
      </c>
      <c r="AT163" s="329" t="s">
        <v>1361</v>
      </c>
      <c r="AU163" s="330">
        <v>5908</v>
      </c>
    </row>
    <row r="164" spans="1:47" ht="30" customHeight="1">
      <c r="A164" s="333" t="s">
        <v>495</v>
      </c>
      <c r="B164" s="333" t="s">
        <v>496</v>
      </c>
      <c r="C164" s="333" t="s">
        <v>265</v>
      </c>
      <c r="D164" s="334">
        <v>4</v>
      </c>
      <c r="E164" s="335">
        <f>TRUNC(신규_일위대가목록!E86,0)</f>
        <v>1755</v>
      </c>
      <c r="F164" s="335">
        <f t="shared" si="16"/>
        <v>7020</v>
      </c>
      <c r="G164" s="335">
        <f>TRUNC(신규_일위대가목록!F86,0)</f>
        <v>58514</v>
      </c>
      <c r="H164" s="335">
        <f t="shared" si="17"/>
        <v>234056</v>
      </c>
      <c r="I164" s="335">
        <f>TRUNC(신규_일위대가목록!G86,0)</f>
        <v>0</v>
      </c>
      <c r="J164" s="335">
        <f t="shared" si="18"/>
        <v>0</v>
      </c>
      <c r="K164" s="335">
        <f t="shared" si="19"/>
        <v>241076</v>
      </c>
      <c r="L164" s="333" t="s">
        <v>1362</v>
      </c>
      <c r="M164" s="329" t="s">
        <v>1363</v>
      </c>
      <c r="N164" s="329" t="s">
        <v>378</v>
      </c>
      <c r="O164" s="329" t="s">
        <v>378</v>
      </c>
      <c r="P164" s="329" t="s">
        <v>1321</v>
      </c>
      <c r="Q164" s="329" t="s">
        <v>1104</v>
      </c>
      <c r="R164" s="329" t="s">
        <v>1105</v>
      </c>
      <c r="S164" s="329" t="s">
        <v>1105</v>
      </c>
      <c r="AQ164" s="329" t="s">
        <v>378</v>
      </c>
      <c r="AR164" s="329" t="s">
        <v>378</v>
      </c>
      <c r="AT164" s="329" t="s">
        <v>1364</v>
      </c>
      <c r="AU164" s="330">
        <v>5909</v>
      </c>
    </row>
    <row r="165" spans="1:47" ht="30" customHeight="1">
      <c r="A165" s="333" t="s">
        <v>497</v>
      </c>
      <c r="B165" s="333" t="s">
        <v>498</v>
      </c>
      <c r="C165" s="333" t="s">
        <v>265</v>
      </c>
      <c r="D165" s="334">
        <v>37</v>
      </c>
      <c r="E165" s="335">
        <f>TRUNC(신규_일위대가목록!E87,0)</f>
        <v>1113</v>
      </c>
      <c r="F165" s="335">
        <f t="shared" si="16"/>
        <v>41181</v>
      </c>
      <c r="G165" s="335">
        <f>TRUNC(신규_일위대가목록!F87,0)</f>
        <v>37129</v>
      </c>
      <c r="H165" s="335">
        <f t="shared" si="17"/>
        <v>1373773</v>
      </c>
      <c r="I165" s="335">
        <f>TRUNC(신규_일위대가목록!G87,0)</f>
        <v>0</v>
      </c>
      <c r="J165" s="335">
        <f t="shared" si="18"/>
        <v>0</v>
      </c>
      <c r="K165" s="335">
        <f t="shared" si="19"/>
        <v>1414954</v>
      </c>
      <c r="L165" s="333" t="s">
        <v>1365</v>
      </c>
      <c r="M165" s="329" t="s">
        <v>1366</v>
      </c>
      <c r="N165" s="329" t="s">
        <v>378</v>
      </c>
      <c r="O165" s="329" t="s">
        <v>378</v>
      </c>
      <c r="P165" s="329" t="s">
        <v>1321</v>
      </c>
      <c r="Q165" s="329" t="s">
        <v>1104</v>
      </c>
      <c r="R165" s="329" t="s">
        <v>1105</v>
      </c>
      <c r="S165" s="329" t="s">
        <v>1105</v>
      </c>
      <c r="AQ165" s="329" t="s">
        <v>378</v>
      </c>
      <c r="AR165" s="329" t="s">
        <v>378</v>
      </c>
      <c r="AT165" s="329" t="s">
        <v>1367</v>
      </c>
      <c r="AU165" s="330">
        <v>5910</v>
      </c>
    </row>
    <row r="166" spans="1:47" s="340" customFormat="1" ht="30" customHeight="1">
      <c r="A166" s="336" t="s">
        <v>499</v>
      </c>
      <c r="B166" s="336" t="s">
        <v>500</v>
      </c>
      <c r="C166" s="336" t="s">
        <v>265</v>
      </c>
      <c r="D166" s="337">
        <v>3</v>
      </c>
      <c r="E166" s="338">
        <f>TRUNC(신규_일위대가목록!E88,0)</f>
        <v>1029</v>
      </c>
      <c r="F166" s="338">
        <f t="shared" si="16"/>
        <v>3087</v>
      </c>
      <c r="G166" s="338">
        <f>TRUNC(신규_일위대가목록!F88,0)</f>
        <v>51498</v>
      </c>
      <c r="H166" s="338">
        <f t="shared" si="17"/>
        <v>154494</v>
      </c>
      <c r="I166" s="338">
        <f>TRUNC(신규_일위대가목록!G88,0)</f>
        <v>0</v>
      </c>
      <c r="J166" s="338">
        <f t="shared" si="18"/>
        <v>0</v>
      </c>
      <c r="K166" s="338">
        <f t="shared" si="19"/>
        <v>157581</v>
      </c>
      <c r="L166" s="336" t="s">
        <v>1368</v>
      </c>
      <c r="M166" s="339" t="s">
        <v>1369</v>
      </c>
      <c r="N166" s="339" t="s">
        <v>378</v>
      </c>
      <c r="O166" s="339" t="s">
        <v>378</v>
      </c>
      <c r="P166" s="339" t="s">
        <v>1321</v>
      </c>
      <c r="Q166" s="339" t="s">
        <v>1104</v>
      </c>
      <c r="R166" s="339" t="s">
        <v>1105</v>
      </c>
      <c r="S166" s="339" t="s">
        <v>1105</v>
      </c>
      <c r="AQ166" s="339" t="s">
        <v>378</v>
      </c>
      <c r="AR166" s="339" t="s">
        <v>378</v>
      </c>
      <c r="AT166" s="339" t="s">
        <v>1370</v>
      </c>
      <c r="AU166" s="340">
        <v>5911</v>
      </c>
    </row>
    <row r="167" spans="1:47" ht="30" customHeight="1">
      <c r="A167" s="333" t="s">
        <v>501</v>
      </c>
      <c r="B167" s="333" t="s">
        <v>502</v>
      </c>
      <c r="C167" s="333" t="s">
        <v>265</v>
      </c>
      <c r="D167" s="334">
        <v>2</v>
      </c>
      <c r="E167" s="335">
        <f>TRUNC(신규_일위대가목록!E89,0)</f>
        <v>972</v>
      </c>
      <c r="F167" s="335">
        <f t="shared" si="16"/>
        <v>1944</v>
      </c>
      <c r="G167" s="335">
        <f>TRUNC(신규_일위대가목록!F89,0)</f>
        <v>32429</v>
      </c>
      <c r="H167" s="335">
        <f t="shared" si="17"/>
        <v>64858</v>
      </c>
      <c r="I167" s="335">
        <f>TRUNC(신규_일위대가목록!G89,0)</f>
        <v>0</v>
      </c>
      <c r="J167" s="335">
        <f t="shared" si="18"/>
        <v>0</v>
      </c>
      <c r="K167" s="335">
        <f t="shared" si="19"/>
        <v>66802</v>
      </c>
      <c r="L167" s="333" t="s">
        <v>1371</v>
      </c>
      <c r="M167" s="329" t="s">
        <v>1372</v>
      </c>
      <c r="N167" s="329" t="s">
        <v>378</v>
      </c>
      <c r="O167" s="329" t="s">
        <v>378</v>
      </c>
      <c r="P167" s="329" t="s">
        <v>1321</v>
      </c>
      <c r="Q167" s="329" t="s">
        <v>1104</v>
      </c>
      <c r="R167" s="329" t="s">
        <v>1105</v>
      </c>
      <c r="S167" s="329" t="s">
        <v>1105</v>
      </c>
      <c r="AQ167" s="329" t="s">
        <v>378</v>
      </c>
      <c r="AR167" s="329" t="s">
        <v>378</v>
      </c>
      <c r="AT167" s="329" t="s">
        <v>1373</v>
      </c>
      <c r="AU167" s="330">
        <v>5912</v>
      </c>
    </row>
    <row r="168" spans="1:47" ht="30" customHeight="1">
      <c r="A168" s="333" t="s">
        <v>503</v>
      </c>
      <c r="B168" s="333" t="s">
        <v>504</v>
      </c>
      <c r="C168" s="333" t="s">
        <v>265</v>
      </c>
      <c r="D168" s="334">
        <v>17</v>
      </c>
      <c r="E168" s="335">
        <f>TRUNC(신규_일위대가목록!E90,0)</f>
        <v>824</v>
      </c>
      <c r="F168" s="335">
        <f t="shared" si="16"/>
        <v>14008</v>
      </c>
      <c r="G168" s="335">
        <f>TRUNC(신규_일위대가목록!F90,0)</f>
        <v>27494</v>
      </c>
      <c r="H168" s="335">
        <f t="shared" si="17"/>
        <v>467398</v>
      </c>
      <c r="I168" s="335">
        <f>TRUNC(신규_일위대가목록!G90,0)</f>
        <v>0</v>
      </c>
      <c r="J168" s="335">
        <f t="shared" si="18"/>
        <v>0</v>
      </c>
      <c r="K168" s="335">
        <f t="shared" si="19"/>
        <v>481406</v>
      </c>
      <c r="L168" s="333" t="s">
        <v>1374</v>
      </c>
      <c r="M168" s="329" t="s">
        <v>1375</v>
      </c>
      <c r="N168" s="329" t="s">
        <v>378</v>
      </c>
      <c r="O168" s="329" t="s">
        <v>378</v>
      </c>
      <c r="P168" s="329" t="s">
        <v>1321</v>
      </c>
      <c r="Q168" s="329" t="s">
        <v>1104</v>
      </c>
      <c r="R168" s="329" t="s">
        <v>1105</v>
      </c>
      <c r="S168" s="329" t="s">
        <v>1105</v>
      </c>
      <c r="AQ168" s="329" t="s">
        <v>378</v>
      </c>
      <c r="AR168" s="329" t="s">
        <v>378</v>
      </c>
      <c r="AT168" s="329" t="s">
        <v>1376</v>
      </c>
      <c r="AU168" s="330">
        <v>5913</v>
      </c>
    </row>
    <row r="169" spans="1:47" ht="30" customHeight="1">
      <c r="A169" s="333" t="s">
        <v>505</v>
      </c>
      <c r="B169" s="333" t="s">
        <v>506</v>
      </c>
      <c r="C169" s="333" t="s">
        <v>265</v>
      </c>
      <c r="D169" s="334">
        <v>14</v>
      </c>
      <c r="E169" s="335">
        <f>TRUNC(신규_일위대가목록!E91,0)</f>
        <v>1092</v>
      </c>
      <c r="F169" s="335">
        <f t="shared" si="16"/>
        <v>15288</v>
      </c>
      <c r="G169" s="335">
        <f>TRUNC(신규_일위대가목록!F91,0)</f>
        <v>36424</v>
      </c>
      <c r="H169" s="335">
        <f t="shared" si="17"/>
        <v>509936</v>
      </c>
      <c r="I169" s="335">
        <f>TRUNC(신규_일위대가목록!G91,0)</f>
        <v>0</v>
      </c>
      <c r="J169" s="335">
        <f t="shared" si="18"/>
        <v>0</v>
      </c>
      <c r="K169" s="335">
        <f t="shared" si="19"/>
        <v>525224</v>
      </c>
      <c r="L169" s="333" t="s">
        <v>1377</v>
      </c>
      <c r="M169" s="329" t="s">
        <v>1378</v>
      </c>
      <c r="N169" s="329" t="s">
        <v>378</v>
      </c>
      <c r="O169" s="329" t="s">
        <v>378</v>
      </c>
      <c r="P169" s="329" t="s">
        <v>1321</v>
      </c>
      <c r="Q169" s="329" t="s">
        <v>1104</v>
      </c>
      <c r="R169" s="329" t="s">
        <v>1105</v>
      </c>
      <c r="S169" s="329" t="s">
        <v>1105</v>
      </c>
      <c r="AQ169" s="329" t="s">
        <v>378</v>
      </c>
      <c r="AR169" s="329" t="s">
        <v>378</v>
      </c>
      <c r="AT169" s="329" t="s">
        <v>1379</v>
      </c>
      <c r="AU169" s="330">
        <v>5914</v>
      </c>
    </row>
    <row r="170" spans="1:47" ht="30" customHeight="1">
      <c r="A170" s="333" t="s">
        <v>507</v>
      </c>
      <c r="B170" s="333" t="s">
        <v>508</v>
      </c>
      <c r="C170" s="333" t="s">
        <v>265</v>
      </c>
      <c r="D170" s="334">
        <v>26</v>
      </c>
      <c r="E170" s="335">
        <f>TRUNC(신규_일위대가목록!E92,0)</f>
        <v>824</v>
      </c>
      <c r="F170" s="335">
        <f t="shared" si="16"/>
        <v>21424</v>
      </c>
      <c r="G170" s="335">
        <f>TRUNC(신규_일위대가목록!F92,0)</f>
        <v>27494</v>
      </c>
      <c r="H170" s="335">
        <f t="shared" si="17"/>
        <v>714844</v>
      </c>
      <c r="I170" s="335">
        <f>TRUNC(신규_일위대가목록!G92,0)</f>
        <v>0</v>
      </c>
      <c r="J170" s="335">
        <f t="shared" si="18"/>
        <v>0</v>
      </c>
      <c r="K170" s="335">
        <f t="shared" si="19"/>
        <v>736268</v>
      </c>
      <c r="L170" s="333" t="s">
        <v>1380</v>
      </c>
      <c r="M170" s="329" t="s">
        <v>1381</v>
      </c>
      <c r="N170" s="329" t="s">
        <v>378</v>
      </c>
      <c r="O170" s="329" t="s">
        <v>378</v>
      </c>
      <c r="P170" s="329" t="s">
        <v>1321</v>
      </c>
      <c r="Q170" s="329" t="s">
        <v>1104</v>
      </c>
      <c r="R170" s="329" t="s">
        <v>1105</v>
      </c>
      <c r="S170" s="329" t="s">
        <v>1105</v>
      </c>
      <c r="AQ170" s="329" t="s">
        <v>378</v>
      </c>
      <c r="AR170" s="329" t="s">
        <v>378</v>
      </c>
      <c r="AT170" s="329" t="s">
        <v>1382</v>
      </c>
      <c r="AU170" s="330">
        <v>5915</v>
      </c>
    </row>
    <row r="171" spans="1:47" ht="30" customHeight="1">
      <c r="A171" s="333" t="s">
        <v>509</v>
      </c>
      <c r="B171" s="333" t="s">
        <v>510</v>
      </c>
      <c r="C171" s="333" t="s">
        <v>265</v>
      </c>
      <c r="D171" s="334">
        <v>4</v>
      </c>
      <c r="E171" s="335">
        <f>TRUNC(신규_일위대가목록!E93,0)</f>
        <v>824</v>
      </c>
      <c r="F171" s="335">
        <f t="shared" si="16"/>
        <v>3296</v>
      </c>
      <c r="G171" s="335">
        <f>TRUNC(신규_일위대가목록!F93,0)</f>
        <v>27494</v>
      </c>
      <c r="H171" s="335">
        <f t="shared" si="17"/>
        <v>109976</v>
      </c>
      <c r="I171" s="335">
        <f>TRUNC(신규_일위대가목록!G93,0)</f>
        <v>0</v>
      </c>
      <c r="J171" s="335">
        <f t="shared" si="18"/>
        <v>0</v>
      </c>
      <c r="K171" s="335">
        <f t="shared" si="19"/>
        <v>113272</v>
      </c>
      <c r="L171" s="333" t="s">
        <v>1383</v>
      </c>
      <c r="M171" s="329" t="s">
        <v>1384</v>
      </c>
      <c r="N171" s="329" t="s">
        <v>378</v>
      </c>
      <c r="O171" s="329" t="s">
        <v>378</v>
      </c>
      <c r="P171" s="329" t="s">
        <v>1321</v>
      </c>
      <c r="Q171" s="329" t="s">
        <v>1104</v>
      </c>
      <c r="R171" s="329" t="s">
        <v>1105</v>
      </c>
      <c r="S171" s="329" t="s">
        <v>1105</v>
      </c>
      <c r="AQ171" s="329" t="s">
        <v>378</v>
      </c>
      <c r="AR171" s="329" t="s">
        <v>378</v>
      </c>
      <c r="AT171" s="329" t="s">
        <v>1385</v>
      </c>
      <c r="AU171" s="330">
        <v>5916</v>
      </c>
    </row>
    <row r="172" spans="1:47" ht="30" customHeight="1">
      <c r="A172" s="334"/>
      <c r="B172" s="334"/>
      <c r="C172" s="334"/>
      <c r="D172" s="334"/>
      <c r="E172" s="334"/>
      <c r="F172" s="334"/>
      <c r="G172" s="334"/>
      <c r="H172" s="334"/>
      <c r="I172" s="334"/>
      <c r="J172" s="334"/>
      <c r="K172" s="334"/>
      <c r="L172" s="334"/>
    </row>
    <row r="173" spans="1:47" ht="30" customHeight="1">
      <c r="A173" s="334"/>
      <c r="B173" s="334"/>
      <c r="C173" s="334"/>
      <c r="D173" s="334"/>
      <c r="E173" s="334"/>
      <c r="F173" s="334"/>
      <c r="G173" s="334"/>
      <c r="H173" s="334"/>
      <c r="I173" s="334"/>
      <c r="J173" s="334"/>
      <c r="K173" s="334"/>
      <c r="L173" s="334"/>
    </row>
    <row r="174" spans="1:47" ht="30" customHeight="1">
      <c r="A174" s="334"/>
      <c r="B174" s="334"/>
      <c r="C174" s="334"/>
      <c r="D174" s="334"/>
      <c r="E174" s="334"/>
      <c r="F174" s="334"/>
      <c r="G174" s="334"/>
      <c r="H174" s="334"/>
      <c r="I174" s="334"/>
      <c r="J174" s="334"/>
      <c r="K174" s="334"/>
      <c r="L174" s="334"/>
    </row>
    <row r="175" spans="1:47" ht="30" customHeight="1">
      <c r="A175" s="334"/>
      <c r="B175" s="334"/>
      <c r="C175" s="334"/>
      <c r="D175" s="334"/>
      <c r="E175" s="334"/>
      <c r="F175" s="334"/>
      <c r="G175" s="334"/>
      <c r="H175" s="334"/>
      <c r="I175" s="334"/>
      <c r="J175" s="334"/>
      <c r="K175" s="334"/>
      <c r="L175" s="334"/>
    </row>
    <row r="176" spans="1:47" ht="30" customHeight="1">
      <c r="A176" s="334"/>
      <c r="B176" s="334"/>
      <c r="C176" s="334"/>
      <c r="D176" s="334"/>
      <c r="E176" s="334"/>
      <c r="F176" s="334"/>
      <c r="G176" s="334"/>
      <c r="H176" s="334"/>
      <c r="I176" s="334"/>
      <c r="J176" s="334"/>
      <c r="K176" s="334"/>
      <c r="L176" s="334"/>
    </row>
    <row r="177" spans="1:12" ht="30" customHeight="1">
      <c r="A177" s="334"/>
      <c r="B177" s="334"/>
      <c r="C177" s="334"/>
      <c r="D177" s="334"/>
      <c r="E177" s="334"/>
      <c r="F177" s="334"/>
      <c r="G177" s="334"/>
      <c r="H177" s="334"/>
      <c r="I177" s="334"/>
      <c r="J177" s="334"/>
      <c r="K177" s="334"/>
      <c r="L177" s="334"/>
    </row>
    <row r="178" spans="1:12" ht="30" customHeight="1">
      <c r="A178" s="334"/>
      <c r="B178" s="334"/>
      <c r="C178" s="334"/>
      <c r="D178" s="334"/>
      <c r="E178" s="334"/>
      <c r="F178" s="334"/>
      <c r="G178" s="334"/>
      <c r="H178" s="334"/>
      <c r="I178" s="334"/>
      <c r="J178" s="334"/>
      <c r="K178" s="334"/>
      <c r="L178" s="334"/>
    </row>
    <row r="179" spans="1:12" ht="30" customHeight="1">
      <c r="A179" s="334"/>
      <c r="B179" s="334"/>
      <c r="C179" s="334"/>
      <c r="D179" s="334"/>
      <c r="E179" s="334"/>
      <c r="F179" s="334"/>
      <c r="G179" s="334"/>
      <c r="H179" s="334"/>
      <c r="I179" s="334"/>
      <c r="J179" s="334"/>
      <c r="K179" s="334"/>
      <c r="L179" s="334"/>
    </row>
    <row r="180" spans="1:12" ht="30" customHeight="1">
      <c r="A180" s="334"/>
      <c r="B180" s="334"/>
      <c r="C180" s="334"/>
      <c r="D180" s="334"/>
      <c r="E180" s="334"/>
      <c r="F180" s="334"/>
      <c r="G180" s="334"/>
      <c r="H180" s="334"/>
      <c r="I180" s="334"/>
      <c r="J180" s="334"/>
      <c r="K180" s="334"/>
      <c r="L180" s="334"/>
    </row>
    <row r="181" spans="1:12" ht="30" customHeight="1">
      <c r="A181" s="334"/>
      <c r="B181" s="334"/>
      <c r="C181" s="334"/>
      <c r="D181" s="334"/>
      <c r="E181" s="334"/>
      <c r="F181" s="334"/>
      <c r="G181" s="334"/>
      <c r="H181" s="334"/>
      <c r="I181" s="334"/>
      <c r="J181" s="334"/>
      <c r="K181" s="334"/>
      <c r="L181" s="334"/>
    </row>
    <row r="182" spans="1:12" ht="30" customHeight="1">
      <c r="A182" s="334"/>
      <c r="B182" s="334"/>
      <c r="C182" s="334"/>
      <c r="D182" s="334"/>
      <c r="E182" s="334"/>
      <c r="F182" s="334"/>
      <c r="G182" s="334"/>
      <c r="H182" s="334"/>
      <c r="I182" s="334"/>
      <c r="J182" s="334"/>
      <c r="K182" s="334"/>
      <c r="L182" s="334"/>
    </row>
    <row r="183" spans="1:12" ht="30" customHeight="1">
      <c r="A183" s="334"/>
      <c r="B183" s="334"/>
      <c r="C183" s="334"/>
      <c r="D183" s="334"/>
      <c r="E183" s="334"/>
      <c r="F183" s="334"/>
      <c r="G183" s="334"/>
      <c r="H183" s="334"/>
      <c r="I183" s="334"/>
      <c r="J183" s="334"/>
      <c r="K183" s="334"/>
      <c r="L183" s="334"/>
    </row>
    <row r="184" spans="1:12" ht="30" customHeight="1">
      <c r="A184" s="334"/>
      <c r="B184" s="334"/>
      <c r="C184" s="334"/>
      <c r="D184" s="334"/>
      <c r="E184" s="334"/>
      <c r="F184" s="334"/>
      <c r="G184" s="334"/>
      <c r="H184" s="334"/>
      <c r="I184" s="334"/>
      <c r="J184" s="334"/>
      <c r="K184" s="334"/>
      <c r="L184" s="334"/>
    </row>
    <row r="185" spans="1:12" ht="30" customHeight="1">
      <c r="A185" s="334"/>
      <c r="B185" s="334"/>
      <c r="C185" s="334"/>
      <c r="D185" s="334"/>
      <c r="E185" s="334"/>
      <c r="F185" s="334"/>
      <c r="G185" s="334"/>
      <c r="H185" s="334"/>
      <c r="I185" s="334"/>
      <c r="J185" s="334"/>
      <c r="K185" s="334"/>
      <c r="L185" s="334"/>
    </row>
    <row r="186" spans="1:12" ht="30" customHeight="1">
      <c r="A186" s="334"/>
      <c r="B186" s="334"/>
      <c r="C186" s="334"/>
      <c r="D186" s="334"/>
      <c r="E186" s="334"/>
      <c r="F186" s="334"/>
      <c r="G186" s="334"/>
      <c r="H186" s="334"/>
      <c r="I186" s="334"/>
      <c r="J186" s="334"/>
      <c r="K186" s="334"/>
      <c r="L186" s="334"/>
    </row>
    <row r="187" spans="1:12" ht="30" customHeight="1">
      <c r="A187" s="334"/>
      <c r="B187" s="334"/>
      <c r="C187" s="334"/>
      <c r="D187" s="334"/>
      <c r="E187" s="334"/>
      <c r="F187" s="334"/>
      <c r="G187" s="334"/>
      <c r="H187" s="334"/>
      <c r="I187" s="334"/>
      <c r="J187" s="334"/>
      <c r="K187" s="334"/>
      <c r="L187" s="334"/>
    </row>
    <row r="188" spans="1:12" ht="30" customHeight="1">
      <c r="A188" s="334"/>
      <c r="B188" s="334"/>
      <c r="C188" s="334"/>
      <c r="D188" s="334"/>
      <c r="E188" s="334"/>
      <c r="F188" s="334"/>
      <c r="G188" s="334"/>
      <c r="H188" s="334"/>
      <c r="I188" s="334"/>
      <c r="J188" s="334"/>
      <c r="K188" s="334"/>
      <c r="L188" s="334"/>
    </row>
    <row r="189" spans="1:12" ht="30" customHeight="1">
      <c r="A189" s="334"/>
      <c r="B189" s="334"/>
      <c r="C189" s="334"/>
      <c r="D189" s="334"/>
      <c r="E189" s="334"/>
      <c r="F189" s="334"/>
      <c r="G189" s="334"/>
      <c r="H189" s="334"/>
      <c r="I189" s="334"/>
      <c r="J189" s="334"/>
      <c r="K189" s="334"/>
      <c r="L189" s="334"/>
    </row>
    <row r="190" spans="1:12" ht="30" customHeight="1">
      <c r="A190" s="334"/>
      <c r="B190" s="334"/>
      <c r="C190" s="334"/>
      <c r="D190" s="334"/>
      <c r="E190" s="334"/>
      <c r="F190" s="334"/>
      <c r="G190" s="334"/>
      <c r="H190" s="334"/>
      <c r="I190" s="334"/>
      <c r="J190" s="334"/>
      <c r="K190" s="334"/>
      <c r="L190" s="334"/>
    </row>
    <row r="191" spans="1:12" ht="30" customHeight="1">
      <c r="A191" s="334"/>
      <c r="B191" s="334"/>
      <c r="C191" s="334"/>
      <c r="D191" s="334"/>
      <c r="E191" s="334"/>
      <c r="F191" s="334"/>
      <c r="G191" s="334"/>
      <c r="H191" s="334"/>
      <c r="I191" s="334"/>
      <c r="J191" s="334"/>
      <c r="K191" s="334"/>
      <c r="L191" s="334"/>
    </row>
    <row r="192" spans="1:12" ht="30" customHeight="1">
      <c r="A192" s="334"/>
      <c r="B192" s="334"/>
      <c r="C192" s="334"/>
      <c r="D192" s="334"/>
      <c r="E192" s="334"/>
      <c r="F192" s="334"/>
      <c r="G192" s="334"/>
      <c r="H192" s="334"/>
      <c r="I192" s="334"/>
      <c r="J192" s="334"/>
      <c r="K192" s="334"/>
      <c r="L192" s="334"/>
    </row>
    <row r="193" spans="1:47" ht="30" customHeight="1">
      <c r="A193" s="334"/>
      <c r="B193" s="334"/>
      <c r="C193" s="334"/>
      <c r="D193" s="334"/>
      <c r="E193" s="334"/>
      <c r="F193" s="334"/>
      <c r="G193" s="334"/>
      <c r="H193" s="334"/>
      <c r="I193" s="334"/>
      <c r="J193" s="334"/>
      <c r="K193" s="334"/>
      <c r="L193" s="334"/>
    </row>
    <row r="194" spans="1:47" ht="30" customHeight="1">
      <c r="A194" s="334"/>
      <c r="B194" s="334"/>
      <c r="C194" s="334"/>
      <c r="D194" s="334"/>
      <c r="E194" s="334"/>
      <c r="F194" s="334"/>
      <c r="G194" s="334"/>
      <c r="H194" s="334"/>
      <c r="I194" s="334"/>
      <c r="J194" s="334"/>
      <c r="K194" s="334"/>
      <c r="L194" s="334"/>
    </row>
    <row r="195" spans="1:47" ht="30" customHeight="1">
      <c r="A195" s="333" t="s">
        <v>1196</v>
      </c>
      <c r="B195" s="334"/>
      <c r="C195" s="334"/>
      <c r="D195" s="334"/>
      <c r="E195" s="334"/>
      <c r="F195" s="335">
        <f>SUM(F149:F194)</f>
        <v>1914993</v>
      </c>
      <c r="G195" s="334"/>
      <c r="H195" s="335">
        <f>SUM(H149:H194)</f>
        <v>19272366</v>
      </c>
      <c r="I195" s="334"/>
      <c r="J195" s="335">
        <f>SUM(J149:J194)</f>
        <v>0</v>
      </c>
      <c r="K195" s="335">
        <f>SUM(K149:K194)</f>
        <v>21187359</v>
      </c>
      <c r="L195" s="334"/>
      <c r="M195" s="330" t="s">
        <v>1197</v>
      </c>
    </row>
    <row r="196" spans="1:47" ht="30" customHeight="1">
      <c r="A196" s="333" t="s">
        <v>1386</v>
      </c>
      <c r="B196" s="333" t="s">
        <v>378</v>
      </c>
      <c r="C196" s="334"/>
      <c r="D196" s="334"/>
      <c r="E196" s="334"/>
      <c r="F196" s="334"/>
      <c r="G196" s="334"/>
      <c r="H196" s="334"/>
      <c r="I196" s="334"/>
      <c r="J196" s="334"/>
      <c r="K196" s="334"/>
      <c r="L196" s="334"/>
      <c r="P196" s="329" t="s">
        <v>1387</v>
      </c>
    </row>
    <row r="197" spans="1:47" ht="30" customHeight="1">
      <c r="A197" s="333" t="s">
        <v>477</v>
      </c>
      <c r="B197" s="333" t="s">
        <v>478</v>
      </c>
      <c r="C197" s="333" t="s">
        <v>255</v>
      </c>
      <c r="D197" s="334">
        <v>635.5</v>
      </c>
      <c r="E197" s="335">
        <f>TRUNC(신규_일위대가목록!E68,0)</f>
        <v>516</v>
      </c>
      <c r="F197" s="335">
        <f t="shared" ref="F197:F213" si="20">TRUNC(E197*D197, 0)</f>
        <v>327918</v>
      </c>
      <c r="G197" s="335">
        <f>TRUNC(신규_일위대가목록!F68,0)</f>
        <v>9399</v>
      </c>
      <c r="H197" s="335">
        <f t="shared" ref="H197:H213" si="21">TRUNC(G197*D197, 0)</f>
        <v>5973064</v>
      </c>
      <c r="I197" s="335">
        <f>TRUNC(신규_일위대가목록!G68,0)</f>
        <v>0</v>
      </c>
      <c r="J197" s="335">
        <f t="shared" ref="J197:J213" si="22">TRUNC(I197*D197, 0)</f>
        <v>0</v>
      </c>
      <c r="K197" s="335">
        <f t="shared" ref="K197:K213" si="23">TRUNC(F197+H197+J197, 0)</f>
        <v>6300982</v>
      </c>
      <c r="L197" s="333" t="s">
        <v>1298</v>
      </c>
      <c r="M197" s="329" t="s">
        <v>1299</v>
      </c>
      <c r="N197" s="329" t="s">
        <v>378</v>
      </c>
      <c r="O197" s="329" t="s">
        <v>378</v>
      </c>
      <c r="P197" s="329" t="s">
        <v>1387</v>
      </c>
      <c r="Q197" s="329" t="s">
        <v>1104</v>
      </c>
      <c r="R197" s="329" t="s">
        <v>1105</v>
      </c>
      <c r="S197" s="329" t="s">
        <v>1105</v>
      </c>
      <c r="AQ197" s="329" t="s">
        <v>378</v>
      </c>
      <c r="AR197" s="329" t="s">
        <v>378</v>
      </c>
      <c r="AT197" s="329" t="s">
        <v>1388</v>
      </c>
      <c r="AU197" s="330">
        <v>5747</v>
      </c>
    </row>
    <row r="198" spans="1:47" ht="30" customHeight="1">
      <c r="A198" s="336" t="s">
        <v>446</v>
      </c>
      <c r="B198" s="336" t="s">
        <v>479</v>
      </c>
      <c r="C198" s="336" t="s">
        <v>255</v>
      </c>
      <c r="D198" s="337">
        <v>32.799999999999997</v>
      </c>
      <c r="E198" s="338">
        <f>TRUNC(신규_일위대가목록!E75,0)</f>
        <v>649</v>
      </c>
      <c r="F198" s="338">
        <f t="shared" si="20"/>
        <v>21287</v>
      </c>
      <c r="G198" s="338">
        <f>TRUNC(신규_일위대가목록!F75,0)</f>
        <v>11392</v>
      </c>
      <c r="H198" s="338">
        <f t="shared" si="21"/>
        <v>373657</v>
      </c>
      <c r="I198" s="338">
        <f>TRUNC(신규_일위대가목록!G75,0)</f>
        <v>0</v>
      </c>
      <c r="J198" s="338">
        <f t="shared" si="22"/>
        <v>0</v>
      </c>
      <c r="K198" s="338">
        <f t="shared" si="23"/>
        <v>394944</v>
      </c>
      <c r="L198" s="336" t="s">
        <v>1323</v>
      </c>
      <c r="M198" s="329" t="s">
        <v>1324</v>
      </c>
      <c r="N198" s="329" t="s">
        <v>378</v>
      </c>
      <c r="O198" s="329" t="s">
        <v>378</v>
      </c>
      <c r="P198" s="329" t="s">
        <v>1387</v>
      </c>
      <c r="Q198" s="329" t="s">
        <v>1104</v>
      </c>
      <c r="R198" s="329" t="s">
        <v>1105</v>
      </c>
      <c r="S198" s="329" t="s">
        <v>1105</v>
      </c>
      <c r="AQ198" s="329" t="s">
        <v>378</v>
      </c>
      <c r="AR198" s="329" t="s">
        <v>378</v>
      </c>
      <c r="AT198" s="329" t="s">
        <v>1389</v>
      </c>
      <c r="AU198" s="330">
        <v>5748</v>
      </c>
    </row>
    <row r="199" spans="1:47" ht="30" customHeight="1">
      <c r="A199" s="333" t="s">
        <v>446</v>
      </c>
      <c r="B199" s="333" t="s">
        <v>527</v>
      </c>
      <c r="C199" s="333" t="s">
        <v>255</v>
      </c>
      <c r="D199" s="334">
        <v>2.8</v>
      </c>
      <c r="E199" s="335">
        <f>TRUNC(신규_일위대가목록!E94,0)</f>
        <v>13537</v>
      </c>
      <c r="F199" s="335">
        <f t="shared" si="20"/>
        <v>37903</v>
      </c>
      <c r="G199" s="335">
        <f>TRUNC(신규_일위대가목록!F94,0)</f>
        <v>38304</v>
      </c>
      <c r="H199" s="335">
        <f t="shared" si="21"/>
        <v>107251</v>
      </c>
      <c r="I199" s="335">
        <f>TRUNC(신규_일위대가목록!G94,0)</f>
        <v>0</v>
      </c>
      <c r="J199" s="335">
        <f t="shared" si="22"/>
        <v>0</v>
      </c>
      <c r="K199" s="335">
        <f t="shared" si="23"/>
        <v>145154</v>
      </c>
      <c r="L199" s="333" t="s">
        <v>1390</v>
      </c>
      <c r="M199" s="329" t="s">
        <v>1391</v>
      </c>
      <c r="N199" s="329" t="s">
        <v>378</v>
      </c>
      <c r="O199" s="329" t="s">
        <v>378</v>
      </c>
      <c r="P199" s="329" t="s">
        <v>1387</v>
      </c>
      <c r="Q199" s="329" t="s">
        <v>1104</v>
      </c>
      <c r="R199" s="329" t="s">
        <v>1105</v>
      </c>
      <c r="S199" s="329" t="s">
        <v>1105</v>
      </c>
      <c r="AQ199" s="329" t="s">
        <v>378</v>
      </c>
      <c r="AR199" s="329" t="s">
        <v>378</v>
      </c>
      <c r="AT199" s="329" t="s">
        <v>1392</v>
      </c>
      <c r="AU199" s="330">
        <v>5927</v>
      </c>
    </row>
    <row r="200" spans="1:47" s="340" customFormat="1" ht="30" customHeight="1">
      <c r="A200" s="336" t="s">
        <v>446</v>
      </c>
      <c r="B200" s="336" t="s">
        <v>528</v>
      </c>
      <c r="C200" s="336" t="s">
        <v>255</v>
      </c>
      <c r="D200" s="337">
        <v>21.5</v>
      </c>
      <c r="E200" s="338">
        <f>TRUNC(신규_일위대가목록!E95,0)</f>
        <v>1879</v>
      </c>
      <c r="F200" s="338">
        <f t="shared" si="20"/>
        <v>40398</v>
      </c>
      <c r="G200" s="338">
        <f>TRUNC(신규_일위대가목록!F95,0)</f>
        <v>22525</v>
      </c>
      <c r="H200" s="338">
        <f t="shared" si="21"/>
        <v>484287</v>
      </c>
      <c r="I200" s="338">
        <f>TRUNC(신규_일위대가목록!G95,0)</f>
        <v>0</v>
      </c>
      <c r="J200" s="338">
        <f t="shared" si="22"/>
        <v>0</v>
      </c>
      <c r="K200" s="338">
        <f t="shared" si="23"/>
        <v>524685</v>
      </c>
      <c r="L200" s="336" t="s">
        <v>1393</v>
      </c>
      <c r="M200" s="339" t="s">
        <v>1394</v>
      </c>
      <c r="N200" s="339" t="s">
        <v>378</v>
      </c>
      <c r="O200" s="339" t="s">
        <v>378</v>
      </c>
      <c r="P200" s="339" t="s">
        <v>1387</v>
      </c>
      <c r="Q200" s="339" t="s">
        <v>1104</v>
      </c>
      <c r="R200" s="339" t="s">
        <v>1105</v>
      </c>
      <c r="S200" s="339" t="s">
        <v>1105</v>
      </c>
      <c r="AQ200" s="339" t="s">
        <v>378</v>
      </c>
      <c r="AR200" s="339" t="s">
        <v>378</v>
      </c>
      <c r="AT200" s="339" t="s">
        <v>1395</v>
      </c>
      <c r="AU200" s="340">
        <v>5928</v>
      </c>
    </row>
    <row r="201" spans="1:47" ht="30" customHeight="1">
      <c r="A201" s="333" t="s">
        <v>446</v>
      </c>
      <c r="B201" s="333" t="s">
        <v>480</v>
      </c>
      <c r="C201" s="333" t="s">
        <v>265</v>
      </c>
      <c r="D201" s="334">
        <v>20</v>
      </c>
      <c r="E201" s="335">
        <f>TRUNC(신규_단가대비표!O140,0)</f>
        <v>973</v>
      </c>
      <c r="F201" s="335">
        <f t="shared" si="20"/>
        <v>19460</v>
      </c>
      <c r="G201" s="335">
        <f>TRUNC(신규_단가대비표!P140,0)</f>
        <v>0</v>
      </c>
      <c r="H201" s="335">
        <f t="shared" si="21"/>
        <v>0</v>
      </c>
      <c r="I201" s="335">
        <f>TRUNC(신규_단가대비표!V140,0)</f>
        <v>0</v>
      </c>
      <c r="J201" s="335">
        <f t="shared" si="22"/>
        <v>0</v>
      </c>
      <c r="K201" s="335">
        <f t="shared" si="23"/>
        <v>19460</v>
      </c>
      <c r="L201" s="333" t="s">
        <v>378</v>
      </c>
      <c r="M201" s="329" t="s">
        <v>1326</v>
      </c>
      <c r="N201" s="329" t="s">
        <v>378</v>
      </c>
      <c r="O201" s="329" t="s">
        <v>378</v>
      </c>
      <c r="P201" s="329" t="s">
        <v>1387</v>
      </c>
      <c r="Q201" s="329" t="s">
        <v>1105</v>
      </c>
      <c r="R201" s="329" t="s">
        <v>1105</v>
      </c>
      <c r="S201" s="329" t="s">
        <v>1104</v>
      </c>
      <c r="AQ201" s="329" t="s">
        <v>378</v>
      </c>
      <c r="AR201" s="329" t="s">
        <v>378</v>
      </c>
      <c r="AT201" s="329" t="s">
        <v>1396</v>
      </c>
      <c r="AU201" s="330">
        <v>5750</v>
      </c>
    </row>
    <row r="202" spans="1:47" s="340" customFormat="1" ht="30" customHeight="1">
      <c r="A202" s="336" t="s">
        <v>446</v>
      </c>
      <c r="B202" s="336" t="s">
        <v>529</v>
      </c>
      <c r="C202" s="336" t="s">
        <v>265</v>
      </c>
      <c r="D202" s="337">
        <v>2</v>
      </c>
      <c r="E202" s="338">
        <f>TRUNC(신규_단가대비표!O141,0)</f>
        <v>1239</v>
      </c>
      <c r="F202" s="338">
        <f t="shared" si="20"/>
        <v>2478</v>
      </c>
      <c r="G202" s="338">
        <f>TRUNC(신규_단가대비표!P141,0)</f>
        <v>0</v>
      </c>
      <c r="H202" s="338">
        <f t="shared" si="21"/>
        <v>0</v>
      </c>
      <c r="I202" s="338">
        <f>TRUNC(신규_단가대비표!V141,0)</f>
        <v>0</v>
      </c>
      <c r="J202" s="338">
        <f t="shared" si="22"/>
        <v>0</v>
      </c>
      <c r="K202" s="338">
        <f t="shared" si="23"/>
        <v>2478</v>
      </c>
      <c r="L202" s="336" t="s">
        <v>378</v>
      </c>
      <c r="M202" s="339" t="s">
        <v>1397</v>
      </c>
      <c r="N202" s="339" t="s">
        <v>378</v>
      </c>
      <c r="O202" s="339" t="s">
        <v>378</v>
      </c>
      <c r="P202" s="339" t="s">
        <v>1387</v>
      </c>
      <c r="Q202" s="339" t="s">
        <v>1105</v>
      </c>
      <c r="R202" s="339" t="s">
        <v>1105</v>
      </c>
      <c r="S202" s="339" t="s">
        <v>1104</v>
      </c>
      <c r="AQ202" s="339" t="s">
        <v>378</v>
      </c>
      <c r="AR202" s="339" t="s">
        <v>378</v>
      </c>
      <c r="AT202" s="339" t="s">
        <v>1398</v>
      </c>
      <c r="AU202" s="340">
        <v>5929</v>
      </c>
    </row>
    <row r="203" spans="1:47" ht="30" customHeight="1">
      <c r="A203" s="333" t="s">
        <v>446</v>
      </c>
      <c r="B203" s="333" t="s">
        <v>530</v>
      </c>
      <c r="C203" s="333" t="s">
        <v>265</v>
      </c>
      <c r="D203" s="334">
        <v>8</v>
      </c>
      <c r="E203" s="335">
        <f>TRUNC(신규_단가대비표!O142,0)</f>
        <v>7694</v>
      </c>
      <c r="F203" s="335">
        <f t="shared" si="20"/>
        <v>61552</v>
      </c>
      <c r="G203" s="335">
        <f>TRUNC(신규_단가대비표!P142,0)</f>
        <v>0</v>
      </c>
      <c r="H203" s="335">
        <f t="shared" si="21"/>
        <v>0</v>
      </c>
      <c r="I203" s="335">
        <f>TRUNC(신규_단가대비표!V142,0)</f>
        <v>0</v>
      </c>
      <c r="J203" s="335">
        <f t="shared" si="22"/>
        <v>0</v>
      </c>
      <c r="K203" s="335">
        <f t="shared" si="23"/>
        <v>61552</v>
      </c>
      <c r="L203" s="333" t="s">
        <v>378</v>
      </c>
      <c r="M203" s="329" t="s">
        <v>1399</v>
      </c>
      <c r="N203" s="329" t="s">
        <v>378</v>
      </c>
      <c r="O203" s="329" t="s">
        <v>378</v>
      </c>
      <c r="P203" s="329" t="s">
        <v>1387</v>
      </c>
      <c r="Q203" s="329" t="s">
        <v>1105</v>
      </c>
      <c r="R203" s="329" t="s">
        <v>1105</v>
      </c>
      <c r="S203" s="329" t="s">
        <v>1104</v>
      </c>
      <c r="AQ203" s="329" t="s">
        <v>378</v>
      </c>
      <c r="AR203" s="329" t="s">
        <v>378</v>
      </c>
      <c r="AT203" s="329" t="s">
        <v>1400</v>
      </c>
      <c r="AU203" s="330">
        <v>5930</v>
      </c>
    </row>
    <row r="204" spans="1:47" s="340" customFormat="1" ht="30" customHeight="1">
      <c r="A204" s="336" t="s">
        <v>448</v>
      </c>
      <c r="B204" s="336" t="s">
        <v>481</v>
      </c>
      <c r="C204" s="336" t="s">
        <v>265</v>
      </c>
      <c r="D204" s="337">
        <v>22</v>
      </c>
      <c r="E204" s="338">
        <f>TRUNC(신규_일위대가목록!E76,0)</f>
        <v>1365</v>
      </c>
      <c r="F204" s="338">
        <f t="shared" si="20"/>
        <v>30030</v>
      </c>
      <c r="G204" s="338">
        <f>TRUNC(신규_일위대가목록!F76,0)</f>
        <v>31070</v>
      </c>
      <c r="H204" s="338">
        <f t="shared" si="21"/>
        <v>683540</v>
      </c>
      <c r="I204" s="338">
        <f>TRUNC(신규_일위대가목록!G76,0)</f>
        <v>0</v>
      </c>
      <c r="J204" s="338">
        <f t="shared" si="22"/>
        <v>0</v>
      </c>
      <c r="K204" s="338">
        <f t="shared" si="23"/>
        <v>713570</v>
      </c>
      <c r="L204" s="336" t="s">
        <v>1328</v>
      </c>
      <c r="M204" s="339" t="s">
        <v>1329</v>
      </c>
      <c r="N204" s="339" t="s">
        <v>378</v>
      </c>
      <c r="O204" s="339" t="s">
        <v>378</v>
      </c>
      <c r="P204" s="339" t="s">
        <v>1387</v>
      </c>
      <c r="Q204" s="339" t="s">
        <v>1104</v>
      </c>
      <c r="R204" s="339" t="s">
        <v>1105</v>
      </c>
      <c r="S204" s="339" t="s">
        <v>1105</v>
      </c>
      <c r="AQ204" s="339" t="s">
        <v>378</v>
      </c>
      <c r="AR204" s="339" t="s">
        <v>378</v>
      </c>
      <c r="AT204" s="339" t="s">
        <v>1401</v>
      </c>
      <c r="AU204" s="340">
        <v>5752</v>
      </c>
    </row>
    <row r="205" spans="1:47" s="340" customFormat="1" ht="30" customHeight="1">
      <c r="A205" s="336" t="s">
        <v>482</v>
      </c>
      <c r="B205" s="336" t="s">
        <v>452</v>
      </c>
      <c r="C205" s="336" t="s">
        <v>265</v>
      </c>
      <c r="D205" s="337">
        <v>27</v>
      </c>
      <c r="E205" s="338">
        <f>TRUNC(신규_일위대가목록!E78,0)</f>
        <v>1905</v>
      </c>
      <c r="F205" s="338">
        <f t="shared" si="20"/>
        <v>51435</v>
      </c>
      <c r="G205" s="338">
        <f>TRUNC(신규_일위대가목록!F78,0)</f>
        <v>51783</v>
      </c>
      <c r="H205" s="338">
        <f t="shared" si="21"/>
        <v>1398141</v>
      </c>
      <c r="I205" s="338">
        <f>TRUNC(신규_일위대가목록!G78,0)</f>
        <v>0</v>
      </c>
      <c r="J205" s="338">
        <f t="shared" si="22"/>
        <v>0</v>
      </c>
      <c r="K205" s="338">
        <f t="shared" si="23"/>
        <v>1449576</v>
      </c>
      <c r="L205" s="336" t="s">
        <v>1334</v>
      </c>
      <c r="M205" s="339" t="s">
        <v>1335</v>
      </c>
      <c r="N205" s="339" t="s">
        <v>378</v>
      </c>
      <c r="O205" s="339" t="s">
        <v>378</v>
      </c>
      <c r="P205" s="339" t="s">
        <v>1387</v>
      </c>
      <c r="Q205" s="339" t="s">
        <v>1104</v>
      </c>
      <c r="R205" s="339" t="s">
        <v>1105</v>
      </c>
      <c r="S205" s="339" t="s">
        <v>1105</v>
      </c>
      <c r="AQ205" s="339" t="s">
        <v>378</v>
      </c>
      <c r="AR205" s="339" t="s">
        <v>378</v>
      </c>
      <c r="AT205" s="339" t="s">
        <v>1402</v>
      </c>
      <c r="AU205" s="340">
        <v>5931</v>
      </c>
    </row>
    <row r="206" spans="1:47" ht="30" customHeight="1">
      <c r="A206" s="333" t="s">
        <v>483</v>
      </c>
      <c r="B206" s="333" t="s">
        <v>531</v>
      </c>
      <c r="C206" s="333" t="s">
        <v>300</v>
      </c>
      <c r="D206" s="334">
        <v>719.4</v>
      </c>
      <c r="E206" s="335">
        <f>TRUNC(신규_일위대가목록!E96,0)</f>
        <v>751</v>
      </c>
      <c r="F206" s="335">
        <f t="shared" si="20"/>
        <v>540269</v>
      </c>
      <c r="G206" s="335">
        <f>TRUNC(신규_일위대가목록!F96,0)</f>
        <v>2349</v>
      </c>
      <c r="H206" s="335">
        <f t="shared" si="21"/>
        <v>1689870</v>
      </c>
      <c r="I206" s="335">
        <f>TRUNC(신규_일위대가목록!G96,0)</f>
        <v>0</v>
      </c>
      <c r="J206" s="335">
        <f t="shared" si="22"/>
        <v>0</v>
      </c>
      <c r="K206" s="335">
        <f t="shared" si="23"/>
        <v>2230139</v>
      </c>
      <c r="L206" s="333" t="s">
        <v>1403</v>
      </c>
      <c r="M206" s="329" t="s">
        <v>1404</v>
      </c>
      <c r="N206" s="329" t="s">
        <v>378</v>
      </c>
      <c r="O206" s="329" t="s">
        <v>378</v>
      </c>
      <c r="P206" s="329" t="s">
        <v>1387</v>
      </c>
      <c r="Q206" s="329" t="s">
        <v>1104</v>
      </c>
      <c r="R206" s="329" t="s">
        <v>1105</v>
      </c>
      <c r="S206" s="329" t="s">
        <v>1105</v>
      </c>
      <c r="AQ206" s="329" t="s">
        <v>378</v>
      </c>
      <c r="AR206" s="329" t="s">
        <v>378</v>
      </c>
      <c r="AT206" s="329" t="s">
        <v>1405</v>
      </c>
      <c r="AU206" s="330">
        <v>5755</v>
      </c>
    </row>
    <row r="207" spans="1:47" ht="30" customHeight="1">
      <c r="A207" s="333" t="s">
        <v>298</v>
      </c>
      <c r="B207" s="333" t="s">
        <v>299</v>
      </c>
      <c r="C207" s="333" t="s">
        <v>300</v>
      </c>
      <c r="D207" s="334">
        <v>3.3</v>
      </c>
      <c r="E207" s="335">
        <f>TRUNC(신규_일위대가목록!E38,0)</f>
        <v>964</v>
      </c>
      <c r="F207" s="335">
        <f t="shared" si="20"/>
        <v>3181</v>
      </c>
      <c r="G207" s="335">
        <f>TRUNC(신규_일위대가목록!F38,0)</f>
        <v>2114</v>
      </c>
      <c r="H207" s="335">
        <f t="shared" si="21"/>
        <v>6976</v>
      </c>
      <c r="I207" s="335">
        <f>TRUNC(신규_일위대가목록!G38,0)</f>
        <v>0</v>
      </c>
      <c r="J207" s="335">
        <f t="shared" si="22"/>
        <v>0</v>
      </c>
      <c r="K207" s="335">
        <f t="shared" si="23"/>
        <v>10157</v>
      </c>
      <c r="L207" s="333" t="s">
        <v>1202</v>
      </c>
      <c r="M207" s="329" t="s">
        <v>1203</v>
      </c>
      <c r="N207" s="329" t="s">
        <v>378</v>
      </c>
      <c r="O207" s="329" t="s">
        <v>378</v>
      </c>
      <c r="P207" s="329" t="s">
        <v>1387</v>
      </c>
      <c r="Q207" s="329" t="s">
        <v>1104</v>
      </c>
      <c r="R207" s="329" t="s">
        <v>1105</v>
      </c>
      <c r="S207" s="329" t="s">
        <v>1105</v>
      </c>
      <c r="AQ207" s="329" t="s">
        <v>378</v>
      </c>
      <c r="AR207" s="329" t="s">
        <v>378</v>
      </c>
      <c r="AT207" s="329" t="s">
        <v>1406</v>
      </c>
      <c r="AU207" s="330">
        <v>5991</v>
      </c>
    </row>
    <row r="208" spans="1:47" s="340" customFormat="1" ht="30" customHeight="1">
      <c r="A208" s="336" t="s">
        <v>298</v>
      </c>
      <c r="B208" s="336" t="s">
        <v>362</v>
      </c>
      <c r="C208" s="336" t="s">
        <v>300</v>
      </c>
      <c r="D208" s="337">
        <v>23.5</v>
      </c>
      <c r="E208" s="338">
        <f>TRUNC(신규_일위대가목록!E97,0)</f>
        <v>1976</v>
      </c>
      <c r="F208" s="338">
        <f t="shared" si="20"/>
        <v>46436</v>
      </c>
      <c r="G208" s="338">
        <f>TRUNC(신규_일위대가목록!F97,0)</f>
        <v>1812</v>
      </c>
      <c r="H208" s="338">
        <f t="shared" si="21"/>
        <v>42582</v>
      </c>
      <c r="I208" s="338">
        <f>TRUNC(신규_일위대가목록!G97,0)</f>
        <v>0</v>
      </c>
      <c r="J208" s="338">
        <f t="shared" si="22"/>
        <v>0</v>
      </c>
      <c r="K208" s="338">
        <f t="shared" si="23"/>
        <v>89018</v>
      </c>
      <c r="L208" s="336" t="s">
        <v>1407</v>
      </c>
      <c r="M208" s="339" t="s">
        <v>1408</v>
      </c>
      <c r="N208" s="339" t="s">
        <v>378</v>
      </c>
      <c r="O208" s="339" t="s">
        <v>378</v>
      </c>
      <c r="P208" s="339" t="s">
        <v>1387</v>
      </c>
      <c r="Q208" s="339" t="s">
        <v>1104</v>
      </c>
      <c r="R208" s="339" t="s">
        <v>1105</v>
      </c>
      <c r="S208" s="339" t="s">
        <v>1105</v>
      </c>
      <c r="AQ208" s="339" t="s">
        <v>378</v>
      </c>
      <c r="AR208" s="339" t="s">
        <v>378</v>
      </c>
      <c r="AT208" s="339" t="s">
        <v>1409</v>
      </c>
      <c r="AU208" s="340">
        <v>5941</v>
      </c>
    </row>
    <row r="209" spans="1:47" ht="30" customHeight="1">
      <c r="A209" s="333" t="s">
        <v>302</v>
      </c>
      <c r="B209" s="333" t="s">
        <v>427</v>
      </c>
      <c r="C209" s="333" t="s">
        <v>300</v>
      </c>
      <c r="D209" s="334">
        <v>18.7</v>
      </c>
      <c r="E209" s="335">
        <f>TRUNC(신규_일위대가목록!E60,0)</f>
        <v>17184</v>
      </c>
      <c r="F209" s="335">
        <f t="shared" si="20"/>
        <v>321340</v>
      </c>
      <c r="G209" s="335">
        <f>TRUNC(신규_일위대가목록!F60,0)</f>
        <v>19920</v>
      </c>
      <c r="H209" s="335">
        <f t="shared" si="21"/>
        <v>372504</v>
      </c>
      <c r="I209" s="335">
        <f>TRUNC(신규_일위대가목록!G60,0)</f>
        <v>0</v>
      </c>
      <c r="J209" s="335">
        <f t="shared" si="22"/>
        <v>0</v>
      </c>
      <c r="K209" s="335">
        <f t="shared" si="23"/>
        <v>693844</v>
      </c>
      <c r="L209" s="333" t="s">
        <v>1269</v>
      </c>
      <c r="M209" s="329" t="s">
        <v>1270</v>
      </c>
      <c r="N209" s="329" t="s">
        <v>378</v>
      </c>
      <c r="O209" s="329" t="s">
        <v>378</v>
      </c>
      <c r="P209" s="329" t="s">
        <v>1387</v>
      </c>
      <c r="Q209" s="329" t="s">
        <v>1104</v>
      </c>
      <c r="R209" s="329" t="s">
        <v>1105</v>
      </c>
      <c r="S209" s="329" t="s">
        <v>1105</v>
      </c>
      <c r="AQ209" s="329" t="s">
        <v>378</v>
      </c>
      <c r="AR209" s="329" t="s">
        <v>378</v>
      </c>
      <c r="AT209" s="329" t="s">
        <v>1410</v>
      </c>
      <c r="AU209" s="330">
        <v>5992</v>
      </c>
    </row>
    <row r="210" spans="1:47" ht="30" customHeight="1">
      <c r="A210" s="333" t="s">
        <v>302</v>
      </c>
      <c r="B210" s="333" t="s">
        <v>516</v>
      </c>
      <c r="C210" s="333" t="s">
        <v>300</v>
      </c>
      <c r="D210" s="334">
        <v>3.3</v>
      </c>
      <c r="E210" s="335">
        <f>TRUNC(신규_일위대가목록!E71,0)</f>
        <v>3373</v>
      </c>
      <c r="F210" s="335">
        <f t="shared" si="20"/>
        <v>11130</v>
      </c>
      <c r="G210" s="335">
        <f>TRUNC(신규_일위대가목록!F71,0)</f>
        <v>7406</v>
      </c>
      <c r="H210" s="335">
        <f t="shared" si="21"/>
        <v>24439</v>
      </c>
      <c r="I210" s="335">
        <f>TRUNC(신규_일위대가목록!G71,0)</f>
        <v>0</v>
      </c>
      <c r="J210" s="335">
        <f t="shared" si="22"/>
        <v>0</v>
      </c>
      <c r="K210" s="335">
        <f t="shared" si="23"/>
        <v>35569</v>
      </c>
      <c r="L210" s="333" t="s">
        <v>1308</v>
      </c>
      <c r="M210" s="329" t="s">
        <v>1309</v>
      </c>
      <c r="N210" s="329" t="s">
        <v>378</v>
      </c>
      <c r="O210" s="329" t="s">
        <v>378</v>
      </c>
      <c r="P210" s="329" t="s">
        <v>1387</v>
      </c>
      <c r="Q210" s="329" t="s">
        <v>1104</v>
      </c>
      <c r="R210" s="329" t="s">
        <v>1105</v>
      </c>
      <c r="S210" s="329" t="s">
        <v>1105</v>
      </c>
      <c r="AQ210" s="329" t="s">
        <v>378</v>
      </c>
      <c r="AR210" s="329" t="s">
        <v>378</v>
      </c>
      <c r="AT210" s="329" t="s">
        <v>1411</v>
      </c>
      <c r="AU210" s="330">
        <v>5993</v>
      </c>
    </row>
    <row r="211" spans="1:47" ht="30" customHeight="1">
      <c r="A211" s="333" t="s">
        <v>302</v>
      </c>
      <c r="B211" s="333" t="s">
        <v>369</v>
      </c>
      <c r="C211" s="333" t="s">
        <v>300</v>
      </c>
      <c r="D211" s="334">
        <v>4.8</v>
      </c>
      <c r="E211" s="335">
        <f>TRUNC(신규_일위대가목록!E15,0)</f>
        <v>10984</v>
      </c>
      <c r="F211" s="335">
        <f t="shared" si="20"/>
        <v>52723</v>
      </c>
      <c r="G211" s="335">
        <f>TRUNC(신규_일위대가목록!F15,0)</f>
        <v>15272</v>
      </c>
      <c r="H211" s="335">
        <f t="shared" si="21"/>
        <v>73305</v>
      </c>
      <c r="I211" s="335">
        <f>TRUNC(신규_일위대가목록!G15,0)</f>
        <v>0</v>
      </c>
      <c r="J211" s="335">
        <f t="shared" si="22"/>
        <v>0</v>
      </c>
      <c r="K211" s="335">
        <f t="shared" si="23"/>
        <v>126028</v>
      </c>
      <c r="L211" s="333" t="s">
        <v>1135</v>
      </c>
      <c r="M211" s="329" t="s">
        <v>1136</v>
      </c>
      <c r="N211" s="329" t="s">
        <v>378</v>
      </c>
      <c r="O211" s="329" t="s">
        <v>378</v>
      </c>
      <c r="P211" s="329" t="s">
        <v>1387</v>
      </c>
      <c r="Q211" s="329" t="s">
        <v>1104</v>
      </c>
      <c r="R211" s="329" t="s">
        <v>1105</v>
      </c>
      <c r="S211" s="329" t="s">
        <v>1105</v>
      </c>
      <c r="AQ211" s="329" t="s">
        <v>378</v>
      </c>
      <c r="AR211" s="329" t="s">
        <v>378</v>
      </c>
      <c r="AT211" s="329" t="s">
        <v>1412</v>
      </c>
      <c r="AU211" s="330">
        <v>5937</v>
      </c>
    </row>
    <row r="212" spans="1:47" ht="30" customHeight="1">
      <c r="A212" s="333" t="s">
        <v>370</v>
      </c>
      <c r="B212" s="333" t="s">
        <v>371</v>
      </c>
      <c r="C212" s="333" t="s">
        <v>265</v>
      </c>
      <c r="D212" s="334">
        <v>8</v>
      </c>
      <c r="E212" s="335">
        <f>TRUNC(신규_일위대가목록!E17,0)</f>
        <v>824</v>
      </c>
      <c r="F212" s="335">
        <f t="shared" si="20"/>
        <v>6592</v>
      </c>
      <c r="G212" s="335">
        <f>TRUNC(신규_일위대가목록!F17,0)</f>
        <v>20687</v>
      </c>
      <c r="H212" s="335">
        <f t="shared" si="21"/>
        <v>165496</v>
      </c>
      <c r="I212" s="335">
        <f>TRUNC(신규_일위대가목록!G17,0)</f>
        <v>0</v>
      </c>
      <c r="J212" s="335">
        <f t="shared" si="22"/>
        <v>0</v>
      </c>
      <c r="K212" s="335">
        <f t="shared" si="23"/>
        <v>172088</v>
      </c>
      <c r="L212" s="333" t="s">
        <v>1140</v>
      </c>
      <c r="M212" s="329" t="s">
        <v>1141</v>
      </c>
      <c r="N212" s="329" t="s">
        <v>378</v>
      </c>
      <c r="O212" s="329" t="s">
        <v>378</v>
      </c>
      <c r="P212" s="329" t="s">
        <v>1387</v>
      </c>
      <c r="Q212" s="329" t="s">
        <v>1104</v>
      </c>
      <c r="R212" s="329" t="s">
        <v>1105</v>
      </c>
      <c r="S212" s="329" t="s">
        <v>1105</v>
      </c>
      <c r="AQ212" s="329" t="s">
        <v>378</v>
      </c>
      <c r="AR212" s="329" t="s">
        <v>378</v>
      </c>
      <c r="AT212" s="329" t="s">
        <v>1413</v>
      </c>
      <c r="AU212" s="330">
        <v>5938</v>
      </c>
    </row>
    <row r="213" spans="1:47" ht="30" customHeight="1">
      <c r="A213" s="333" t="s">
        <v>370</v>
      </c>
      <c r="B213" s="333" t="s">
        <v>372</v>
      </c>
      <c r="C213" s="333" t="s">
        <v>265</v>
      </c>
      <c r="D213" s="334">
        <v>12</v>
      </c>
      <c r="E213" s="335">
        <f>TRUNC(신규_일위대가목록!E18,0)</f>
        <v>760</v>
      </c>
      <c r="F213" s="335">
        <f t="shared" si="20"/>
        <v>9120</v>
      </c>
      <c r="G213" s="335">
        <f>TRUNC(신규_일위대가목록!F18,0)</f>
        <v>15323</v>
      </c>
      <c r="H213" s="335">
        <f t="shared" si="21"/>
        <v>183876</v>
      </c>
      <c r="I213" s="335">
        <f>TRUNC(신규_일위대가목록!G18,0)</f>
        <v>0</v>
      </c>
      <c r="J213" s="335">
        <f t="shared" si="22"/>
        <v>0</v>
      </c>
      <c r="K213" s="335">
        <f t="shared" si="23"/>
        <v>192996</v>
      </c>
      <c r="L213" s="333" t="s">
        <v>1143</v>
      </c>
      <c r="M213" s="329" t="s">
        <v>1144</v>
      </c>
      <c r="N213" s="329" t="s">
        <v>378</v>
      </c>
      <c r="O213" s="329" t="s">
        <v>378</v>
      </c>
      <c r="P213" s="329" t="s">
        <v>1387</v>
      </c>
      <c r="Q213" s="329" t="s">
        <v>1104</v>
      </c>
      <c r="R213" s="329" t="s">
        <v>1105</v>
      </c>
      <c r="S213" s="329" t="s">
        <v>1105</v>
      </c>
      <c r="AQ213" s="329" t="s">
        <v>378</v>
      </c>
      <c r="AR213" s="329" t="s">
        <v>378</v>
      </c>
      <c r="AT213" s="329" t="s">
        <v>1414</v>
      </c>
      <c r="AU213" s="330">
        <v>5939</v>
      </c>
    </row>
    <row r="214" spans="1:47" ht="30" customHeight="1">
      <c r="A214" s="334"/>
      <c r="B214" s="334"/>
      <c r="C214" s="334"/>
      <c r="D214" s="334"/>
      <c r="E214" s="334"/>
      <c r="F214" s="334"/>
      <c r="G214" s="334"/>
      <c r="H214" s="334"/>
      <c r="I214" s="334"/>
      <c r="J214" s="334"/>
      <c r="K214" s="334"/>
      <c r="L214" s="334"/>
    </row>
    <row r="215" spans="1:47" ht="30" customHeight="1">
      <c r="A215" s="334"/>
      <c r="B215" s="334"/>
      <c r="C215" s="334"/>
      <c r="D215" s="334"/>
      <c r="E215" s="334"/>
      <c r="F215" s="334"/>
      <c r="G215" s="334"/>
      <c r="H215" s="334"/>
      <c r="I215" s="334"/>
      <c r="J215" s="334"/>
      <c r="K215" s="334"/>
      <c r="L215" s="334"/>
    </row>
    <row r="216" spans="1:47" ht="30" customHeight="1">
      <c r="A216" s="334"/>
      <c r="B216" s="334"/>
      <c r="C216" s="334"/>
      <c r="D216" s="334"/>
      <c r="E216" s="334"/>
      <c r="F216" s="334"/>
      <c r="G216" s="334"/>
      <c r="H216" s="334"/>
      <c r="I216" s="334"/>
      <c r="J216" s="334"/>
      <c r="K216" s="334"/>
      <c r="L216" s="334"/>
    </row>
    <row r="217" spans="1:47" ht="30" customHeight="1">
      <c r="A217" s="334"/>
      <c r="B217" s="334"/>
      <c r="C217" s="334"/>
      <c r="D217" s="334"/>
      <c r="E217" s="334"/>
      <c r="F217" s="334"/>
      <c r="G217" s="334"/>
      <c r="H217" s="334"/>
      <c r="I217" s="334"/>
      <c r="J217" s="334"/>
      <c r="K217" s="334"/>
      <c r="L217" s="334"/>
    </row>
    <row r="218" spans="1:47" ht="30" customHeight="1">
      <c r="A218" s="334"/>
      <c r="B218" s="334"/>
      <c r="C218" s="334"/>
      <c r="D218" s="334"/>
      <c r="E218" s="334"/>
      <c r="F218" s="334"/>
      <c r="G218" s="334"/>
      <c r="H218" s="334"/>
      <c r="I218" s="334"/>
      <c r="J218" s="334"/>
      <c r="K218" s="334"/>
      <c r="L218" s="334"/>
    </row>
    <row r="219" spans="1:47" ht="30" customHeight="1">
      <c r="A219" s="333" t="s">
        <v>1196</v>
      </c>
      <c r="B219" s="334"/>
      <c r="C219" s="334"/>
      <c r="D219" s="334"/>
      <c r="E219" s="334"/>
      <c r="F219" s="335">
        <f>SUM(F197:F218)</f>
        <v>1583252</v>
      </c>
      <c r="G219" s="334"/>
      <c r="H219" s="335">
        <f>SUM(H197:H218)</f>
        <v>11578988</v>
      </c>
      <c r="I219" s="334"/>
      <c r="J219" s="335">
        <f>SUM(J197:J218)</f>
        <v>0</v>
      </c>
      <c r="K219" s="335">
        <f>SUM(K197:K218)</f>
        <v>13162240</v>
      </c>
      <c r="L219" s="334"/>
      <c r="M219" s="330" t="s">
        <v>1197</v>
      </c>
    </row>
    <row r="220" spans="1:47" ht="30" customHeight="1">
      <c r="A220" s="333" t="s">
        <v>1415</v>
      </c>
      <c r="B220" s="333" t="s">
        <v>378</v>
      </c>
      <c r="C220" s="334"/>
      <c r="D220" s="334"/>
      <c r="E220" s="334"/>
      <c r="F220" s="334"/>
      <c r="G220" s="334"/>
      <c r="H220" s="334"/>
      <c r="I220" s="334"/>
      <c r="J220" s="334"/>
      <c r="K220" s="334"/>
      <c r="L220" s="334"/>
      <c r="P220" s="329" t="s">
        <v>1416</v>
      </c>
    </row>
    <row r="221" spans="1:47" ht="30" customHeight="1">
      <c r="A221" s="333" t="s">
        <v>1417</v>
      </c>
      <c r="B221" s="333" t="s">
        <v>553</v>
      </c>
      <c r="C221" s="333" t="s">
        <v>321</v>
      </c>
      <c r="D221" s="334">
        <v>1</v>
      </c>
      <c r="E221" s="335">
        <f>신규_단가대비표!O61</f>
        <v>1697490.6139100001</v>
      </c>
      <c r="F221" s="335">
        <f>TRUNC(E221*D221, 0)</f>
        <v>1697490</v>
      </c>
      <c r="G221" s="335">
        <f>TRUNC(신규_단가대비표!P61,0)</f>
        <v>0</v>
      </c>
      <c r="H221" s="335">
        <f>TRUNC(G221*D221, 0)</f>
        <v>0</v>
      </c>
      <c r="I221" s="335">
        <f>TRUNC(신규_단가대비표!V61,0)</f>
        <v>0</v>
      </c>
      <c r="J221" s="335">
        <f>TRUNC(I221*D221, 0)</f>
        <v>0</v>
      </c>
      <c r="K221" s="335">
        <f t="shared" ref="K221:K228" si="24">TRUNC(F221+H221+J221, 0)</f>
        <v>1697490</v>
      </c>
      <c r="L221" s="333"/>
      <c r="P221" s="329"/>
    </row>
    <row r="222" spans="1:47" ht="30" customHeight="1">
      <c r="A222" s="333" t="s">
        <v>1418</v>
      </c>
      <c r="B222" s="333" t="s">
        <v>553</v>
      </c>
      <c r="C222" s="333" t="s">
        <v>321</v>
      </c>
      <c r="D222" s="334">
        <v>1</v>
      </c>
      <c r="E222" s="335">
        <f>TRUNC(신규_단가대비표!O62,0)</f>
        <v>9205408</v>
      </c>
      <c r="F222" s="335">
        <f t="shared" ref="F222:F228" si="25">TRUNC(E222*D222, 0)</f>
        <v>9205408</v>
      </c>
      <c r="G222" s="335">
        <f>TRUNC(신규_단가대비표!P62,0)</f>
        <v>0</v>
      </c>
      <c r="H222" s="335">
        <f t="shared" ref="H222:H228" si="26">TRUNC(G222*D222, 0)</f>
        <v>0</v>
      </c>
      <c r="I222" s="335">
        <f>TRUNC(신규_단가대비표!V62,0)</f>
        <v>0</v>
      </c>
      <c r="J222" s="335">
        <f t="shared" ref="J222:J228" si="27">TRUNC(I222*D222, 0)</f>
        <v>0</v>
      </c>
      <c r="K222" s="335">
        <f t="shared" si="24"/>
        <v>9205408</v>
      </c>
      <c r="L222" s="333"/>
      <c r="M222" s="329" t="s">
        <v>1419</v>
      </c>
      <c r="N222" s="329" t="s">
        <v>378</v>
      </c>
      <c r="O222" s="329" t="s">
        <v>378</v>
      </c>
      <c r="P222" s="329" t="s">
        <v>378</v>
      </c>
      <c r="Q222" s="329" t="s">
        <v>1105</v>
      </c>
      <c r="R222" s="329" t="s">
        <v>1105</v>
      </c>
      <c r="S222" s="329" t="s">
        <v>1104</v>
      </c>
      <c r="AQ222" s="329" t="s">
        <v>1420</v>
      </c>
      <c r="AR222" s="329" t="s">
        <v>378</v>
      </c>
      <c r="AT222" s="329" t="s">
        <v>1421</v>
      </c>
      <c r="AU222" s="330">
        <v>5579</v>
      </c>
    </row>
    <row r="223" spans="1:47" ht="30" customHeight="1">
      <c r="A223" s="333" t="s">
        <v>556</v>
      </c>
      <c r="B223" s="333" t="s">
        <v>320</v>
      </c>
      <c r="C223" s="333" t="s">
        <v>321</v>
      </c>
      <c r="D223" s="334">
        <v>1</v>
      </c>
      <c r="E223" s="335">
        <f>TRUNC(신규_단가대비표!O76,0)</f>
        <v>3047380</v>
      </c>
      <c r="F223" s="335">
        <f t="shared" si="25"/>
        <v>3047380</v>
      </c>
      <c r="G223" s="335">
        <f>TRUNC(신규_단가대비표!P76,0)</f>
        <v>0</v>
      </c>
      <c r="H223" s="335">
        <f t="shared" si="26"/>
        <v>0</v>
      </c>
      <c r="I223" s="335">
        <f>TRUNC(신규_단가대비표!V76,0)</f>
        <v>0</v>
      </c>
      <c r="J223" s="335">
        <f t="shared" si="27"/>
        <v>0</v>
      </c>
      <c r="K223" s="335">
        <f t="shared" si="24"/>
        <v>3047380</v>
      </c>
      <c r="L223" s="333"/>
      <c r="M223" s="329" t="s">
        <v>1422</v>
      </c>
      <c r="N223" s="329" t="s">
        <v>378</v>
      </c>
      <c r="O223" s="329" t="s">
        <v>378</v>
      </c>
      <c r="P223" s="329" t="s">
        <v>378</v>
      </c>
      <c r="Q223" s="329" t="s">
        <v>1105</v>
      </c>
      <c r="R223" s="329" t="s">
        <v>1105</v>
      </c>
      <c r="S223" s="329" t="s">
        <v>1104</v>
      </c>
      <c r="AQ223" s="329" t="s">
        <v>1420</v>
      </c>
      <c r="AR223" s="329" t="s">
        <v>378</v>
      </c>
      <c r="AT223" s="329" t="s">
        <v>1423</v>
      </c>
      <c r="AU223" s="330">
        <v>5995</v>
      </c>
    </row>
    <row r="224" spans="1:47" ht="30" customHeight="1">
      <c r="A224" s="333" t="s">
        <v>557</v>
      </c>
      <c r="B224" s="333" t="s">
        <v>558</v>
      </c>
      <c r="C224" s="333" t="s">
        <v>321</v>
      </c>
      <c r="D224" s="334">
        <v>1</v>
      </c>
      <c r="E224" s="335">
        <f>TRUNC(신규_단가대비표!O64,0)</f>
        <v>274749</v>
      </c>
      <c r="F224" s="335">
        <f t="shared" si="25"/>
        <v>274749</v>
      </c>
      <c r="G224" s="335">
        <f>TRUNC(신규_단가대비표!P64,0)</f>
        <v>0</v>
      </c>
      <c r="H224" s="335">
        <f t="shared" si="26"/>
        <v>0</v>
      </c>
      <c r="I224" s="335">
        <f>TRUNC(신규_단가대비표!V64,0)</f>
        <v>0</v>
      </c>
      <c r="J224" s="335">
        <f t="shared" si="27"/>
        <v>0</v>
      </c>
      <c r="K224" s="335">
        <f t="shared" si="24"/>
        <v>274749</v>
      </c>
      <c r="L224" s="333"/>
      <c r="M224" s="329" t="s">
        <v>1424</v>
      </c>
      <c r="N224" s="329" t="s">
        <v>378</v>
      </c>
      <c r="O224" s="329" t="s">
        <v>378</v>
      </c>
      <c r="P224" s="329" t="s">
        <v>378</v>
      </c>
      <c r="Q224" s="329" t="s">
        <v>1105</v>
      </c>
      <c r="R224" s="329" t="s">
        <v>1105</v>
      </c>
      <c r="S224" s="329" t="s">
        <v>1104</v>
      </c>
      <c r="AQ224" s="329" t="s">
        <v>1420</v>
      </c>
      <c r="AR224" s="329" t="s">
        <v>378</v>
      </c>
      <c r="AT224" s="329" t="s">
        <v>1425</v>
      </c>
      <c r="AU224" s="330">
        <v>5923</v>
      </c>
    </row>
    <row r="225" spans="1:47" ht="30" customHeight="1">
      <c r="A225" s="333" t="s">
        <v>559</v>
      </c>
      <c r="B225" s="333" t="s">
        <v>558</v>
      </c>
      <c r="C225" s="333" t="s">
        <v>321</v>
      </c>
      <c r="D225" s="334">
        <v>1</v>
      </c>
      <c r="E225" s="335">
        <f>TRUNC(신규_단가대비표!O63,0)</f>
        <v>2648620</v>
      </c>
      <c r="F225" s="335">
        <f t="shared" si="25"/>
        <v>2648620</v>
      </c>
      <c r="G225" s="335">
        <f>TRUNC(신규_단가대비표!P63,0)</f>
        <v>0</v>
      </c>
      <c r="H225" s="335">
        <f t="shared" si="26"/>
        <v>0</v>
      </c>
      <c r="I225" s="335">
        <f>TRUNC(신규_단가대비표!V63,0)</f>
        <v>0</v>
      </c>
      <c r="J225" s="335">
        <f t="shared" si="27"/>
        <v>0</v>
      </c>
      <c r="K225" s="335">
        <f t="shared" si="24"/>
        <v>2648620</v>
      </c>
      <c r="L225" s="333"/>
      <c r="M225" s="329" t="s">
        <v>1426</v>
      </c>
      <c r="N225" s="329" t="s">
        <v>378</v>
      </c>
      <c r="O225" s="329" t="s">
        <v>378</v>
      </c>
      <c r="P225" s="329" t="s">
        <v>378</v>
      </c>
      <c r="Q225" s="329" t="s">
        <v>1105</v>
      </c>
      <c r="R225" s="329" t="s">
        <v>1105</v>
      </c>
      <c r="S225" s="329" t="s">
        <v>1104</v>
      </c>
      <c r="AQ225" s="329" t="s">
        <v>1420</v>
      </c>
      <c r="AR225" s="329" t="s">
        <v>378</v>
      </c>
      <c r="AT225" s="329" t="s">
        <v>1427</v>
      </c>
      <c r="AU225" s="330">
        <v>5580</v>
      </c>
    </row>
    <row r="226" spans="1:47" ht="30" customHeight="1">
      <c r="A226" s="333" t="s">
        <v>560</v>
      </c>
      <c r="B226" s="333" t="s">
        <v>558</v>
      </c>
      <c r="C226" s="333" t="s">
        <v>321</v>
      </c>
      <c r="D226" s="334">
        <v>1</v>
      </c>
      <c r="E226" s="335">
        <f>TRUNC(신규_단가대비표!O65,0)</f>
        <v>2352035</v>
      </c>
      <c r="F226" s="335">
        <f t="shared" si="25"/>
        <v>2352035</v>
      </c>
      <c r="G226" s="335">
        <f>TRUNC(신규_단가대비표!P65,0)</f>
        <v>0</v>
      </c>
      <c r="H226" s="335">
        <f t="shared" si="26"/>
        <v>0</v>
      </c>
      <c r="I226" s="335">
        <f>TRUNC(신규_단가대비표!V65,0)</f>
        <v>0</v>
      </c>
      <c r="J226" s="335">
        <f t="shared" si="27"/>
        <v>0</v>
      </c>
      <c r="K226" s="335">
        <f t="shared" si="24"/>
        <v>2352035</v>
      </c>
      <c r="L226" s="333"/>
      <c r="M226" s="329" t="s">
        <v>1428</v>
      </c>
      <c r="N226" s="329" t="s">
        <v>378</v>
      </c>
      <c r="O226" s="329" t="s">
        <v>378</v>
      </c>
      <c r="P226" s="329" t="s">
        <v>378</v>
      </c>
      <c r="Q226" s="329" t="s">
        <v>1105</v>
      </c>
      <c r="R226" s="329" t="s">
        <v>1105</v>
      </c>
      <c r="S226" s="329" t="s">
        <v>1104</v>
      </c>
      <c r="AQ226" s="329" t="s">
        <v>1420</v>
      </c>
      <c r="AR226" s="329" t="s">
        <v>378</v>
      </c>
      <c r="AT226" s="329" t="s">
        <v>1429</v>
      </c>
      <c r="AU226" s="330">
        <v>5924</v>
      </c>
    </row>
    <row r="227" spans="1:47" ht="30" customHeight="1">
      <c r="A227" s="333" t="s">
        <v>561</v>
      </c>
      <c r="B227" s="341" t="s">
        <v>558</v>
      </c>
      <c r="C227" s="333" t="s">
        <v>321</v>
      </c>
      <c r="D227" s="334">
        <v>1</v>
      </c>
      <c r="E227" s="335">
        <f>TRUNC(신규_단가대비표!O66,0)</f>
        <v>1175383</v>
      </c>
      <c r="F227" s="335">
        <f t="shared" si="25"/>
        <v>1175383</v>
      </c>
      <c r="G227" s="335">
        <f>TRUNC(신규_단가대비표!P66,0)</f>
        <v>0</v>
      </c>
      <c r="H227" s="335">
        <f t="shared" si="26"/>
        <v>0</v>
      </c>
      <c r="I227" s="335">
        <f>TRUNC(신규_단가대비표!V66,0)</f>
        <v>0</v>
      </c>
      <c r="J227" s="335">
        <f t="shared" si="27"/>
        <v>0</v>
      </c>
      <c r="K227" s="335">
        <f t="shared" si="24"/>
        <v>1175383</v>
      </c>
      <c r="L227" s="333"/>
      <c r="M227" s="329" t="s">
        <v>1430</v>
      </c>
      <c r="N227" s="329" t="s">
        <v>378</v>
      </c>
      <c r="O227" s="329" t="s">
        <v>378</v>
      </c>
      <c r="P227" s="329" t="s">
        <v>378</v>
      </c>
      <c r="Q227" s="329" t="s">
        <v>1105</v>
      </c>
      <c r="R227" s="329" t="s">
        <v>1105</v>
      </c>
      <c r="S227" s="329" t="s">
        <v>1104</v>
      </c>
      <c r="AQ227" s="329" t="s">
        <v>1420</v>
      </c>
      <c r="AR227" s="329" t="s">
        <v>378</v>
      </c>
      <c r="AT227" s="329" t="s">
        <v>1431</v>
      </c>
      <c r="AU227" s="330">
        <v>5925</v>
      </c>
    </row>
    <row r="228" spans="1:47" ht="30" customHeight="1">
      <c r="A228" s="333" t="s">
        <v>562</v>
      </c>
      <c r="B228" s="333" t="s">
        <v>563</v>
      </c>
      <c r="C228" s="333" t="s">
        <v>321</v>
      </c>
      <c r="D228" s="334">
        <v>1</v>
      </c>
      <c r="E228" s="335">
        <f>TRUNC(신규_단가대비표!O67,0)</f>
        <v>3237100</v>
      </c>
      <c r="F228" s="335">
        <f t="shared" si="25"/>
        <v>3237100</v>
      </c>
      <c r="G228" s="335">
        <f>TRUNC(신규_단가대비표!P67,0)</f>
        <v>0</v>
      </c>
      <c r="H228" s="335">
        <f t="shared" si="26"/>
        <v>0</v>
      </c>
      <c r="I228" s="335">
        <f>TRUNC(신규_단가대비표!V67,0)</f>
        <v>0</v>
      </c>
      <c r="J228" s="335">
        <f t="shared" si="27"/>
        <v>0</v>
      </c>
      <c r="K228" s="335">
        <f t="shared" si="24"/>
        <v>3237100</v>
      </c>
      <c r="L228" s="333"/>
      <c r="M228" s="329" t="s">
        <v>1432</v>
      </c>
      <c r="N228" s="329" t="s">
        <v>378</v>
      </c>
      <c r="O228" s="329" t="s">
        <v>378</v>
      </c>
      <c r="P228" s="329" t="s">
        <v>378</v>
      </c>
      <c r="Q228" s="329" t="s">
        <v>1105</v>
      </c>
      <c r="R228" s="329" t="s">
        <v>1105</v>
      </c>
      <c r="S228" s="329" t="s">
        <v>1104</v>
      </c>
      <c r="AQ228" s="329" t="s">
        <v>1420</v>
      </c>
      <c r="AR228" s="329" t="s">
        <v>378</v>
      </c>
      <c r="AT228" s="329" t="s">
        <v>1433</v>
      </c>
      <c r="AU228" s="330">
        <v>5926</v>
      </c>
    </row>
    <row r="229" spans="1:47" ht="30" customHeight="1">
      <c r="A229" s="334"/>
      <c r="B229" s="334"/>
      <c r="C229" s="334"/>
      <c r="D229" s="334"/>
      <c r="E229" s="334"/>
      <c r="F229" s="334"/>
      <c r="G229" s="334"/>
      <c r="H229" s="334"/>
      <c r="I229" s="334"/>
      <c r="J229" s="334"/>
      <c r="K229" s="334"/>
      <c r="L229" s="334"/>
    </row>
    <row r="230" spans="1:47" ht="30" customHeight="1">
      <c r="A230" s="334" t="s">
        <v>1434</v>
      </c>
      <c r="B230" s="334"/>
      <c r="C230" s="334" t="s">
        <v>1435</v>
      </c>
      <c r="D230" s="334">
        <v>1</v>
      </c>
      <c r="E230" s="334"/>
      <c r="F230" s="334"/>
      <c r="G230" s="334"/>
      <c r="H230" s="334"/>
      <c r="I230" s="334"/>
      <c r="J230" s="334"/>
      <c r="K230" s="342">
        <f>SUM(K221:K228)</f>
        <v>23638165</v>
      </c>
      <c r="L230" s="334"/>
    </row>
    <row r="231" spans="1:47" ht="30" customHeight="1">
      <c r="A231" s="334" t="s">
        <v>1436</v>
      </c>
      <c r="B231" s="334"/>
      <c r="C231" s="334" t="s">
        <v>1435</v>
      </c>
      <c r="D231" s="334">
        <v>1</v>
      </c>
      <c r="E231" s="334"/>
      <c r="F231" s="334"/>
      <c r="G231" s="334"/>
      <c r="H231" s="334"/>
      <c r="I231" s="334"/>
      <c r="J231" s="334"/>
      <c r="K231" s="342">
        <f>K230+176</f>
        <v>23638341</v>
      </c>
      <c r="L231" s="334" t="s">
        <v>1437</v>
      </c>
    </row>
    <row r="232" spans="1:47" ht="30" customHeight="1">
      <c r="A232" s="334"/>
      <c r="B232" s="334"/>
      <c r="C232" s="334"/>
      <c r="D232" s="334"/>
      <c r="E232" s="334"/>
      <c r="F232" s="334"/>
      <c r="G232" s="334"/>
      <c r="H232" s="334"/>
      <c r="I232" s="334"/>
      <c r="J232" s="334"/>
      <c r="K232" s="342"/>
      <c r="L232" s="334"/>
    </row>
    <row r="233" spans="1:47" ht="30" customHeight="1">
      <c r="A233" s="334"/>
      <c r="B233" s="334"/>
      <c r="C233" s="334"/>
      <c r="D233" s="334"/>
      <c r="E233" s="334"/>
      <c r="F233" s="334"/>
      <c r="G233" s="334"/>
      <c r="H233" s="334"/>
      <c r="I233" s="334"/>
      <c r="J233" s="334"/>
      <c r="K233" s="334"/>
      <c r="L233" s="334"/>
    </row>
    <row r="234" spans="1:47" ht="30" customHeight="1">
      <c r="A234" s="334"/>
      <c r="B234" s="334"/>
      <c r="C234" s="334"/>
      <c r="D234" s="334"/>
      <c r="E234" s="334"/>
      <c r="F234" s="334"/>
      <c r="G234" s="334"/>
      <c r="H234" s="334"/>
      <c r="I234" s="334"/>
      <c r="J234" s="334"/>
      <c r="K234" s="334"/>
      <c r="L234" s="334"/>
    </row>
    <row r="235" spans="1:47" ht="30" customHeight="1">
      <c r="A235" s="334"/>
      <c r="B235" s="334"/>
      <c r="C235" s="334"/>
      <c r="D235" s="334"/>
      <c r="E235" s="334"/>
      <c r="F235" s="334"/>
      <c r="G235" s="334"/>
      <c r="H235" s="334"/>
      <c r="I235" s="334"/>
      <c r="J235" s="334"/>
      <c r="K235" s="334"/>
      <c r="L235" s="334"/>
    </row>
    <row r="236" spans="1:47" ht="30" customHeight="1">
      <c r="A236" s="334"/>
      <c r="B236" s="334"/>
      <c r="C236" s="334"/>
      <c r="D236" s="334"/>
      <c r="E236" s="334"/>
      <c r="F236" s="334"/>
      <c r="G236" s="334"/>
      <c r="H236" s="334"/>
      <c r="I236" s="334"/>
      <c r="J236" s="334"/>
      <c r="K236" s="334"/>
      <c r="L236" s="334"/>
    </row>
    <row r="237" spans="1:47" ht="30" customHeight="1">
      <c r="A237" s="334"/>
      <c r="B237" s="334"/>
      <c r="C237" s="334"/>
      <c r="D237" s="334"/>
      <c r="E237" s="334"/>
      <c r="F237" s="334"/>
      <c r="G237" s="334"/>
      <c r="H237" s="334"/>
      <c r="I237" s="334"/>
      <c r="J237" s="334"/>
      <c r="K237" s="334"/>
      <c r="L237" s="334"/>
    </row>
    <row r="238" spans="1:47" ht="30" customHeight="1">
      <c r="A238" s="334"/>
      <c r="B238" s="334"/>
      <c r="C238" s="334"/>
      <c r="D238" s="334"/>
      <c r="E238" s="334"/>
      <c r="F238" s="334"/>
      <c r="G238" s="334"/>
      <c r="H238" s="334"/>
      <c r="I238" s="334"/>
      <c r="J238" s="334"/>
      <c r="K238" s="334"/>
      <c r="L238" s="334"/>
    </row>
    <row r="239" spans="1:47" ht="30" customHeight="1">
      <c r="A239" s="334"/>
      <c r="B239" s="334"/>
      <c r="C239" s="334"/>
      <c r="D239" s="334"/>
      <c r="E239" s="334"/>
      <c r="F239" s="334"/>
      <c r="G239" s="334"/>
      <c r="H239" s="334"/>
      <c r="I239" s="334"/>
      <c r="J239" s="334"/>
      <c r="K239" s="334"/>
      <c r="L239" s="334"/>
    </row>
    <row r="240" spans="1:47" ht="30" customHeight="1">
      <c r="A240" s="334"/>
      <c r="B240" s="334"/>
      <c r="C240" s="334"/>
      <c r="D240" s="334"/>
      <c r="E240" s="334"/>
      <c r="F240" s="334"/>
      <c r="G240" s="334"/>
      <c r="H240" s="334"/>
      <c r="I240" s="334"/>
      <c r="J240" s="334"/>
      <c r="K240" s="334"/>
      <c r="L240" s="334"/>
    </row>
    <row r="241" spans="1:47" ht="30" customHeight="1">
      <c r="A241" s="334"/>
      <c r="B241" s="334"/>
      <c r="C241" s="334"/>
      <c r="D241" s="334"/>
      <c r="E241" s="334"/>
      <c r="F241" s="334"/>
      <c r="G241" s="334"/>
      <c r="H241" s="334"/>
      <c r="I241" s="334"/>
      <c r="J241" s="334"/>
      <c r="K241" s="334"/>
      <c r="L241" s="334"/>
    </row>
    <row r="242" spans="1:47" ht="30" customHeight="1">
      <c r="A242" s="334"/>
      <c r="B242" s="334"/>
      <c r="C242" s="334"/>
      <c r="D242" s="334"/>
      <c r="E242" s="334"/>
      <c r="F242" s="334"/>
      <c r="G242" s="334"/>
      <c r="H242" s="334"/>
      <c r="I242" s="334"/>
      <c r="J242" s="334"/>
      <c r="K242" s="334"/>
      <c r="L242" s="334"/>
    </row>
    <row r="243" spans="1:47" ht="30" customHeight="1">
      <c r="A243" s="334"/>
      <c r="B243" s="334"/>
      <c r="C243" s="334"/>
      <c r="D243" s="334"/>
      <c r="E243" s="334"/>
      <c r="F243" s="334"/>
      <c r="G243" s="334"/>
      <c r="H243" s="334"/>
      <c r="I243" s="334"/>
      <c r="J243" s="334"/>
      <c r="K243" s="334"/>
      <c r="L243" s="334"/>
    </row>
    <row r="244" spans="1:47" ht="30" customHeight="1">
      <c r="A244" s="333" t="s">
        <v>1196</v>
      </c>
      <c r="B244" s="334"/>
      <c r="C244" s="334"/>
      <c r="D244" s="334"/>
      <c r="E244" s="334"/>
      <c r="F244" s="335">
        <f>SUM(F222:F243) -F222-F223-F224-F225-F226-F227-F228</f>
        <v>0</v>
      </c>
      <c r="G244" s="334"/>
      <c r="H244" s="335">
        <f>SUM(H222:H243) -H222-H223-H224-H225-H226-H227-H228</f>
        <v>0</v>
      </c>
      <c r="I244" s="334"/>
      <c r="J244" s="335">
        <f>SUM(J222:J243) -J222-J223-J224-J225-J226-J227-J228</f>
        <v>0</v>
      </c>
      <c r="K244" s="335">
        <f>K231</f>
        <v>23638341</v>
      </c>
      <c r="L244" s="334"/>
      <c r="M244" s="330" t="s">
        <v>1197</v>
      </c>
    </row>
    <row r="245" spans="1:47" ht="30" customHeight="1">
      <c r="A245" s="333" t="s">
        <v>1438</v>
      </c>
      <c r="B245" s="333" t="s">
        <v>378</v>
      </c>
      <c r="C245" s="334"/>
      <c r="D245" s="334"/>
      <c r="E245" s="334"/>
      <c r="F245" s="334"/>
      <c r="G245" s="334"/>
      <c r="H245" s="334"/>
      <c r="I245" s="334"/>
      <c r="J245" s="334"/>
      <c r="K245" s="334"/>
      <c r="L245" s="334"/>
      <c r="P245" s="329" t="s">
        <v>1439</v>
      </c>
    </row>
    <row r="246" spans="1:47" ht="30" customHeight="1">
      <c r="A246" s="333" t="s">
        <v>1440</v>
      </c>
      <c r="B246" s="333" t="s">
        <v>1441</v>
      </c>
      <c r="C246" s="333" t="s">
        <v>265</v>
      </c>
      <c r="D246" s="334">
        <v>13</v>
      </c>
      <c r="E246" s="335">
        <f>TRUNC(신규_단가대비표!O40,0)</f>
        <v>87657</v>
      </c>
      <c r="F246" s="335">
        <f t="shared" ref="F246:F261" si="28">TRUNC(E246*D246, 0)</f>
        <v>1139541</v>
      </c>
      <c r="G246" s="335">
        <f>TRUNC(신규_단가대비표!P40,0)</f>
        <v>0</v>
      </c>
      <c r="H246" s="335">
        <f t="shared" ref="H246:H261" si="29">TRUNC(G246*D246, 0)</f>
        <v>0</v>
      </c>
      <c r="I246" s="335">
        <f>TRUNC(신규_단가대비표!V40,0)</f>
        <v>0</v>
      </c>
      <c r="J246" s="335">
        <f t="shared" ref="J246:J261" si="30">TRUNC(I246*D246, 0)</f>
        <v>0</v>
      </c>
      <c r="K246" s="335">
        <f t="shared" ref="K246:K261" si="31">TRUNC(F246+H246+J246, 0)</f>
        <v>1139541</v>
      </c>
      <c r="L246" s="333"/>
      <c r="M246" s="329" t="s">
        <v>1442</v>
      </c>
      <c r="N246" s="329" t="s">
        <v>378</v>
      </c>
      <c r="O246" s="329" t="s">
        <v>378</v>
      </c>
      <c r="P246" s="329" t="s">
        <v>378</v>
      </c>
      <c r="Q246" s="329" t="s">
        <v>1105</v>
      </c>
      <c r="R246" s="329" t="s">
        <v>1105</v>
      </c>
      <c r="S246" s="329" t="s">
        <v>1104</v>
      </c>
      <c r="AQ246" s="329" t="s">
        <v>1420</v>
      </c>
      <c r="AR246" s="329" t="s">
        <v>378</v>
      </c>
      <c r="AT246" s="329" t="s">
        <v>1443</v>
      </c>
      <c r="AU246" s="330">
        <v>5581</v>
      </c>
    </row>
    <row r="247" spans="1:47" ht="30" customHeight="1">
      <c r="A247" s="333" t="s">
        <v>1444</v>
      </c>
      <c r="B247" s="333" t="s">
        <v>1445</v>
      </c>
      <c r="C247" s="333" t="s">
        <v>265</v>
      </c>
      <c r="D247" s="334">
        <v>4</v>
      </c>
      <c r="E247" s="335">
        <f>TRUNC(신규_단가대비표!O41,0)</f>
        <v>126616</v>
      </c>
      <c r="F247" s="335">
        <f t="shared" si="28"/>
        <v>506464</v>
      </c>
      <c r="G247" s="335">
        <f>TRUNC(신규_단가대비표!P41,0)</f>
        <v>0</v>
      </c>
      <c r="H247" s="335">
        <f t="shared" si="29"/>
        <v>0</v>
      </c>
      <c r="I247" s="335">
        <f>TRUNC(신규_단가대비표!V41,0)</f>
        <v>0</v>
      </c>
      <c r="J247" s="335">
        <f t="shared" si="30"/>
        <v>0</v>
      </c>
      <c r="K247" s="335">
        <f t="shared" si="31"/>
        <v>506464</v>
      </c>
      <c r="L247" s="333"/>
      <c r="M247" s="329" t="s">
        <v>1446</v>
      </c>
      <c r="N247" s="329" t="s">
        <v>378</v>
      </c>
      <c r="O247" s="329" t="s">
        <v>378</v>
      </c>
      <c r="P247" s="329" t="s">
        <v>378</v>
      </c>
      <c r="Q247" s="329" t="s">
        <v>1105</v>
      </c>
      <c r="R247" s="329" t="s">
        <v>1105</v>
      </c>
      <c r="S247" s="329" t="s">
        <v>1104</v>
      </c>
      <c r="AQ247" s="329" t="s">
        <v>1420</v>
      </c>
      <c r="AR247" s="329" t="s">
        <v>378</v>
      </c>
      <c r="AT247" s="329" t="s">
        <v>1447</v>
      </c>
      <c r="AU247" s="330">
        <v>5582</v>
      </c>
    </row>
    <row r="248" spans="1:47" ht="30" customHeight="1">
      <c r="A248" s="333" t="s">
        <v>1448</v>
      </c>
      <c r="B248" s="333" t="s">
        <v>1449</v>
      </c>
      <c r="C248" s="333" t="s">
        <v>265</v>
      </c>
      <c r="D248" s="334">
        <v>37</v>
      </c>
      <c r="E248" s="335">
        <f>TRUNC(신규_단가대비표!O42,0)</f>
        <v>350630</v>
      </c>
      <c r="F248" s="335">
        <f t="shared" si="28"/>
        <v>12973310</v>
      </c>
      <c r="G248" s="335">
        <f>TRUNC(신규_단가대비표!P42,0)</f>
        <v>0</v>
      </c>
      <c r="H248" s="335">
        <f t="shared" si="29"/>
        <v>0</v>
      </c>
      <c r="I248" s="335">
        <f>TRUNC(신규_단가대비표!V42,0)</f>
        <v>0</v>
      </c>
      <c r="J248" s="335">
        <f t="shared" si="30"/>
        <v>0</v>
      </c>
      <c r="K248" s="335">
        <f t="shared" si="31"/>
        <v>12973310</v>
      </c>
      <c r="L248" s="333"/>
      <c r="M248" s="329" t="s">
        <v>1450</v>
      </c>
      <c r="N248" s="329" t="s">
        <v>378</v>
      </c>
      <c r="O248" s="329" t="s">
        <v>378</v>
      </c>
      <c r="P248" s="329" t="s">
        <v>378</v>
      </c>
      <c r="Q248" s="329" t="s">
        <v>1105</v>
      </c>
      <c r="R248" s="329" t="s">
        <v>1105</v>
      </c>
      <c r="S248" s="329" t="s">
        <v>1104</v>
      </c>
      <c r="AQ248" s="329" t="s">
        <v>1420</v>
      </c>
      <c r="AR248" s="329" t="s">
        <v>378</v>
      </c>
      <c r="AT248" s="329" t="s">
        <v>1451</v>
      </c>
      <c r="AU248" s="330">
        <v>5583</v>
      </c>
    </row>
    <row r="249" spans="1:47" ht="30" customHeight="1">
      <c r="A249" s="333" t="s">
        <v>1452</v>
      </c>
      <c r="B249" s="333" t="s">
        <v>1453</v>
      </c>
      <c r="C249" s="333" t="s">
        <v>265</v>
      </c>
      <c r="D249" s="334">
        <v>3</v>
      </c>
      <c r="E249" s="335">
        <f>TRUNC(신규_단가대비표!O43,0)</f>
        <v>79688</v>
      </c>
      <c r="F249" s="335">
        <f t="shared" si="28"/>
        <v>239064</v>
      </c>
      <c r="G249" s="335">
        <f>TRUNC(신규_단가대비표!P43,0)</f>
        <v>0</v>
      </c>
      <c r="H249" s="335">
        <f t="shared" si="29"/>
        <v>0</v>
      </c>
      <c r="I249" s="335">
        <f>TRUNC(신규_단가대비표!V43,0)</f>
        <v>0</v>
      </c>
      <c r="J249" s="335">
        <f t="shared" si="30"/>
        <v>0</v>
      </c>
      <c r="K249" s="335">
        <f t="shared" si="31"/>
        <v>239064</v>
      </c>
      <c r="L249" s="333"/>
      <c r="M249" s="329" t="s">
        <v>1454</v>
      </c>
      <c r="N249" s="329" t="s">
        <v>378</v>
      </c>
      <c r="O249" s="329" t="s">
        <v>378</v>
      </c>
      <c r="P249" s="329" t="s">
        <v>378</v>
      </c>
      <c r="Q249" s="329" t="s">
        <v>1105</v>
      </c>
      <c r="R249" s="329" t="s">
        <v>1105</v>
      </c>
      <c r="S249" s="329" t="s">
        <v>1104</v>
      </c>
      <c r="AQ249" s="329" t="s">
        <v>1420</v>
      </c>
      <c r="AR249" s="329" t="s">
        <v>378</v>
      </c>
      <c r="AT249" s="329" t="s">
        <v>1455</v>
      </c>
      <c r="AU249" s="330">
        <v>5584</v>
      </c>
    </row>
    <row r="250" spans="1:47" ht="30" customHeight="1">
      <c r="A250" s="333" t="s">
        <v>1456</v>
      </c>
      <c r="B250" s="333" t="s">
        <v>1457</v>
      </c>
      <c r="C250" s="333" t="s">
        <v>265</v>
      </c>
      <c r="D250" s="334">
        <v>2</v>
      </c>
      <c r="E250" s="335">
        <f>TRUNC(신규_단가대비표!O44,0)</f>
        <v>62865</v>
      </c>
      <c r="F250" s="335">
        <f t="shared" si="28"/>
        <v>125730</v>
      </c>
      <c r="G250" s="335">
        <f>TRUNC(신규_단가대비표!P44,0)</f>
        <v>0</v>
      </c>
      <c r="H250" s="335">
        <f t="shared" si="29"/>
        <v>0</v>
      </c>
      <c r="I250" s="335">
        <f>TRUNC(신규_단가대비표!V44,0)</f>
        <v>0</v>
      </c>
      <c r="J250" s="335">
        <f t="shared" si="30"/>
        <v>0</v>
      </c>
      <c r="K250" s="335">
        <f t="shared" si="31"/>
        <v>125730</v>
      </c>
      <c r="L250" s="333"/>
      <c r="M250" s="329" t="s">
        <v>1458</v>
      </c>
      <c r="N250" s="329" t="s">
        <v>378</v>
      </c>
      <c r="O250" s="329" t="s">
        <v>378</v>
      </c>
      <c r="P250" s="329" t="s">
        <v>378</v>
      </c>
      <c r="Q250" s="329" t="s">
        <v>1105</v>
      </c>
      <c r="R250" s="329" t="s">
        <v>1105</v>
      </c>
      <c r="S250" s="329" t="s">
        <v>1104</v>
      </c>
      <c r="AQ250" s="329" t="s">
        <v>1420</v>
      </c>
      <c r="AR250" s="329" t="s">
        <v>378</v>
      </c>
      <c r="AT250" s="329" t="s">
        <v>1459</v>
      </c>
      <c r="AU250" s="330">
        <v>5917</v>
      </c>
    </row>
    <row r="251" spans="1:47" ht="30" customHeight="1">
      <c r="A251" s="333" t="s">
        <v>1460</v>
      </c>
      <c r="B251" s="333" t="s">
        <v>1461</v>
      </c>
      <c r="C251" s="333" t="s">
        <v>265</v>
      </c>
      <c r="D251" s="334">
        <v>17</v>
      </c>
      <c r="E251" s="335">
        <f>TRUNC(신규_단가대비표!O49,0)</f>
        <v>114220</v>
      </c>
      <c r="F251" s="335">
        <f t="shared" si="28"/>
        <v>1941740</v>
      </c>
      <c r="G251" s="335">
        <f>TRUNC(신규_단가대비표!P49,0)</f>
        <v>0</v>
      </c>
      <c r="H251" s="335">
        <f t="shared" si="29"/>
        <v>0</v>
      </c>
      <c r="I251" s="335">
        <f>TRUNC(신규_단가대비표!V49,0)</f>
        <v>0</v>
      </c>
      <c r="J251" s="335">
        <f t="shared" si="30"/>
        <v>0</v>
      </c>
      <c r="K251" s="335">
        <f t="shared" si="31"/>
        <v>1941740</v>
      </c>
      <c r="L251" s="333"/>
      <c r="M251" s="329" t="s">
        <v>1462</v>
      </c>
      <c r="N251" s="329" t="s">
        <v>378</v>
      </c>
      <c r="O251" s="329" t="s">
        <v>378</v>
      </c>
      <c r="P251" s="329" t="s">
        <v>378</v>
      </c>
      <c r="Q251" s="329" t="s">
        <v>1105</v>
      </c>
      <c r="R251" s="329" t="s">
        <v>1105</v>
      </c>
      <c r="S251" s="329" t="s">
        <v>1104</v>
      </c>
      <c r="AQ251" s="329" t="s">
        <v>1420</v>
      </c>
      <c r="AR251" s="329" t="s">
        <v>378</v>
      </c>
      <c r="AT251" s="329" t="s">
        <v>1463</v>
      </c>
      <c r="AU251" s="330">
        <v>5918</v>
      </c>
    </row>
    <row r="252" spans="1:47" ht="30" customHeight="1">
      <c r="A252" s="333" t="s">
        <v>1042</v>
      </c>
      <c r="B252" s="333" t="s">
        <v>1043</v>
      </c>
      <c r="C252" s="333" t="s">
        <v>265</v>
      </c>
      <c r="D252" s="334">
        <v>14</v>
      </c>
      <c r="E252" s="335">
        <f>TRUNC(신규_단가대비표!O50,0)</f>
        <v>17708</v>
      </c>
      <c r="F252" s="335">
        <f t="shared" si="28"/>
        <v>247912</v>
      </c>
      <c r="G252" s="335">
        <f>TRUNC(신규_단가대비표!P50,0)</f>
        <v>0</v>
      </c>
      <c r="H252" s="335">
        <f t="shared" si="29"/>
        <v>0</v>
      </c>
      <c r="I252" s="335">
        <f>TRUNC(신규_단가대비표!V50,0)</f>
        <v>0</v>
      </c>
      <c r="J252" s="335">
        <f t="shared" si="30"/>
        <v>0</v>
      </c>
      <c r="K252" s="335">
        <f t="shared" si="31"/>
        <v>247912</v>
      </c>
      <c r="L252" s="333"/>
      <c r="M252" s="329" t="s">
        <v>1464</v>
      </c>
      <c r="N252" s="329" t="s">
        <v>378</v>
      </c>
      <c r="O252" s="329" t="s">
        <v>378</v>
      </c>
      <c r="P252" s="329" t="s">
        <v>378</v>
      </c>
      <c r="Q252" s="329" t="s">
        <v>1105</v>
      </c>
      <c r="R252" s="329" t="s">
        <v>1105</v>
      </c>
      <c r="S252" s="329" t="s">
        <v>1104</v>
      </c>
      <c r="AQ252" s="329" t="s">
        <v>1420</v>
      </c>
      <c r="AR252" s="329" t="s">
        <v>378</v>
      </c>
      <c r="AT252" s="329" t="s">
        <v>1465</v>
      </c>
      <c r="AU252" s="330">
        <v>5919</v>
      </c>
    </row>
    <row r="253" spans="1:47" ht="30" customHeight="1">
      <c r="A253" s="333" t="s">
        <v>1044</v>
      </c>
      <c r="B253" s="333" t="s">
        <v>1045</v>
      </c>
      <c r="C253" s="333" t="s">
        <v>265</v>
      </c>
      <c r="D253" s="334">
        <v>26</v>
      </c>
      <c r="E253" s="335">
        <f>TRUNC(신규_단가대비표!O51,0)</f>
        <v>45156</v>
      </c>
      <c r="F253" s="335">
        <f t="shared" si="28"/>
        <v>1174056</v>
      </c>
      <c r="G253" s="335">
        <f>TRUNC(신규_단가대비표!P51,0)</f>
        <v>0</v>
      </c>
      <c r="H253" s="335">
        <f t="shared" si="29"/>
        <v>0</v>
      </c>
      <c r="I253" s="335">
        <f>TRUNC(신규_단가대비표!V51,0)</f>
        <v>0</v>
      </c>
      <c r="J253" s="335">
        <f t="shared" si="30"/>
        <v>0</v>
      </c>
      <c r="K253" s="335">
        <f t="shared" si="31"/>
        <v>1174056</v>
      </c>
      <c r="L253" s="333"/>
      <c r="M253" s="329" t="s">
        <v>1466</v>
      </c>
      <c r="N253" s="329" t="s">
        <v>378</v>
      </c>
      <c r="O253" s="329" t="s">
        <v>378</v>
      </c>
      <c r="P253" s="329" t="s">
        <v>378</v>
      </c>
      <c r="Q253" s="329" t="s">
        <v>1105</v>
      </c>
      <c r="R253" s="329" t="s">
        <v>1105</v>
      </c>
      <c r="S253" s="329" t="s">
        <v>1104</v>
      </c>
      <c r="AQ253" s="329" t="s">
        <v>1467</v>
      </c>
      <c r="AR253" s="329" t="s">
        <v>378</v>
      </c>
      <c r="AT253" s="329" t="s">
        <v>1468</v>
      </c>
      <c r="AU253" s="330">
        <v>5920</v>
      </c>
    </row>
    <row r="254" spans="1:47" ht="30" customHeight="1">
      <c r="A254" s="333" t="s">
        <v>1046</v>
      </c>
      <c r="B254" s="333" t="s">
        <v>1047</v>
      </c>
      <c r="C254" s="333" t="s">
        <v>265</v>
      </c>
      <c r="D254" s="334">
        <v>4</v>
      </c>
      <c r="E254" s="335">
        <f>TRUNC(신규_단가대비표!O52,0)</f>
        <v>35417</v>
      </c>
      <c r="F254" s="335">
        <f t="shared" si="28"/>
        <v>141668</v>
      </c>
      <c r="G254" s="335">
        <f>TRUNC(신규_단가대비표!P52,0)</f>
        <v>0</v>
      </c>
      <c r="H254" s="335">
        <f t="shared" si="29"/>
        <v>0</v>
      </c>
      <c r="I254" s="335">
        <f>TRUNC(신규_단가대비표!V52,0)</f>
        <v>0</v>
      </c>
      <c r="J254" s="335">
        <f t="shared" si="30"/>
        <v>0</v>
      </c>
      <c r="K254" s="335">
        <f t="shared" si="31"/>
        <v>141668</v>
      </c>
      <c r="L254" s="333"/>
      <c r="M254" s="329" t="s">
        <v>1469</v>
      </c>
      <c r="N254" s="329" t="s">
        <v>378</v>
      </c>
      <c r="O254" s="329" t="s">
        <v>378</v>
      </c>
      <c r="P254" s="329" t="s">
        <v>378</v>
      </c>
      <c r="Q254" s="329" t="s">
        <v>1105</v>
      </c>
      <c r="R254" s="329" t="s">
        <v>1105</v>
      </c>
      <c r="S254" s="329" t="s">
        <v>1104</v>
      </c>
      <c r="AQ254" s="329" t="s">
        <v>1420</v>
      </c>
      <c r="AR254" s="329" t="s">
        <v>378</v>
      </c>
      <c r="AT254" s="329" t="s">
        <v>1470</v>
      </c>
      <c r="AU254" s="330">
        <v>5921</v>
      </c>
    </row>
    <row r="255" spans="1:47" ht="30" customHeight="1">
      <c r="A255" s="333" t="s">
        <v>327</v>
      </c>
      <c r="B255" s="333" t="s">
        <v>1048</v>
      </c>
      <c r="C255" s="333" t="s">
        <v>265</v>
      </c>
      <c r="D255" s="334">
        <v>15</v>
      </c>
      <c r="E255" s="335">
        <f>TRUNC(신규_단가대비표!O46,0)</f>
        <v>256774</v>
      </c>
      <c r="F255" s="335">
        <f t="shared" si="28"/>
        <v>3851610</v>
      </c>
      <c r="G255" s="335">
        <f>TRUNC(신규_단가대비표!P46,0)</f>
        <v>0</v>
      </c>
      <c r="H255" s="335">
        <f t="shared" si="29"/>
        <v>0</v>
      </c>
      <c r="I255" s="335">
        <f>TRUNC(신규_단가대비표!V46,0)</f>
        <v>0</v>
      </c>
      <c r="J255" s="335">
        <f t="shared" si="30"/>
        <v>0</v>
      </c>
      <c r="K255" s="335">
        <f t="shared" si="31"/>
        <v>3851610</v>
      </c>
      <c r="L255" s="333"/>
      <c r="M255" s="329" t="s">
        <v>1471</v>
      </c>
      <c r="N255" s="329" t="s">
        <v>378</v>
      </c>
      <c r="O255" s="329" t="s">
        <v>378</v>
      </c>
      <c r="P255" s="329" t="s">
        <v>378</v>
      </c>
      <c r="Q255" s="329" t="s">
        <v>1105</v>
      </c>
      <c r="R255" s="329" t="s">
        <v>1105</v>
      </c>
      <c r="S255" s="329" t="s">
        <v>1104</v>
      </c>
      <c r="AQ255" s="329" t="s">
        <v>1420</v>
      </c>
      <c r="AR255" s="329" t="s">
        <v>378</v>
      </c>
      <c r="AT255" s="329" t="s">
        <v>1472</v>
      </c>
      <c r="AU255" s="330">
        <v>5861</v>
      </c>
    </row>
    <row r="256" spans="1:47" ht="30" customHeight="1">
      <c r="A256" s="333" t="s">
        <v>1049</v>
      </c>
      <c r="B256" s="333" t="s">
        <v>1050</v>
      </c>
      <c r="C256" s="333" t="s">
        <v>265</v>
      </c>
      <c r="D256" s="334">
        <v>15</v>
      </c>
      <c r="E256" s="335">
        <f>TRUNC(신규_단가대비표!O47,0)</f>
        <v>779178</v>
      </c>
      <c r="F256" s="335">
        <f t="shared" si="28"/>
        <v>11687670</v>
      </c>
      <c r="G256" s="335">
        <f>TRUNC(신규_단가대비표!P47,0)</f>
        <v>0</v>
      </c>
      <c r="H256" s="335">
        <f t="shared" si="29"/>
        <v>0</v>
      </c>
      <c r="I256" s="335">
        <f>TRUNC(신규_단가대비표!V47,0)</f>
        <v>0</v>
      </c>
      <c r="J256" s="335">
        <f t="shared" si="30"/>
        <v>0</v>
      </c>
      <c r="K256" s="335">
        <f t="shared" si="31"/>
        <v>11687670</v>
      </c>
      <c r="L256" s="333"/>
      <c r="M256" s="329" t="s">
        <v>1473</v>
      </c>
      <c r="N256" s="329" t="s">
        <v>378</v>
      </c>
      <c r="O256" s="329" t="s">
        <v>378</v>
      </c>
      <c r="P256" s="329" t="s">
        <v>378</v>
      </c>
      <c r="Q256" s="329" t="s">
        <v>1105</v>
      </c>
      <c r="R256" s="329" t="s">
        <v>1105</v>
      </c>
      <c r="S256" s="329" t="s">
        <v>1104</v>
      </c>
      <c r="AQ256" s="329" t="s">
        <v>1420</v>
      </c>
      <c r="AR256" s="329" t="s">
        <v>378</v>
      </c>
      <c r="AT256" s="329" t="s">
        <v>1474</v>
      </c>
      <c r="AU256" s="330">
        <v>5862</v>
      </c>
    </row>
    <row r="257" spans="1:47" ht="30" customHeight="1">
      <c r="A257" s="333" t="s">
        <v>1051</v>
      </c>
      <c r="B257" s="333" t="s">
        <v>1052</v>
      </c>
      <c r="C257" s="333" t="s">
        <v>265</v>
      </c>
      <c r="D257" s="334">
        <v>15</v>
      </c>
      <c r="E257" s="335">
        <f>TRUNC(신규_단가대비표!O48,0)</f>
        <v>44271</v>
      </c>
      <c r="F257" s="335">
        <f t="shared" si="28"/>
        <v>664065</v>
      </c>
      <c r="G257" s="335">
        <f>TRUNC(신규_단가대비표!P48,0)</f>
        <v>0</v>
      </c>
      <c r="H257" s="335">
        <f t="shared" si="29"/>
        <v>0</v>
      </c>
      <c r="I257" s="335">
        <f>TRUNC(신규_단가대비표!V48,0)</f>
        <v>0</v>
      </c>
      <c r="J257" s="335">
        <f t="shared" si="30"/>
        <v>0</v>
      </c>
      <c r="K257" s="335">
        <f t="shared" si="31"/>
        <v>664065</v>
      </c>
      <c r="L257" s="333"/>
      <c r="M257" s="329" t="s">
        <v>1475</v>
      </c>
      <c r="N257" s="329" t="s">
        <v>378</v>
      </c>
      <c r="O257" s="329" t="s">
        <v>378</v>
      </c>
      <c r="P257" s="329" t="s">
        <v>378</v>
      </c>
      <c r="Q257" s="329" t="s">
        <v>1105</v>
      </c>
      <c r="R257" s="329" t="s">
        <v>1105</v>
      </c>
      <c r="S257" s="329" t="s">
        <v>1104</v>
      </c>
      <c r="AQ257" s="329" t="s">
        <v>1420</v>
      </c>
      <c r="AR257" s="329" t="s">
        <v>378</v>
      </c>
      <c r="AT257" s="329" t="s">
        <v>1476</v>
      </c>
      <c r="AU257" s="330">
        <v>5863</v>
      </c>
    </row>
    <row r="258" spans="1:47" ht="30" customHeight="1">
      <c r="A258" s="333" t="s">
        <v>1053</v>
      </c>
      <c r="B258" s="333" t="s">
        <v>315</v>
      </c>
      <c r="C258" s="333" t="s">
        <v>265</v>
      </c>
      <c r="D258" s="334">
        <v>60</v>
      </c>
      <c r="E258" s="335">
        <f>TRUNC(신규_단가대비표!O55,0)</f>
        <v>221357</v>
      </c>
      <c r="F258" s="335">
        <f t="shared" si="28"/>
        <v>13281420</v>
      </c>
      <c r="G258" s="335">
        <f>TRUNC(신규_단가대비표!P55,0)</f>
        <v>0</v>
      </c>
      <c r="H258" s="335">
        <f t="shared" si="29"/>
        <v>0</v>
      </c>
      <c r="I258" s="335">
        <f>TRUNC(신규_단가대비표!V55,0)</f>
        <v>0</v>
      </c>
      <c r="J258" s="335">
        <f t="shared" si="30"/>
        <v>0</v>
      </c>
      <c r="K258" s="335">
        <f t="shared" si="31"/>
        <v>13281420</v>
      </c>
      <c r="L258" s="333"/>
      <c r="M258" s="329" t="s">
        <v>1477</v>
      </c>
      <c r="N258" s="329" t="s">
        <v>378</v>
      </c>
      <c r="O258" s="329" t="s">
        <v>378</v>
      </c>
      <c r="P258" s="329" t="s">
        <v>378</v>
      </c>
      <c r="Q258" s="329" t="s">
        <v>1105</v>
      </c>
      <c r="R258" s="329" t="s">
        <v>1105</v>
      </c>
      <c r="S258" s="329" t="s">
        <v>1104</v>
      </c>
      <c r="AQ258" s="329" t="s">
        <v>1420</v>
      </c>
      <c r="AR258" s="329" t="s">
        <v>378</v>
      </c>
      <c r="AT258" s="329" t="s">
        <v>1478</v>
      </c>
      <c r="AU258" s="330">
        <v>5996</v>
      </c>
    </row>
    <row r="259" spans="1:47" ht="30" customHeight="1">
      <c r="A259" s="333" t="s">
        <v>1054</v>
      </c>
      <c r="B259" s="333" t="s">
        <v>315</v>
      </c>
      <c r="C259" s="333" t="s">
        <v>265</v>
      </c>
      <c r="D259" s="334">
        <v>27</v>
      </c>
      <c r="E259" s="335">
        <f>TRUNC(신규_단가대비표!O56,0)</f>
        <v>425006</v>
      </c>
      <c r="F259" s="335">
        <f t="shared" si="28"/>
        <v>11475162</v>
      </c>
      <c r="G259" s="335">
        <f>TRUNC(신규_단가대비표!P56,0)</f>
        <v>0</v>
      </c>
      <c r="H259" s="335">
        <f t="shared" si="29"/>
        <v>0</v>
      </c>
      <c r="I259" s="335">
        <f>TRUNC(신규_단가대비표!V56,0)</f>
        <v>0</v>
      </c>
      <c r="J259" s="335">
        <f t="shared" si="30"/>
        <v>0</v>
      </c>
      <c r="K259" s="335">
        <f t="shared" si="31"/>
        <v>11475162</v>
      </c>
      <c r="L259" s="333"/>
      <c r="M259" s="329" t="s">
        <v>1479</v>
      </c>
      <c r="N259" s="329" t="s">
        <v>378</v>
      </c>
      <c r="O259" s="329" t="s">
        <v>378</v>
      </c>
      <c r="P259" s="329" t="s">
        <v>378</v>
      </c>
      <c r="Q259" s="329" t="s">
        <v>1105</v>
      </c>
      <c r="R259" s="329" t="s">
        <v>1105</v>
      </c>
      <c r="S259" s="329" t="s">
        <v>1104</v>
      </c>
      <c r="AQ259" s="329" t="s">
        <v>1420</v>
      </c>
      <c r="AR259" s="329" t="s">
        <v>378</v>
      </c>
      <c r="AT259" s="329" t="s">
        <v>1480</v>
      </c>
      <c r="AU259" s="330">
        <v>5997</v>
      </c>
    </row>
    <row r="260" spans="1:47" ht="30" customHeight="1">
      <c r="A260" s="333" t="s">
        <v>1055</v>
      </c>
      <c r="B260" s="333" t="s">
        <v>317</v>
      </c>
      <c r="C260" s="333" t="s">
        <v>265</v>
      </c>
      <c r="D260" s="334">
        <v>36</v>
      </c>
      <c r="E260" s="335">
        <f>TRUNC(신규_단가대비표!O57,0)</f>
        <v>451569</v>
      </c>
      <c r="F260" s="335">
        <f t="shared" si="28"/>
        <v>16256484</v>
      </c>
      <c r="G260" s="335">
        <f>TRUNC(신규_단가대비표!P57,0)</f>
        <v>0</v>
      </c>
      <c r="H260" s="335">
        <f t="shared" si="29"/>
        <v>0</v>
      </c>
      <c r="I260" s="335">
        <f>TRUNC(신규_단가대비표!V57,0)</f>
        <v>0</v>
      </c>
      <c r="J260" s="335">
        <f t="shared" si="30"/>
        <v>0</v>
      </c>
      <c r="K260" s="335">
        <f t="shared" si="31"/>
        <v>16256484</v>
      </c>
      <c r="L260" s="333"/>
      <c r="M260" s="329" t="s">
        <v>1481</v>
      </c>
      <c r="N260" s="329" t="s">
        <v>378</v>
      </c>
      <c r="O260" s="329" t="s">
        <v>378</v>
      </c>
      <c r="P260" s="329" t="s">
        <v>378</v>
      </c>
      <c r="Q260" s="329" t="s">
        <v>1105</v>
      </c>
      <c r="R260" s="329" t="s">
        <v>1105</v>
      </c>
      <c r="S260" s="329" t="s">
        <v>1104</v>
      </c>
      <c r="AQ260" s="329" t="s">
        <v>1420</v>
      </c>
      <c r="AR260" s="329" t="s">
        <v>378</v>
      </c>
      <c r="AT260" s="329" t="s">
        <v>1482</v>
      </c>
      <c r="AU260" s="330">
        <v>5998</v>
      </c>
    </row>
    <row r="261" spans="1:47" ht="30" customHeight="1">
      <c r="A261" s="333" t="s">
        <v>1056</v>
      </c>
      <c r="B261" s="333" t="s">
        <v>1057</v>
      </c>
      <c r="C261" s="333" t="s">
        <v>265</v>
      </c>
      <c r="D261" s="334">
        <v>62</v>
      </c>
      <c r="E261" s="335">
        <f>TRUNC(신규_단가대비표!O58,0)</f>
        <v>292191</v>
      </c>
      <c r="F261" s="335">
        <f t="shared" si="28"/>
        <v>18115842</v>
      </c>
      <c r="G261" s="335">
        <f>TRUNC(신규_단가대비표!P58,0)</f>
        <v>0</v>
      </c>
      <c r="H261" s="335">
        <f t="shared" si="29"/>
        <v>0</v>
      </c>
      <c r="I261" s="335">
        <f>TRUNC(신규_단가대비표!V58,0)</f>
        <v>0</v>
      </c>
      <c r="J261" s="335">
        <f t="shared" si="30"/>
        <v>0</v>
      </c>
      <c r="K261" s="335">
        <f t="shared" si="31"/>
        <v>18115842</v>
      </c>
      <c r="L261" s="333"/>
      <c r="M261" s="329" t="s">
        <v>1483</v>
      </c>
      <c r="N261" s="329" t="s">
        <v>378</v>
      </c>
      <c r="O261" s="329" t="s">
        <v>378</v>
      </c>
      <c r="P261" s="329" t="s">
        <v>1439</v>
      </c>
      <c r="Q261" s="329" t="s">
        <v>1105</v>
      </c>
      <c r="R261" s="329" t="s">
        <v>1105</v>
      </c>
      <c r="S261" s="329" t="s">
        <v>1104</v>
      </c>
      <c r="AQ261" s="329" t="s">
        <v>378</v>
      </c>
      <c r="AR261" s="329" t="s">
        <v>378</v>
      </c>
      <c r="AT261" s="329" t="s">
        <v>1484</v>
      </c>
      <c r="AU261" s="330">
        <v>6036</v>
      </c>
    </row>
    <row r="262" spans="1:47" ht="30" customHeight="1">
      <c r="A262" s="334"/>
      <c r="B262" s="334"/>
      <c r="C262" s="334"/>
      <c r="D262" s="334"/>
      <c r="E262" s="334"/>
      <c r="F262" s="334"/>
      <c r="G262" s="334"/>
      <c r="H262" s="334"/>
      <c r="I262" s="334"/>
      <c r="J262" s="334"/>
      <c r="K262" s="334"/>
      <c r="L262" s="334"/>
    </row>
    <row r="263" spans="1:47" ht="30" customHeight="1">
      <c r="A263" s="334" t="s">
        <v>1434</v>
      </c>
      <c r="B263" s="334"/>
      <c r="C263" s="334" t="s">
        <v>1435</v>
      </c>
      <c r="D263" s="334">
        <v>1</v>
      </c>
      <c r="E263" s="334"/>
      <c r="F263" s="334"/>
      <c r="G263" s="334"/>
      <c r="H263" s="334"/>
      <c r="I263" s="334"/>
      <c r="J263" s="334"/>
      <c r="K263" s="342">
        <f>SUM(K246:K261)</f>
        <v>93821738</v>
      </c>
      <c r="L263" s="334"/>
    </row>
    <row r="264" spans="1:47" ht="30" customHeight="1">
      <c r="A264" s="334" t="s">
        <v>1436</v>
      </c>
      <c r="B264" s="334"/>
      <c r="C264" s="334" t="s">
        <v>1435</v>
      </c>
      <c r="D264" s="334">
        <v>1</v>
      </c>
      <c r="E264" s="334"/>
      <c r="F264" s="334"/>
      <c r="G264" s="334"/>
      <c r="H264" s="334"/>
      <c r="I264" s="334"/>
      <c r="J264" s="334"/>
      <c r="K264" s="342">
        <f>K263</f>
        <v>93821738</v>
      </c>
      <c r="L264" s="334"/>
    </row>
    <row r="265" spans="1:47" ht="30" customHeight="1">
      <c r="A265" s="334"/>
      <c r="B265" s="334"/>
      <c r="C265" s="334"/>
      <c r="D265" s="334"/>
      <c r="E265" s="334"/>
      <c r="F265" s="334"/>
      <c r="G265" s="334"/>
      <c r="H265" s="334"/>
      <c r="I265" s="334"/>
      <c r="J265" s="334"/>
      <c r="K265" s="342"/>
      <c r="L265" s="334"/>
    </row>
    <row r="266" spans="1:47" ht="30" customHeight="1">
      <c r="A266" s="334"/>
      <c r="B266" s="334"/>
      <c r="C266" s="334"/>
      <c r="D266" s="334"/>
      <c r="E266" s="334"/>
      <c r="F266" s="334"/>
      <c r="G266" s="334"/>
      <c r="H266" s="334"/>
      <c r="I266" s="334"/>
      <c r="J266" s="334"/>
      <c r="K266" s="334"/>
      <c r="L266" s="334"/>
    </row>
    <row r="267" spans="1:47" ht="30" customHeight="1">
      <c r="A267" s="334"/>
      <c r="B267" s="334"/>
      <c r="C267" s="334"/>
      <c r="D267" s="334"/>
      <c r="E267" s="334"/>
      <c r="F267" s="334"/>
      <c r="G267" s="334"/>
      <c r="H267" s="334"/>
      <c r="I267" s="334"/>
      <c r="J267" s="334"/>
      <c r="K267" s="334"/>
      <c r="L267" s="334"/>
    </row>
    <row r="268" spans="1:47" ht="30" customHeight="1">
      <c r="A268" s="333" t="s">
        <v>1196</v>
      </c>
      <c r="B268" s="334"/>
      <c r="C268" s="334"/>
      <c r="D268" s="334"/>
      <c r="E268" s="334"/>
      <c r="F268" s="335"/>
      <c r="G268" s="334"/>
      <c r="H268" s="335">
        <f>SUM(H246:H267) -H246-H247-H248-H249-H250-H251-H252-H253-H254-H255-H256-H257-H258-H259-H260</f>
        <v>0</v>
      </c>
      <c r="I268" s="334"/>
      <c r="J268" s="335">
        <f>SUM(J246:J267) -J246-J247-J248-J249-J250-J251-J252-J253-J254-J255-J256-J257-J258-J259-J260</f>
        <v>0</v>
      </c>
      <c r="K268" s="335">
        <f>K264</f>
        <v>93821738</v>
      </c>
      <c r="L268" s="334"/>
      <c r="M268" s="330" t="s">
        <v>1197</v>
      </c>
    </row>
    <row r="269" spans="1:47" ht="30" customHeight="1">
      <c r="A269" s="333" t="s">
        <v>1485</v>
      </c>
      <c r="B269" s="333" t="s">
        <v>378</v>
      </c>
      <c r="C269" s="334"/>
      <c r="D269" s="334"/>
      <c r="E269" s="334"/>
      <c r="F269" s="334"/>
      <c r="G269" s="334"/>
      <c r="H269" s="334"/>
      <c r="I269" s="334"/>
      <c r="J269" s="334"/>
      <c r="K269" s="334"/>
      <c r="L269" s="334"/>
      <c r="P269" s="329" t="s">
        <v>1439</v>
      </c>
    </row>
    <row r="270" spans="1:47" ht="30" customHeight="1">
      <c r="A270" s="333" t="s">
        <v>1486</v>
      </c>
      <c r="B270" s="333"/>
      <c r="C270" s="333" t="s">
        <v>1435</v>
      </c>
      <c r="D270" s="334">
        <v>1</v>
      </c>
      <c r="E270" s="335">
        <f>신규_단가대비표!O145</f>
        <v>179032531.96829</v>
      </c>
      <c r="F270" s="335">
        <f>TRUNC(E270*D270, 0)</f>
        <v>179032531</v>
      </c>
      <c r="G270" s="335">
        <f>TRUNC(신규_단가대비표!P65,0)</f>
        <v>0</v>
      </c>
      <c r="H270" s="335">
        <f>TRUNC(G270*D270, 0)</f>
        <v>0</v>
      </c>
      <c r="I270" s="335">
        <f>TRUNC(신규_단가대비표!V65,0)</f>
        <v>0</v>
      </c>
      <c r="J270" s="335">
        <f>TRUNC(I270*D270, 0)</f>
        <v>0</v>
      </c>
      <c r="K270" s="335">
        <f>TRUNC(F270+H270+J270, 0)</f>
        <v>179032531</v>
      </c>
      <c r="L270" s="333"/>
      <c r="M270" s="329" t="s">
        <v>1442</v>
      </c>
      <c r="N270" s="329" t="s">
        <v>378</v>
      </c>
      <c r="O270" s="329" t="s">
        <v>378</v>
      </c>
      <c r="P270" s="329" t="s">
        <v>378</v>
      </c>
      <c r="Q270" s="329" t="s">
        <v>1105</v>
      </c>
      <c r="R270" s="329" t="s">
        <v>1105</v>
      </c>
      <c r="S270" s="329" t="s">
        <v>1104</v>
      </c>
      <c r="AQ270" s="329" t="s">
        <v>1420</v>
      </c>
      <c r="AR270" s="329" t="s">
        <v>378</v>
      </c>
      <c r="AT270" s="329" t="s">
        <v>1443</v>
      </c>
      <c r="AU270" s="330">
        <v>5581</v>
      </c>
    </row>
    <row r="271" spans="1:47" ht="30" customHeight="1">
      <c r="A271" s="333"/>
      <c r="B271" s="333"/>
      <c r="C271" s="333"/>
      <c r="D271" s="334"/>
      <c r="E271" s="335"/>
      <c r="F271" s="335"/>
      <c r="G271" s="335"/>
      <c r="H271" s="335"/>
      <c r="I271" s="335"/>
      <c r="J271" s="335"/>
      <c r="K271" s="335"/>
      <c r="L271" s="333"/>
      <c r="M271" s="329" t="s">
        <v>1446</v>
      </c>
      <c r="N271" s="329" t="s">
        <v>378</v>
      </c>
      <c r="O271" s="329" t="s">
        <v>378</v>
      </c>
      <c r="P271" s="329" t="s">
        <v>378</v>
      </c>
      <c r="Q271" s="329" t="s">
        <v>1105</v>
      </c>
      <c r="R271" s="329" t="s">
        <v>1105</v>
      </c>
      <c r="S271" s="329" t="s">
        <v>1104</v>
      </c>
      <c r="AQ271" s="329" t="s">
        <v>1420</v>
      </c>
      <c r="AR271" s="329" t="s">
        <v>378</v>
      </c>
      <c r="AT271" s="329" t="s">
        <v>1447</v>
      </c>
      <c r="AU271" s="330">
        <v>5582</v>
      </c>
    </row>
    <row r="272" spans="1:47" ht="30" customHeight="1">
      <c r="A272" s="333"/>
      <c r="B272" s="333"/>
      <c r="C272" s="333"/>
      <c r="D272" s="334"/>
      <c r="E272" s="335"/>
      <c r="F272" s="335"/>
      <c r="G272" s="335"/>
      <c r="H272" s="335"/>
      <c r="I272" s="335"/>
      <c r="J272" s="335"/>
      <c r="K272" s="335"/>
      <c r="L272" s="333"/>
      <c r="M272" s="329" t="s">
        <v>1450</v>
      </c>
      <c r="N272" s="329" t="s">
        <v>378</v>
      </c>
      <c r="O272" s="329" t="s">
        <v>378</v>
      </c>
      <c r="P272" s="329" t="s">
        <v>378</v>
      </c>
      <c r="Q272" s="329" t="s">
        <v>1105</v>
      </c>
      <c r="R272" s="329" t="s">
        <v>1105</v>
      </c>
      <c r="S272" s="329" t="s">
        <v>1104</v>
      </c>
      <c r="AQ272" s="329" t="s">
        <v>1420</v>
      </c>
      <c r="AR272" s="329" t="s">
        <v>378</v>
      </c>
      <c r="AT272" s="329" t="s">
        <v>1451</v>
      </c>
      <c r="AU272" s="330">
        <v>5583</v>
      </c>
    </row>
    <row r="273" spans="1:47" ht="30" customHeight="1">
      <c r="A273" s="333"/>
      <c r="B273" s="333"/>
      <c r="C273" s="333"/>
      <c r="D273" s="334"/>
      <c r="E273" s="335"/>
      <c r="F273" s="335"/>
      <c r="G273" s="335"/>
      <c r="H273" s="335"/>
      <c r="I273" s="335"/>
      <c r="J273" s="335"/>
      <c r="K273" s="335"/>
      <c r="L273" s="333"/>
      <c r="M273" s="329" t="s">
        <v>1454</v>
      </c>
      <c r="N273" s="329" t="s">
        <v>378</v>
      </c>
      <c r="O273" s="329" t="s">
        <v>378</v>
      </c>
      <c r="P273" s="329" t="s">
        <v>378</v>
      </c>
      <c r="Q273" s="329" t="s">
        <v>1105</v>
      </c>
      <c r="R273" s="329" t="s">
        <v>1105</v>
      </c>
      <c r="S273" s="329" t="s">
        <v>1104</v>
      </c>
      <c r="AQ273" s="329" t="s">
        <v>1420</v>
      </c>
      <c r="AR273" s="329" t="s">
        <v>378</v>
      </c>
      <c r="AT273" s="329" t="s">
        <v>1455</v>
      </c>
      <c r="AU273" s="330">
        <v>5584</v>
      </c>
    </row>
    <row r="274" spans="1:47" ht="30" customHeight="1">
      <c r="A274" s="333"/>
      <c r="B274" s="333"/>
      <c r="C274" s="333"/>
      <c r="D274" s="334"/>
      <c r="E274" s="335"/>
      <c r="F274" s="335"/>
      <c r="G274" s="335"/>
      <c r="H274" s="335"/>
      <c r="I274" s="335"/>
      <c r="J274" s="335"/>
      <c r="K274" s="335"/>
      <c r="L274" s="333"/>
      <c r="M274" s="329" t="s">
        <v>1458</v>
      </c>
      <c r="N274" s="329" t="s">
        <v>378</v>
      </c>
      <c r="O274" s="329" t="s">
        <v>378</v>
      </c>
      <c r="P274" s="329" t="s">
        <v>378</v>
      </c>
      <c r="Q274" s="329" t="s">
        <v>1105</v>
      </c>
      <c r="R274" s="329" t="s">
        <v>1105</v>
      </c>
      <c r="S274" s="329" t="s">
        <v>1104</v>
      </c>
      <c r="AQ274" s="329" t="s">
        <v>1420</v>
      </c>
      <c r="AR274" s="329" t="s">
        <v>378</v>
      </c>
      <c r="AT274" s="329" t="s">
        <v>1459</v>
      </c>
      <c r="AU274" s="330">
        <v>5917</v>
      </c>
    </row>
    <row r="275" spans="1:47" ht="30" customHeight="1">
      <c r="A275" s="333"/>
      <c r="B275" s="333"/>
      <c r="C275" s="333"/>
      <c r="D275" s="334"/>
      <c r="E275" s="335"/>
      <c r="F275" s="335"/>
      <c r="G275" s="335"/>
      <c r="H275" s="335"/>
      <c r="I275" s="335"/>
      <c r="J275" s="335"/>
      <c r="K275" s="335"/>
      <c r="L275" s="333"/>
      <c r="M275" s="329" t="s">
        <v>1462</v>
      </c>
      <c r="N275" s="329" t="s">
        <v>378</v>
      </c>
      <c r="O275" s="329" t="s">
        <v>378</v>
      </c>
      <c r="P275" s="329" t="s">
        <v>378</v>
      </c>
      <c r="Q275" s="329" t="s">
        <v>1105</v>
      </c>
      <c r="R275" s="329" t="s">
        <v>1105</v>
      </c>
      <c r="S275" s="329" t="s">
        <v>1104</v>
      </c>
      <c r="AQ275" s="329" t="s">
        <v>1420</v>
      </c>
      <c r="AR275" s="329" t="s">
        <v>378</v>
      </c>
      <c r="AT275" s="329" t="s">
        <v>1463</v>
      </c>
      <c r="AU275" s="330">
        <v>5918</v>
      </c>
    </row>
    <row r="276" spans="1:47" ht="30" customHeight="1">
      <c r="A276" s="333"/>
      <c r="B276" s="333"/>
      <c r="C276" s="333"/>
      <c r="D276" s="334"/>
      <c r="E276" s="335"/>
      <c r="F276" s="335"/>
      <c r="G276" s="335"/>
      <c r="H276" s="335"/>
      <c r="I276" s="335"/>
      <c r="J276" s="335"/>
      <c r="K276" s="335"/>
      <c r="L276" s="333"/>
      <c r="M276" s="329" t="s">
        <v>1464</v>
      </c>
      <c r="N276" s="329" t="s">
        <v>378</v>
      </c>
      <c r="O276" s="329" t="s">
        <v>378</v>
      </c>
      <c r="P276" s="329" t="s">
        <v>378</v>
      </c>
      <c r="Q276" s="329" t="s">
        <v>1105</v>
      </c>
      <c r="R276" s="329" t="s">
        <v>1105</v>
      </c>
      <c r="S276" s="329" t="s">
        <v>1104</v>
      </c>
      <c r="AQ276" s="329" t="s">
        <v>1420</v>
      </c>
      <c r="AR276" s="329" t="s">
        <v>378</v>
      </c>
      <c r="AT276" s="329" t="s">
        <v>1465</v>
      </c>
      <c r="AU276" s="330">
        <v>5919</v>
      </c>
    </row>
    <row r="277" spans="1:47" ht="30" customHeight="1">
      <c r="A277" s="333"/>
      <c r="B277" s="333"/>
      <c r="C277" s="333"/>
      <c r="D277" s="334"/>
      <c r="E277" s="335"/>
      <c r="F277" s="335"/>
      <c r="G277" s="335"/>
      <c r="H277" s="335"/>
      <c r="I277" s="335"/>
      <c r="J277" s="335"/>
      <c r="K277" s="335"/>
      <c r="L277" s="333"/>
      <c r="M277" s="329" t="s">
        <v>1466</v>
      </c>
      <c r="N277" s="329" t="s">
        <v>378</v>
      </c>
      <c r="O277" s="329" t="s">
        <v>378</v>
      </c>
      <c r="P277" s="329" t="s">
        <v>378</v>
      </c>
      <c r="Q277" s="329" t="s">
        <v>1105</v>
      </c>
      <c r="R277" s="329" t="s">
        <v>1105</v>
      </c>
      <c r="S277" s="329" t="s">
        <v>1104</v>
      </c>
      <c r="AQ277" s="329" t="s">
        <v>1467</v>
      </c>
      <c r="AR277" s="329" t="s">
        <v>378</v>
      </c>
      <c r="AT277" s="329" t="s">
        <v>1468</v>
      </c>
      <c r="AU277" s="330">
        <v>5920</v>
      </c>
    </row>
    <row r="278" spans="1:47" ht="30" customHeight="1">
      <c r="A278" s="333"/>
      <c r="B278" s="333"/>
      <c r="C278" s="333"/>
      <c r="D278" s="334"/>
      <c r="E278" s="335"/>
      <c r="F278" s="335"/>
      <c r="G278" s="335"/>
      <c r="H278" s="335"/>
      <c r="I278" s="335"/>
      <c r="J278" s="335"/>
      <c r="K278" s="335"/>
      <c r="L278" s="333"/>
      <c r="M278" s="329" t="s">
        <v>1469</v>
      </c>
      <c r="N278" s="329" t="s">
        <v>378</v>
      </c>
      <c r="O278" s="329" t="s">
        <v>378</v>
      </c>
      <c r="P278" s="329" t="s">
        <v>378</v>
      </c>
      <c r="Q278" s="329" t="s">
        <v>1105</v>
      </c>
      <c r="R278" s="329" t="s">
        <v>1105</v>
      </c>
      <c r="S278" s="329" t="s">
        <v>1104</v>
      </c>
      <c r="AQ278" s="329" t="s">
        <v>1420</v>
      </c>
      <c r="AR278" s="329" t="s">
        <v>378</v>
      </c>
      <c r="AT278" s="329" t="s">
        <v>1470</v>
      </c>
      <c r="AU278" s="330">
        <v>5921</v>
      </c>
    </row>
    <row r="279" spans="1:47" ht="30" customHeight="1">
      <c r="A279" s="333"/>
      <c r="B279" s="333"/>
      <c r="C279" s="333"/>
      <c r="D279" s="334"/>
      <c r="E279" s="335"/>
      <c r="F279" s="335"/>
      <c r="G279" s="335"/>
      <c r="H279" s="335"/>
      <c r="I279" s="335"/>
      <c r="J279" s="335"/>
      <c r="K279" s="335"/>
      <c r="L279" s="333"/>
      <c r="M279" s="329" t="s">
        <v>1471</v>
      </c>
      <c r="N279" s="329" t="s">
        <v>378</v>
      </c>
      <c r="O279" s="329" t="s">
        <v>378</v>
      </c>
      <c r="P279" s="329" t="s">
        <v>378</v>
      </c>
      <c r="Q279" s="329" t="s">
        <v>1105</v>
      </c>
      <c r="R279" s="329" t="s">
        <v>1105</v>
      </c>
      <c r="S279" s="329" t="s">
        <v>1104</v>
      </c>
      <c r="AQ279" s="329" t="s">
        <v>1420</v>
      </c>
      <c r="AR279" s="329" t="s">
        <v>378</v>
      </c>
      <c r="AT279" s="329" t="s">
        <v>1472</v>
      </c>
      <c r="AU279" s="330">
        <v>5861</v>
      </c>
    </row>
    <row r="280" spans="1:47" ht="30" customHeight="1">
      <c r="A280" s="333"/>
      <c r="B280" s="333"/>
      <c r="C280" s="333"/>
      <c r="D280" s="334"/>
      <c r="E280" s="335"/>
      <c r="F280" s="335"/>
      <c r="G280" s="335"/>
      <c r="H280" s="335"/>
      <c r="I280" s="335"/>
      <c r="J280" s="335"/>
      <c r="K280" s="335"/>
      <c r="L280" s="333"/>
      <c r="M280" s="329" t="s">
        <v>1473</v>
      </c>
      <c r="N280" s="329" t="s">
        <v>378</v>
      </c>
      <c r="O280" s="329" t="s">
        <v>378</v>
      </c>
      <c r="P280" s="329" t="s">
        <v>378</v>
      </c>
      <c r="Q280" s="329" t="s">
        <v>1105</v>
      </c>
      <c r="R280" s="329" t="s">
        <v>1105</v>
      </c>
      <c r="S280" s="329" t="s">
        <v>1104</v>
      </c>
      <c r="AQ280" s="329" t="s">
        <v>1420</v>
      </c>
      <c r="AR280" s="329" t="s">
        <v>378</v>
      </c>
      <c r="AT280" s="329" t="s">
        <v>1474</v>
      </c>
      <c r="AU280" s="330">
        <v>5862</v>
      </c>
    </row>
    <row r="281" spans="1:47" ht="30" customHeight="1">
      <c r="A281" s="333"/>
      <c r="B281" s="333"/>
      <c r="C281" s="333"/>
      <c r="D281" s="334"/>
      <c r="E281" s="335"/>
      <c r="F281" s="335"/>
      <c r="G281" s="335"/>
      <c r="H281" s="335"/>
      <c r="I281" s="335"/>
      <c r="J281" s="335"/>
      <c r="K281" s="335"/>
      <c r="L281" s="333"/>
      <c r="M281" s="329" t="s">
        <v>1475</v>
      </c>
      <c r="N281" s="329" t="s">
        <v>378</v>
      </c>
      <c r="O281" s="329" t="s">
        <v>378</v>
      </c>
      <c r="P281" s="329" t="s">
        <v>378</v>
      </c>
      <c r="Q281" s="329" t="s">
        <v>1105</v>
      </c>
      <c r="R281" s="329" t="s">
        <v>1105</v>
      </c>
      <c r="S281" s="329" t="s">
        <v>1104</v>
      </c>
      <c r="AQ281" s="329" t="s">
        <v>1420</v>
      </c>
      <c r="AR281" s="329" t="s">
        <v>378</v>
      </c>
      <c r="AT281" s="329" t="s">
        <v>1476</v>
      </c>
      <c r="AU281" s="330">
        <v>5863</v>
      </c>
    </row>
    <row r="282" spans="1:47" ht="30" customHeight="1">
      <c r="A282" s="333"/>
      <c r="B282" s="333"/>
      <c r="C282" s="333"/>
      <c r="D282" s="334"/>
      <c r="E282" s="335"/>
      <c r="F282" s="335"/>
      <c r="G282" s="335"/>
      <c r="H282" s="335"/>
      <c r="I282" s="335"/>
      <c r="J282" s="335"/>
      <c r="K282" s="335"/>
      <c r="L282" s="333"/>
      <c r="M282" s="329" t="s">
        <v>1477</v>
      </c>
      <c r="N282" s="329" t="s">
        <v>378</v>
      </c>
      <c r="O282" s="329" t="s">
        <v>378</v>
      </c>
      <c r="P282" s="329" t="s">
        <v>378</v>
      </c>
      <c r="Q282" s="329" t="s">
        <v>1105</v>
      </c>
      <c r="R282" s="329" t="s">
        <v>1105</v>
      </c>
      <c r="S282" s="329" t="s">
        <v>1104</v>
      </c>
      <c r="AQ282" s="329" t="s">
        <v>1420</v>
      </c>
      <c r="AR282" s="329" t="s">
        <v>378</v>
      </c>
      <c r="AT282" s="329" t="s">
        <v>1478</v>
      </c>
      <c r="AU282" s="330">
        <v>5996</v>
      </c>
    </row>
    <row r="283" spans="1:47" ht="30" customHeight="1">
      <c r="A283" s="333"/>
      <c r="B283" s="333"/>
      <c r="C283" s="333"/>
      <c r="D283" s="334"/>
      <c r="E283" s="335"/>
      <c r="F283" s="335"/>
      <c r="G283" s="335"/>
      <c r="H283" s="335"/>
      <c r="I283" s="335"/>
      <c r="J283" s="335"/>
      <c r="K283" s="335"/>
      <c r="L283" s="333"/>
      <c r="M283" s="329" t="s">
        <v>1479</v>
      </c>
      <c r="N283" s="329" t="s">
        <v>378</v>
      </c>
      <c r="O283" s="329" t="s">
        <v>378</v>
      </c>
      <c r="P283" s="329" t="s">
        <v>378</v>
      </c>
      <c r="Q283" s="329" t="s">
        <v>1105</v>
      </c>
      <c r="R283" s="329" t="s">
        <v>1105</v>
      </c>
      <c r="S283" s="329" t="s">
        <v>1104</v>
      </c>
      <c r="AQ283" s="329" t="s">
        <v>1420</v>
      </c>
      <c r="AR283" s="329" t="s">
        <v>378</v>
      </c>
      <c r="AT283" s="329" t="s">
        <v>1480</v>
      </c>
      <c r="AU283" s="330">
        <v>5997</v>
      </c>
    </row>
    <row r="284" spans="1:47" ht="30" customHeight="1">
      <c r="A284" s="333"/>
      <c r="B284" s="333"/>
      <c r="C284" s="333"/>
      <c r="D284" s="334"/>
      <c r="E284" s="335"/>
      <c r="F284" s="335"/>
      <c r="G284" s="335"/>
      <c r="H284" s="335"/>
      <c r="I284" s="335"/>
      <c r="J284" s="335"/>
      <c r="K284" s="335"/>
      <c r="L284" s="333"/>
      <c r="M284" s="329" t="s">
        <v>1481</v>
      </c>
      <c r="N284" s="329" t="s">
        <v>378</v>
      </c>
      <c r="O284" s="329" t="s">
        <v>378</v>
      </c>
      <c r="P284" s="329" t="s">
        <v>378</v>
      </c>
      <c r="Q284" s="329" t="s">
        <v>1105</v>
      </c>
      <c r="R284" s="329" t="s">
        <v>1105</v>
      </c>
      <c r="S284" s="329" t="s">
        <v>1104</v>
      </c>
      <c r="AQ284" s="329" t="s">
        <v>1420</v>
      </c>
      <c r="AR284" s="329" t="s">
        <v>378</v>
      </c>
      <c r="AT284" s="329" t="s">
        <v>1482</v>
      </c>
      <c r="AU284" s="330">
        <v>5998</v>
      </c>
    </row>
    <row r="285" spans="1:47" ht="30" customHeight="1">
      <c r="A285" s="333"/>
      <c r="B285" s="333"/>
      <c r="C285" s="333"/>
      <c r="D285" s="334"/>
      <c r="E285" s="335"/>
      <c r="F285" s="335"/>
      <c r="G285" s="335"/>
      <c r="H285" s="335"/>
      <c r="I285" s="335"/>
      <c r="J285" s="335"/>
      <c r="K285" s="335"/>
      <c r="L285" s="333"/>
      <c r="M285" s="329" t="s">
        <v>1483</v>
      </c>
      <c r="N285" s="329" t="s">
        <v>378</v>
      </c>
      <c r="O285" s="329" t="s">
        <v>378</v>
      </c>
      <c r="P285" s="329" t="s">
        <v>1439</v>
      </c>
      <c r="Q285" s="329" t="s">
        <v>1105</v>
      </c>
      <c r="R285" s="329" t="s">
        <v>1105</v>
      </c>
      <c r="S285" s="329" t="s">
        <v>1104</v>
      </c>
      <c r="AQ285" s="329" t="s">
        <v>378</v>
      </c>
      <c r="AR285" s="329" t="s">
        <v>378</v>
      </c>
      <c r="AT285" s="329" t="s">
        <v>1484</v>
      </c>
      <c r="AU285" s="330">
        <v>6036</v>
      </c>
    </row>
    <row r="286" spans="1:47" ht="30" customHeight="1">
      <c r="A286" s="334"/>
      <c r="B286" s="334"/>
      <c r="C286" s="334"/>
      <c r="D286" s="334"/>
      <c r="E286" s="334"/>
      <c r="F286" s="334"/>
      <c r="G286" s="334"/>
      <c r="H286" s="334"/>
      <c r="I286" s="334"/>
      <c r="J286" s="334"/>
      <c r="K286" s="334"/>
      <c r="L286" s="334"/>
    </row>
    <row r="287" spans="1:47" ht="30" customHeight="1">
      <c r="A287" s="334"/>
      <c r="B287" s="334"/>
      <c r="C287" s="334"/>
      <c r="D287" s="334"/>
      <c r="E287" s="334"/>
      <c r="F287" s="334"/>
      <c r="G287" s="334"/>
      <c r="H287" s="334"/>
      <c r="I287" s="334"/>
      <c r="J287" s="334"/>
      <c r="K287" s="342"/>
      <c r="L287" s="334"/>
    </row>
    <row r="288" spans="1:47" ht="30" customHeight="1">
      <c r="A288" s="334"/>
      <c r="B288" s="343"/>
      <c r="C288" s="334"/>
      <c r="D288" s="334"/>
      <c r="E288" s="334"/>
      <c r="F288" s="334"/>
      <c r="G288" s="334"/>
      <c r="H288" s="334"/>
      <c r="I288" s="334"/>
      <c r="J288" s="334"/>
      <c r="K288" s="342"/>
      <c r="L288" s="334"/>
    </row>
    <row r="289" spans="1:13" ht="30" customHeight="1">
      <c r="A289" s="334"/>
      <c r="B289" s="334"/>
      <c r="C289" s="334"/>
      <c r="D289" s="334"/>
      <c r="E289" s="334"/>
      <c r="F289" s="334"/>
      <c r="G289" s="334"/>
      <c r="H289" s="334"/>
      <c r="I289" s="334"/>
      <c r="J289" s="334"/>
      <c r="K289" s="342"/>
      <c r="L289" s="334"/>
    </row>
    <row r="290" spans="1:13" ht="30" customHeight="1">
      <c r="A290" s="334"/>
      <c r="B290" s="334"/>
      <c r="C290" s="334"/>
      <c r="D290" s="334"/>
      <c r="E290" s="334"/>
      <c r="F290" s="334"/>
      <c r="G290" s="334"/>
      <c r="H290" s="334"/>
      <c r="I290" s="334"/>
      <c r="J290" s="334"/>
      <c r="K290" s="334"/>
      <c r="L290" s="334"/>
    </row>
    <row r="291" spans="1:13" ht="30" customHeight="1">
      <c r="A291" s="334"/>
      <c r="B291" s="334"/>
      <c r="C291" s="334"/>
      <c r="D291" s="334"/>
      <c r="E291" s="334"/>
      <c r="F291" s="334"/>
      <c r="G291" s="334"/>
      <c r="H291" s="334"/>
      <c r="I291" s="334"/>
      <c r="J291" s="334"/>
      <c r="K291" s="334"/>
      <c r="L291" s="334"/>
    </row>
    <row r="292" spans="1:13" ht="30" customHeight="1">
      <c r="A292" s="333" t="s">
        <v>1196</v>
      </c>
      <c r="B292" s="334"/>
      <c r="C292" s="334"/>
      <c r="D292" s="334"/>
      <c r="E292" s="334"/>
      <c r="F292" s="335"/>
      <c r="G292" s="334"/>
      <c r="H292" s="335">
        <f>SUM(H270:H291) -H270-H271-H272-H273-H274-H275-H276-H277-H278-H279-H280-H281-H282-H283-H284</f>
        <v>0</v>
      </c>
      <c r="I292" s="334"/>
      <c r="J292" s="335">
        <f>SUM(J270:J291) -J270-J271-J272-J273-J274-J275-J276-J277-J278-J279-J280-J281-J282-J283-J284</f>
        <v>0</v>
      </c>
      <c r="K292" s="335">
        <f>K270</f>
        <v>179032531</v>
      </c>
      <c r="L292" s="334"/>
      <c r="M292" s="330" t="s">
        <v>1197</v>
      </c>
    </row>
  </sheetData>
  <mergeCells count="44">
    <mergeCell ref="R2:R3"/>
    <mergeCell ref="A1:L1"/>
    <mergeCell ref="A2:A3"/>
    <mergeCell ref="B2:B3"/>
    <mergeCell ref="C2:C3"/>
    <mergeCell ref="D2:D3"/>
    <mergeCell ref="E2:F2"/>
    <mergeCell ref="G2:H2"/>
    <mergeCell ref="I2:J2"/>
    <mergeCell ref="L2:L3"/>
    <mergeCell ref="M2:M3"/>
    <mergeCell ref="N2:N3"/>
    <mergeCell ref="O2:O3"/>
    <mergeCell ref="P2:P3"/>
    <mergeCell ref="Q2:Q3"/>
    <mergeCell ref="AD2:AD3"/>
    <mergeCell ref="S2:S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P2:AP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Q2:AQ3"/>
    <mergeCell ref="AR2:AR3"/>
    <mergeCell ref="AS2:AS3"/>
    <mergeCell ref="AT2:AT3"/>
    <mergeCell ref="AU2:AU3"/>
  </mergeCells>
  <phoneticPr fontId="1" type="noConversion"/>
  <pageMargins left="0.78740157480314954" right="0" top="0.39370078740157477" bottom="0.39370078740157477" header="0" footer="0"/>
  <pageSetup paperSize="9" scale="69" fitToHeight="0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FD062-90F4-4CDE-B765-6A0DB2C29AB2}">
  <dimension ref="A1:AG227"/>
  <sheetViews>
    <sheetView showZeros="0" view="pageBreakPreview" topLeftCell="C1" zoomScaleNormal="100" zoomScaleSheetLayoutView="100" workbookViewId="0">
      <selection activeCell="E25" sqref="E25"/>
    </sheetView>
  </sheetViews>
  <sheetFormatPr defaultRowHeight="16.5"/>
  <cols>
    <col min="1" max="1" width="10.25" style="344" hidden="1" customWidth="1"/>
    <col min="2" max="2" width="11.125" style="344" hidden="1" customWidth="1"/>
    <col min="3" max="3" width="14.375" style="359" customWidth="1"/>
    <col min="4" max="4" width="26" style="359" customWidth="1"/>
    <col min="5" max="5" width="26.75" style="359" customWidth="1"/>
    <col min="6" max="6" width="5.25" style="345" customWidth="1"/>
    <col min="7" max="7" width="7.25" style="345" hidden="1" customWidth="1"/>
    <col min="8" max="9" width="12.625" style="360" customWidth="1"/>
    <col min="10" max="10" width="5.625" style="360" hidden="1" customWidth="1"/>
    <col min="11" max="13" width="12.625" style="360" customWidth="1"/>
    <col min="14" max="14" width="12.5" style="360" customWidth="1"/>
    <col min="15" max="15" width="11" style="360" hidden="1" customWidth="1"/>
    <col min="16" max="16" width="12.625" style="360" customWidth="1"/>
    <col min="17" max="17" width="13.75" style="345" customWidth="1"/>
    <col min="18" max="16384" width="9" style="345"/>
  </cols>
  <sheetData>
    <row r="1" spans="1:17" s="347" customFormat="1" ht="23.1" customHeight="1">
      <c r="A1" s="344"/>
      <c r="B1" s="344" t="s">
        <v>1487</v>
      </c>
      <c r="C1" s="708" t="s">
        <v>1488</v>
      </c>
      <c r="D1" s="709"/>
      <c r="E1" s="709"/>
      <c r="F1" s="709"/>
      <c r="G1" s="709"/>
      <c r="H1" s="709"/>
      <c r="I1" s="709"/>
      <c r="J1" s="709"/>
      <c r="K1" s="709"/>
      <c r="L1" s="709"/>
      <c r="M1" s="709"/>
      <c r="N1" s="709"/>
      <c r="O1" s="346"/>
      <c r="P1" s="346"/>
      <c r="Q1" s="344"/>
    </row>
    <row r="2" spans="1:17" s="352" customFormat="1" ht="23.1" customHeight="1">
      <c r="A2" s="710" t="s">
        <v>194</v>
      </c>
      <c r="B2" s="710" t="s">
        <v>196</v>
      </c>
      <c r="C2" s="707" t="s">
        <v>570</v>
      </c>
      <c r="D2" s="707" t="s">
        <v>571</v>
      </c>
      <c r="E2" s="707" t="s">
        <v>572</v>
      </c>
      <c r="F2" s="711" t="s">
        <v>199</v>
      </c>
      <c r="G2" s="712" t="s">
        <v>200</v>
      </c>
      <c r="H2" s="706" t="s">
        <v>201</v>
      </c>
      <c r="I2" s="706"/>
      <c r="J2" s="706" t="s">
        <v>202</v>
      </c>
      <c r="K2" s="706"/>
      <c r="L2" s="706"/>
      <c r="M2" s="706" t="s">
        <v>203</v>
      </c>
      <c r="N2" s="706"/>
      <c r="O2" s="351" t="s">
        <v>204</v>
      </c>
      <c r="P2" s="706" t="s">
        <v>204</v>
      </c>
      <c r="Q2" s="707" t="s">
        <v>576</v>
      </c>
    </row>
    <row r="3" spans="1:17" s="352" customFormat="1" ht="23.1" customHeight="1">
      <c r="A3" s="710"/>
      <c r="B3" s="710"/>
      <c r="C3" s="707"/>
      <c r="D3" s="707"/>
      <c r="E3" s="707"/>
      <c r="F3" s="711"/>
      <c r="G3" s="712"/>
      <c r="H3" s="351" t="s">
        <v>206</v>
      </c>
      <c r="I3" s="351" t="s">
        <v>207</v>
      </c>
      <c r="J3" s="351" t="s">
        <v>200</v>
      </c>
      <c r="K3" s="351" t="s">
        <v>206</v>
      </c>
      <c r="L3" s="351" t="s">
        <v>207</v>
      </c>
      <c r="M3" s="351" t="s">
        <v>206</v>
      </c>
      <c r="N3" s="351" t="s">
        <v>207</v>
      </c>
      <c r="O3" s="351" t="s">
        <v>206</v>
      </c>
      <c r="P3" s="706"/>
      <c r="Q3" s="707"/>
    </row>
    <row r="4" spans="1:17" s="347" customFormat="1" ht="23.1" customHeight="1">
      <c r="A4" s="344" t="s">
        <v>855</v>
      </c>
      <c r="B4" s="344" t="s">
        <v>855</v>
      </c>
      <c r="C4" s="353" t="s">
        <v>1489</v>
      </c>
      <c r="D4" s="354" t="s">
        <v>413</v>
      </c>
      <c r="E4" s="354" t="s">
        <v>443</v>
      </c>
      <c r="F4" s="355" t="s">
        <v>280</v>
      </c>
      <c r="G4" s="356"/>
      <c r="H4" s="357">
        <f>일위대가!I12</f>
        <v>1515</v>
      </c>
      <c r="I4" s="357">
        <f t="shared" ref="I4:I67" si="0">H4</f>
        <v>1515</v>
      </c>
      <c r="J4" s="357"/>
      <c r="K4" s="357">
        <f>일위대가!L12</f>
        <v>8253</v>
      </c>
      <c r="L4" s="357">
        <f t="shared" ref="L4:L67" si="1">K4</f>
        <v>8253</v>
      </c>
      <c r="M4" s="357">
        <f>일위대가!N12</f>
        <v>0</v>
      </c>
      <c r="N4" s="357">
        <f t="shared" ref="N4:N67" si="2">M4</f>
        <v>0</v>
      </c>
      <c r="O4" s="357">
        <f t="shared" ref="O4:O67" si="3">IF((H4+K4+M4)=0, "", (H4+K4+M4))</f>
        <v>9768</v>
      </c>
      <c r="P4" s="357">
        <f t="shared" ref="P4:P67" si="4">SUM(I4,L4,N4)</f>
        <v>9768</v>
      </c>
      <c r="Q4" s="354" t="s">
        <v>1490</v>
      </c>
    </row>
    <row r="5" spans="1:17" s="347" customFormat="1" ht="23.1" customHeight="1">
      <c r="A5" s="344" t="s">
        <v>1491</v>
      </c>
      <c r="B5" s="344" t="s">
        <v>1491</v>
      </c>
      <c r="C5" s="353" t="s">
        <v>1492</v>
      </c>
      <c r="D5" s="354" t="s">
        <v>413</v>
      </c>
      <c r="E5" s="354" t="s">
        <v>414</v>
      </c>
      <c r="F5" s="355" t="s">
        <v>280</v>
      </c>
      <c r="G5" s="356"/>
      <c r="H5" s="357">
        <f>일위대가!I22</f>
        <v>1548</v>
      </c>
      <c r="I5" s="357">
        <f t="shared" si="0"/>
        <v>1548</v>
      </c>
      <c r="J5" s="357"/>
      <c r="K5" s="357">
        <f>일위대가!L22</f>
        <v>8253</v>
      </c>
      <c r="L5" s="357">
        <f t="shared" si="1"/>
        <v>8253</v>
      </c>
      <c r="M5" s="357">
        <f>일위대가!N22</f>
        <v>0</v>
      </c>
      <c r="N5" s="357">
        <f t="shared" si="2"/>
        <v>0</v>
      </c>
      <c r="O5" s="357">
        <f t="shared" si="3"/>
        <v>9801</v>
      </c>
      <c r="P5" s="357">
        <f t="shared" si="4"/>
        <v>9801</v>
      </c>
      <c r="Q5" s="354" t="s">
        <v>1493</v>
      </c>
    </row>
    <row r="6" spans="1:17" s="347" customFormat="1" ht="23.1" customHeight="1">
      <c r="A6" s="344" t="s">
        <v>1494</v>
      </c>
      <c r="B6" s="344" t="s">
        <v>1494</v>
      </c>
      <c r="C6" s="353" t="s">
        <v>1495</v>
      </c>
      <c r="D6" s="354" t="s">
        <v>413</v>
      </c>
      <c r="E6" s="354" t="s">
        <v>415</v>
      </c>
      <c r="F6" s="355" t="s">
        <v>280</v>
      </c>
      <c r="G6" s="356"/>
      <c r="H6" s="357">
        <f>일위대가!I32</f>
        <v>2334</v>
      </c>
      <c r="I6" s="357">
        <f t="shared" si="0"/>
        <v>2334</v>
      </c>
      <c r="J6" s="357"/>
      <c r="K6" s="357">
        <f>일위대가!L32</f>
        <v>8253</v>
      </c>
      <c r="L6" s="357">
        <f t="shared" si="1"/>
        <v>8253</v>
      </c>
      <c r="M6" s="357">
        <f>일위대가!N32</f>
        <v>0</v>
      </c>
      <c r="N6" s="357">
        <f t="shared" si="2"/>
        <v>0</v>
      </c>
      <c r="O6" s="357">
        <f t="shared" si="3"/>
        <v>10587</v>
      </c>
      <c r="P6" s="357">
        <f t="shared" si="4"/>
        <v>10587</v>
      </c>
      <c r="Q6" s="354"/>
    </row>
    <row r="7" spans="1:17" s="347" customFormat="1" ht="23.1" customHeight="1">
      <c r="A7" s="344" t="s">
        <v>1496</v>
      </c>
      <c r="B7" s="344" t="s">
        <v>1496</v>
      </c>
      <c r="C7" s="353" t="s">
        <v>1497</v>
      </c>
      <c r="D7" s="354" t="s">
        <v>356</v>
      </c>
      <c r="E7" s="354" t="s">
        <v>357</v>
      </c>
      <c r="F7" s="355" t="s">
        <v>280</v>
      </c>
      <c r="G7" s="356"/>
      <c r="H7" s="357">
        <f>일위대가!I47</f>
        <v>592735</v>
      </c>
      <c r="I7" s="357">
        <f t="shared" si="0"/>
        <v>592735</v>
      </c>
      <c r="J7" s="357"/>
      <c r="K7" s="357">
        <f>일위대가!L47</f>
        <v>445385</v>
      </c>
      <c r="L7" s="357">
        <f t="shared" si="1"/>
        <v>445385</v>
      </c>
      <c r="M7" s="357">
        <f>일위대가!N47</f>
        <v>45539</v>
      </c>
      <c r="N7" s="357">
        <f t="shared" si="2"/>
        <v>45539</v>
      </c>
      <c r="O7" s="357">
        <f t="shared" si="3"/>
        <v>1083659</v>
      </c>
      <c r="P7" s="357">
        <f t="shared" si="4"/>
        <v>1083659</v>
      </c>
      <c r="Q7" s="354"/>
    </row>
    <row r="8" spans="1:17" s="347" customFormat="1" ht="23.1" customHeight="1">
      <c r="A8" s="344" t="s">
        <v>1498</v>
      </c>
      <c r="B8" s="344" t="s">
        <v>1498</v>
      </c>
      <c r="C8" s="353" t="s">
        <v>1499</v>
      </c>
      <c r="D8" s="354" t="s">
        <v>416</v>
      </c>
      <c r="E8" s="354" t="s">
        <v>417</v>
      </c>
      <c r="F8" s="355" t="s">
        <v>280</v>
      </c>
      <c r="G8" s="356"/>
      <c r="H8" s="357">
        <f>일위대가!I58</f>
        <v>46799</v>
      </c>
      <c r="I8" s="357">
        <f t="shared" si="0"/>
        <v>46799</v>
      </c>
      <c r="J8" s="357"/>
      <c r="K8" s="357">
        <f>일위대가!L58</f>
        <v>112041</v>
      </c>
      <c r="L8" s="357">
        <f t="shared" si="1"/>
        <v>112041</v>
      </c>
      <c r="M8" s="357">
        <f>일위대가!N58</f>
        <v>2512</v>
      </c>
      <c r="N8" s="357">
        <f t="shared" si="2"/>
        <v>2512</v>
      </c>
      <c r="O8" s="357">
        <f t="shared" si="3"/>
        <v>161352</v>
      </c>
      <c r="P8" s="357">
        <f t="shared" si="4"/>
        <v>161352</v>
      </c>
      <c r="Q8" s="354"/>
    </row>
    <row r="9" spans="1:17" s="347" customFormat="1" ht="23.1" customHeight="1">
      <c r="A9" s="344" t="s">
        <v>661</v>
      </c>
      <c r="B9" s="344" t="s">
        <v>661</v>
      </c>
      <c r="C9" s="353" t="s">
        <v>1500</v>
      </c>
      <c r="D9" s="354" t="s">
        <v>278</v>
      </c>
      <c r="E9" s="354" t="s">
        <v>279</v>
      </c>
      <c r="F9" s="355" t="s">
        <v>280</v>
      </c>
      <c r="G9" s="356"/>
      <c r="H9" s="357">
        <f>일위대가!I67</f>
        <v>128594</v>
      </c>
      <c r="I9" s="357">
        <f t="shared" si="0"/>
        <v>128594</v>
      </c>
      <c r="J9" s="357"/>
      <c r="K9" s="357">
        <f>일위대가!L67</f>
        <v>55147</v>
      </c>
      <c r="L9" s="357">
        <f t="shared" si="1"/>
        <v>55147</v>
      </c>
      <c r="M9" s="357">
        <f>일위대가!N67</f>
        <v>4818</v>
      </c>
      <c r="N9" s="357">
        <f t="shared" si="2"/>
        <v>4818</v>
      </c>
      <c r="O9" s="357">
        <f t="shared" si="3"/>
        <v>188559</v>
      </c>
      <c r="P9" s="357">
        <f t="shared" si="4"/>
        <v>188559</v>
      </c>
      <c r="Q9" s="354"/>
    </row>
    <row r="10" spans="1:17" s="347" customFormat="1" ht="23.1" customHeight="1">
      <c r="A10" s="344" t="s">
        <v>1501</v>
      </c>
      <c r="B10" s="344" t="s">
        <v>1501</v>
      </c>
      <c r="C10" s="353" t="s">
        <v>1502</v>
      </c>
      <c r="D10" s="354" t="s">
        <v>281</v>
      </c>
      <c r="E10" s="354" t="s">
        <v>282</v>
      </c>
      <c r="F10" s="355" t="s">
        <v>280</v>
      </c>
      <c r="G10" s="356"/>
      <c r="H10" s="357">
        <f>일위대가!I73</f>
        <v>8287</v>
      </c>
      <c r="I10" s="357">
        <f t="shared" si="0"/>
        <v>8287</v>
      </c>
      <c r="J10" s="357"/>
      <c r="K10" s="357">
        <f>일위대가!L73</f>
        <v>90382</v>
      </c>
      <c r="L10" s="357">
        <f t="shared" si="1"/>
        <v>90382</v>
      </c>
      <c r="M10" s="357">
        <f>일위대가!N73</f>
        <v>24982</v>
      </c>
      <c r="N10" s="357">
        <f t="shared" si="2"/>
        <v>24982</v>
      </c>
      <c r="O10" s="357">
        <f t="shared" si="3"/>
        <v>123651</v>
      </c>
      <c r="P10" s="357">
        <f t="shared" si="4"/>
        <v>123651</v>
      </c>
      <c r="Q10" s="354"/>
    </row>
    <row r="11" spans="1:17" s="347" customFormat="1" ht="23.1" customHeight="1">
      <c r="A11" s="344" t="s">
        <v>1503</v>
      </c>
      <c r="B11" s="344" t="s">
        <v>1503</v>
      </c>
      <c r="C11" s="353" t="s">
        <v>1504</v>
      </c>
      <c r="D11" s="354" t="s">
        <v>283</v>
      </c>
      <c r="E11" s="354" t="s">
        <v>284</v>
      </c>
      <c r="F11" s="355" t="s">
        <v>280</v>
      </c>
      <c r="G11" s="356"/>
      <c r="H11" s="357">
        <f>일위대가!I82</f>
        <v>90884</v>
      </c>
      <c r="I11" s="357">
        <f t="shared" si="0"/>
        <v>90884</v>
      </c>
      <c r="J11" s="357"/>
      <c r="K11" s="357">
        <f>일위대가!L82</f>
        <v>33485</v>
      </c>
      <c r="L11" s="357">
        <f t="shared" si="1"/>
        <v>33485</v>
      </c>
      <c r="M11" s="357">
        <f>일위대가!N82</f>
        <v>4818</v>
      </c>
      <c r="N11" s="357">
        <f t="shared" si="2"/>
        <v>4818</v>
      </c>
      <c r="O11" s="357">
        <f t="shared" si="3"/>
        <v>129187</v>
      </c>
      <c r="P11" s="357">
        <f t="shared" si="4"/>
        <v>129187</v>
      </c>
      <c r="Q11" s="354"/>
    </row>
    <row r="12" spans="1:17" s="347" customFormat="1" ht="23.1" customHeight="1">
      <c r="A12" s="344" t="s">
        <v>836</v>
      </c>
      <c r="B12" s="344" t="s">
        <v>836</v>
      </c>
      <c r="C12" s="353" t="s">
        <v>1505</v>
      </c>
      <c r="D12" s="354" t="s">
        <v>394</v>
      </c>
      <c r="E12" s="354" t="s">
        <v>436</v>
      </c>
      <c r="F12" s="355" t="s">
        <v>255</v>
      </c>
      <c r="G12" s="356"/>
      <c r="H12" s="357">
        <f>일위대가!I90</f>
        <v>2968</v>
      </c>
      <c r="I12" s="357">
        <f t="shared" si="0"/>
        <v>2968</v>
      </c>
      <c r="J12" s="357"/>
      <c r="K12" s="357">
        <f>일위대가!L90</f>
        <v>25217</v>
      </c>
      <c r="L12" s="357">
        <f t="shared" si="1"/>
        <v>25217</v>
      </c>
      <c r="M12" s="357">
        <f>일위대가!N90</f>
        <v>0</v>
      </c>
      <c r="N12" s="357">
        <f t="shared" si="2"/>
        <v>0</v>
      </c>
      <c r="O12" s="357">
        <f t="shared" si="3"/>
        <v>28185</v>
      </c>
      <c r="P12" s="357">
        <f t="shared" si="4"/>
        <v>28185</v>
      </c>
      <c r="Q12" s="354"/>
    </row>
    <row r="13" spans="1:17" s="347" customFormat="1" ht="23.1" customHeight="1">
      <c r="A13" s="344" t="s">
        <v>1506</v>
      </c>
      <c r="B13" s="344" t="s">
        <v>1506</v>
      </c>
      <c r="C13" s="353" t="s">
        <v>1507</v>
      </c>
      <c r="D13" s="354" t="s">
        <v>394</v>
      </c>
      <c r="E13" s="354" t="s">
        <v>393</v>
      </c>
      <c r="F13" s="355" t="s">
        <v>255</v>
      </c>
      <c r="G13" s="356"/>
      <c r="H13" s="357">
        <f>일위대가!I98</f>
        <v>4998</v>
      </c>
      <c r="I13" s="357">
        <f t="shared" si="0"/>
        <v>4998</v>
      </c>
      <c r="J13" s="357"/>
      <c r="K13" s="357">
        <f>일위대가!L98</f>
        <v>45850</v>
      </c>
      <c r="L13" s="357">
        <f t="shared" si="1"/>
        <v>45850</v>
      </c>
      <c r="M13" s="357">
        <f>일위대가!N98</f>
        <v>0</v>
      </c>
      <c r="N13" s="357">
        <f t="shared" si="2"/>
        <v>0</v>
      </c>
      <c r="O13" s="357">
        <f t="shared" si="3"/>
        <v>50848</v>
      </c>
      <c r="P13" s="357">
        <f t="shared" si="4"/>
        <v>50848</v>
      </c>
      <c r="Q13" s="354"/>
    </row>
    <row r="14" spans="1:17" s="347" customFormat="1" ht="23.1" customHeight="1">
      <c r="A14" s="344" t="s">
        <v>1508</v>
      </c>
      <c r="B14" s="344" t="s">
        <v>1508</v>
      </c>
      <c r="C14" s="353" t="s">
        <v>1509</v>
      </c>
      <c r="D14" s="354" t="s">
        <v>394</v>
      </c>
      <c r="E14" s="354" t="s">
        <v>395</v>
      </c>
      <c r="F14" s="355" t="s">
        <v>255</v>
      </c>
      <c r="G14" s="356"/>
      <c r="H14" s="357">
        <f>일위대가!I106</f>
        <v>18742</v>
      </c>
      <c r="I14" s="357">
        <f t="shared" si="0"/>
        <v>18742</v>
      </c>
      <c r="J14" s="357"/>
      <c r="K14" s="357">
        <f>일위대가!L106</f>
        <v>162769</v>
      </c>
      <c r="L14" s="357">
        <f t="shared" si="1"/>
        <v>162769</v>
      </c>
      <c r="M14" s="357">
        <f>일위대가!N106</f>
        <v>0</v>
      </c>
      <c r="N14" s="357">
        <f t="shared" si="2"/>
        <v>0</v>
      </c>
      <c r="O14" s="357">
        <f t="shared" si="3"/>
        <v>181511</v>
      </c>
      <c r="P14" s="357">
        <f t="shared" si="4"/>
        <v>181511</v>
      </c>
      <c r="Q14" s="354"/>
    </row>
    <row r="15" spans="1:17" s="347" customFormat="1" ht="23.1" customHeight="1">
      <c r="A15" s="344" t="s">
        <v>934</v>
      </c>
      <c r="B15" s="344" t="s">
        <v>934</v>
      </c>
      <c r="C15" s="353" t="s">
        <v>1510</v>
      </c>
      <c r="D15" s="354" t="s">
        <v>511</v>
      </c>
      <c r="E15" s="354" t="s">
        <v>436</v>
      </c>
      <c r="F15" s="355" t="s">
        <v>255</v>
      </c>
      <c r="G15" s="356"/>
      <c r="H15" s="357">
        <f>일위대가!I114</f>
        <v>3069</v>
      </c>
      <c r="I15" s="357">
        <f t="shared" si="0"/>
        <v>3069</v>
      </c>
      <c r="J15" s="357"/>
      <c r="K15" s="357">
        <f>일위대가!L114</f>
        <v>30261</v>
      </c>
      <c r="L15" s="357">
        <f t="shared" si="1"/>
        <v>30261</v>
      </c>
      <c r="M15" s="357">
        <f>일위대가!N114</f>
        <v>0</v>
      </c>
      <c r="N15" s="357">
        <f t="shared" si="2"/>
        <v>0</v>
      </c>
      <c r="O15" s="357">
        <f t="shared" si="3"/>
        <v>33330</v>
      </c>
      <c r="P15" s="357">
        <f t="shared" si="4"/>
        <v>33330</v>
      </c>
      <c r="Q15" s="354"/>
    </row>
    <row r="16" spans="1:17" s="347" customFormat="1" ht="23.1" customHeight="1">
      <c r="A16" s="344" t="s">
        <v>1511</v>
      </c>
      <c r="B16" s="344" t="s">
        <v>1511</v>
      </c>
      <c r="C16" s="353" t="s">
        <v>1512</v>
      </c>
      <c r="D16" s="354" t="s">
        <v>344</v>
      </c>
      <c r="E16" s="354" t="s">
        <v>532</v>
      </c>
      <c r="F16" s="355" t="s">
        <v>255</v>
      </c>
      <c r="G16" s="356"/>
      <c r="H16" s="357">
        <f>일위대가!I122</f>
        <v>495</v>
      </c>
      <c r="I16" s="357">
        <f t="shared" si="0"/>
        <v>495</v>
      </c>
      <c r="J16" s="357"/>
      <c r="K16" s="357">
        <f>일위대가!L122</f>
        <v>11462</v>
      </c>
      <c r="L16" s="357">
        <f t="shared" si="1"/>
        <v>11462</v>
      </c>
      <c r="M16" s="357">
        <f>일위대가!N122</f>
        <v>0</v>
      </c>
      <c r="N16" s="357">
        <f t="shared" si="2"/>
        <v>0</v>
      </c>
      <c r="O16" s="357">
        <f t="shared" si="3"/>
        <v>11957</v>
      </c>
      <c r="P16" s="357">
        <f t="shared" si="4"/>
        <v>11957</v>
      </c>
      <c r="Q16" s="354"/>
    </row>
    <row r="17" spans="1:17" s="347" customFormat="1" ht="23.1" customHeight="1">
      <c r="A17" s="344" t="s">
        <v>1513</v>
      </c>
      <c r="B17" s="344" t="s">
        <v>1513</v>
      </c>
      <c r="C17" s="353" t="s">
        <v>1514</v>
      </c>
      <c r="D17" s="354" t="s">
        <v>344</v>
      </c>
      <c r="E17" s="354" t="s">
        <v>533</v>
      </c>
      <c r="F17" s="355" t="s">
        <v>255</v>
      </c>
      <c r="G17" s="356"/>
      <c r="H17" s="357">
        <f>일위대가!I130</f>
        <v>994</v>
      </c>
      <c r="I17" s="357">
        <f t="shared" si="0"/>
        <v>994</v>
      </c>
      <c r="J17" s="357"/>
      <c r="K17" s="357">
        <f>일위대가!L130</f>
        <v>18340</v>
      </c>
      <c r="L17" s="357">
        <f t="shared" si="1"/>
        <v>18340</v>
      </c>
      <c r="M17" s="357">
        <f>일위대가!N130</f>
        <v>0</v>
      </c>
      <c r="N17" s="357">
        <f t="shared" si="2"/>
        <v>0</v>
      </c>
      <c r="O17" s="357">
        <f t="shared" si="3"/>
        <v>19334</v>
      </c>
      <c r="P17" s="357">
        <f t="shared" si="4"/>
        <v>19334</v>
      </c>
      <c r="Q17" s="354"/>
    </row>
    <row r="18" spans="1:17" s="347" customFormat="1" ht="23.1" customHeight="1">
      <c r="A18" s="344" t="s">
        <v>1515</v>
      </c>
      <c r="B18" s="344" t="s">
        <v>1515</v>
      </c>
      <c r="C18" s="353" t="s">
        <v>1516</v>
      </c>
      <c r="D18" s="354" t="s">
        <v>344</v>
      </c>
      <c r="E18" s="354" t="s">
        <v>345</v>
      </c>
      <c r="F18" s="355" t="s">
        <v>255</v>
      </c>
      <c r="G18" s="356"/>
      <c r="H18" s="357">
        <f>일위대가!I138</f>
        <v>1249</v>
      </c>
      <c r="I18" s="357">
        <f t="shared" si="0"/>
        <v>1249</v>
      </c>
      <c r="J18" s="357"/>
      <c r="K18" s="357">
        <f>일위대가!L138</f>
        <v>22925</v>
      </c>
      <c r="L18" s="357">
        <f t="shared" si="1"/>
        <v>22925</v>
      </c>
      <c r="M18" s="357">
        <f>일위대가!N138</f>
        <v>0</v>
      </c>
      <c r="N18" s="357">
        <f t="shared" si="2"/>
        <v>0</v>
      </c>
      <c r="O18" s="357">
        <f t="shared" si="3"/>
        <v>24174</v>
      </c>
      <c r="P18" s="357">
        <f t="shared" si="4"/>
        <v>24174</v>
      </c>
      <c r="Q18" s="354"/>
    </row>
    <row r="19" spans="1:17" s="347" customFormat="1" ht="23.1" customHeight="1">
      <c r="A19" s="344" t="s">
        <v>1517</v>
      </c>
      <c r="B19" s="344" t="s">
        <v>1517</v>
      </c>
      <c r="C19" s="353" t="s">
        <v>1518</v>
      </c>
      <c r="D19" s="354" t="s">
        <v>344</v>
      </c>
      <c r="E19" s="354" t="s">
        <v>396</v>
      </c>
      <c r="F19" s="355" t="s">
        <v>255</v>
      </c>
      <c r="G19" s="356"/>
      <c r="H19" s="357">
        <f>일위대가!I146</f>
        <v>1564</v>
      </c>
      <c r="I19" s="357">
        <f t="shared" si="0"/>
        <v>1564</v>
      </c>
      <c r="J19" s="357"/>
      <c r="K19" s="357">
        <f>일위대가!L146</f>
        <v>29802</v>
      </c>
      <c r="L19" s="357">
        <f t="shared" si="1"/>
        <v>29802</v>
      </c>
      <c r="M19" s="357">
        <f>일위대가!N146</f>
        <v>0</v>
      </c>
      <c r="N19" s="357">
        <f t="shared" si="2"/>
        <v>0</v>
      </c>
      <c r="O19" s="357">
        <f t="shared" si="3"/>
        <v>31366</v>
      </c>
      <c r="P19" s="357">
        <f t="shared" si="4"/>
        <v>31366</v>
      </c>
      <c r="Q19" s="354"/>
    </row>
    <row r="20" spans="1:17" s="347" customFormat="1" ht="23.1" customHeight="1">
      <c r="A20" s="344" t="s">
        <v>594</v>
      </c>
      <c r="B20" s="344" t="s">
        <v>594</v>
      </c>
      <c r="C20" s="353" t="s">
        <v>1519</v>
      </c>
      <c r="D20" s="354" t="s">
        <v>344</v>
      </c>
      <c r="E20" s="354" t="s">
        <v>254</v>
      </c>
      <c r="F20" s="355" t="s">
        <v>255</v>
      </c>
      <c r="G20" s="356"/>
      <c r="H20" s="357">
        <f>일위대가!I154</f>
        <v>3224</v>
      </c>
      <c r="I20" s="357">
        <f t="shared" si="0"/>
        <v>3224</v>
      </c>
      <c r="J20" s="357"/>
      <c r="K20" s="357">
        <f>일위대가!L154</f>
        <v>64190</v>
      </c>
      <c r="L20" s="357">
        <f t="shared" si="1"/>
        <v>64190</v>
      </c>
      <c r="M20" s="357">
        <f>일위대가!N154</f>
        <v>0</v>
      </c>
      <c r="N20" s="357">
        <f t="shared" si="2"/>
        <v>0</v>
      </c>
      <c r="O20" s="357">
        <f t="shared" si="3"/>
        <v>67414</v>
      </c>
      <c r="P20" s="357">
        <f t="shared" si="4"/>
        <v>67414</v>
      </c>
      <c r="Q20" s="354"/>
    </row>
    <row r="21" spans="1:17" s="347" customFormat="1" ht="23.1" customHeight="1">
      <c r="A21" s="344" t="s">
        <v>1520</v>
      </c>
      <c r="B21" s="344" t="s">
        <v>1520</v>
      </c>
      <c r="C21" s="353" t="s">
        <v>1521</v>
      </c>
      <c r="D21" s="354" t="s">
        <v>344</v>
      </c>
      <c r="E21" s="354" t="s">
        <v>397</v>
      </c>
      <c r="F21" s="355" t="s">
        <v>255</v>
      </c>
      <c r="G21" s="356"/>
      <c r="H21" s="357">
        <f>일위대가!I162</f>
        <v>5938</v>
      </c>
      <c r="I21" s="357">
        <f t="shared" si="0"/>
        <v>5938</v>
      </c>
      <c r="J21" s="357"/>
      <c r="K21" s="357">
        <f>일위대가!L162</f>
        <v>105456</v>
      </c>
      <c r="L21" s="357">
        <f t="shared" si="1"/>
        <v>105456</v>
      </c>
      <c r="M21" s="357">
        <f>일위대가!N162</f>
        <v>0</v>
      </c>
      <c r="N21" s="357">
        <f t="shared" si="2"/>
        <v>0</v>
      </c>
      <c r="O21" s="357">
        <f t="shared" si="3"/>
        <v>111394</v>
      </c>
      <c r="P21" s="357">
        <f t="shared" si="4"/>
        <v>111394</v>
      </c>
      <c r="Q21" s="354"/>
    </row>
    <row r="22" spans="1:17" s="347" customFormat="1" ht="23.1" customHeight="1">
      <c r="A22" s="344" t="s">
        <v>841</v>
      </c>
      <c r="B22" s="344" t="s">
        <v>841</v>
      </c>
      <c r="C22" s="353" t="s">
        <v>1522</v>
      </c>
      <c r="D22" s="354" t="s">
        <v>437</v>
      </c>
      <c r="E22" s="354" t="s">
        <v>438</v>
      </c>
      <c r="F22" s="355" t="s">
        <v>1523</v>
      </c>
      <c r="G22" s="356"/>
      <c r="H22" s="357">
        <f>일위대가!I170</f>
        <v>528</v>
      </c>
      <c r="I22" s="357">
        <f t="shared" si="0"/>
        <v>528</v>
      </c>
      <c r="J22" s="357"/>
      <c r="K22" s="357">
        <f>일위대가!L170</f>
        <v>11004</v>
      </c>
      <c r="L22" s="357">
        <f t="shared" si="1"/>
        <v>11004</v>
      </c>
      <c r="M22" s="357">
        <f>일위대가!N170</f>
        <v>0</v>
      </c>
      <c r="N22" s="357">
        <f t="shared" si="2"/>
        <v>0</v>
      </c>
      <c r="O22" s="357">
        <f t="shared" si="3"/>
        <v>11532</v>
      </c>
      <c r="P22" s="357">
        <f t="shared" si="4"/>
        <v>11532</v>
      </c>
      <c r="Q22" s="354"/>
    </row>
    <row r="23" spans="1:17" s="347" customFormat="1" ht="23.1" customHeight="1">
      <c r="A23" s="344" t="s">
        <v>935</v>
      </c>
      <c r="B23" s="344" t="s">
        <v>935</v>
      </c>
      <c r="C23" s="353" t="s">
        <v>1524</v>
      </c>
      <c r="D23" s="354" t="s">
        <v>437</v>
      </c>
      <c r="E23" s="354" t="s">
        <v>445</v>
      </c>
      <c r="F23" s="355" t="s">
        <v>1523</v>
      </c>
      <c r="G23" s="356"/>
      <c r="H23" s="357">
        <f>일위대가!I178</f>
        <v>676</v>
      </c>
      <c r="I23" s="357">
        <f t="shared" si="0"/>
        <v>676</v>
      </c>
      <c r="J23" s="357"/>
      <c r="K23" s="357">
        <f>일위대가!L178</f>
        <v>14672</v>
      </c>
      <c r="L23" s="357">
        <f t="shared" si="1"/>
        <v>14672</v>
      </c>
      <c r="M23" s="357">
        <f>일위대가!N178</f>
        <v>0</v>
      </c>
      <c r="N23" s="357">
        <f t="shared" si="2"/>
        <v>0</v>
      </c>
      <c r="O23" s="357">
        <f t="shared" si="3"/>
        <v>15348</v>
      </c>
      <c r="P23" s="357">
        <f t="shared" si="4"/>
        <v>15348</v>
      </c>
      <c r="Q23" s="354"/>
    </row>
    <row r="24" spans="1:17" s="347" customFormat="1" ht="23.1" customHeight="1">
      <c r="A24" s="344" t="s">
        <v>1525</v>
      </c>
      <c r="B24" s="344" t="s">
        <v>1525</v>
      </c>
      <c r="C24" s="353" t="s">
        <v>1526</v>
      </c>
      <c r="D24" s="354" t="s">
        <v>256</v>
      </c>
      <c r="E24" s="354" t="s">
        <v>346</v>
      </c>
      <c r="F24" s="355" t="s">
        <v>255</v>
      </c>
      <c r="G24" s="356"/>
      <c r="H24" s="357">
        <f>일위대가!I187</f>
        <v>393</v>
      </c>
      <c r="I24" s="357">
        <f t="shared" si="0"/>
        <v>393</v>
      </c>
      <c r="J24" s="357"/>
      <c r="K24" s="357">
        <f>일위대가!L187</f>
        <v>3857</v>
      </c>
      <c r="L24" s="357">
        <f t="shared" si="1"/>
        <v>3857</v>
      </c>
      <c r="M24" s="357">
        <f>일위대가!N187</f>
        <v>0</v>
      </c>
      <c r="N24" s="357">
        <f t="shared" si="2"/>
        <v>0</v>
      </c>
      <c r="O24" s="357">
        <f t="shared" si="3"/>
        <v>4250</v>
      </c>
      <c r="P24" s="357">
        <f t="shared" si="4"/>
        <v>4250</v>
      </c>
      <c r="Q24" s="354"/>
    </row>
    <row r="25" spans="1:17" s="347" customFormat="1" ht="23.1" customHeight="1">
      <c r="A25" s="344" t="s">
        <v>1527</v>
      </c>
      <c r="B25" s="344" t="s">
        <v>1527</v>
      </c>
      <c r="C25" s="353" t="s">
        <v>1528</v>
      </c>
      <c r="D25" s="354" t="s">
        <v>256</v>
      </c>
      <c r="E25" s="354" t="s">
        <v>347</v>
      </c>
      <c r="F25" s="355" t="s">
        <v>255</v>
      </c>
      <c r="G25" s="356"/>
      <c r="H25" s="357">
        <f>일위대가!I196</f>
        <v>2616</v>
      </c>
      <c r="I25" s="357">
        <f t="shared" si="0"/>
        <v>2616</v>
      </c>
      <c r="J25" s="357"/>
      <c r="K25" s="357">
        <f>일위대가!L196</f>
        <v>11690</v>
      </c>
      <c r="L25" s="357">
        <f t="shared" si="1"/>
        <v>11690</v>
      </c>
      <c r="M25" s="357">
        <f>일위대가!N196</f>
        <v>0</v>
      </c>
      <c r="N25" s="357">
        <f t="shared" si="2"/>
        <v>0</v>
      </c>
      <c r="O25" s="357">
        <f t="shared" si="3"/>
        <v>14306</v>
      </c>
      <c r="P25" s="357">
        <f t="shared" si="4"/>
        <v>14306</v>
      </c>
      <c r="Q25" s="354"/>
    </row>
    <row r="26" spans="1:17" s="347" customFormat="1" ht="23.1" customHeight="1">
      <c r="A26" s="344" t="s">
        <v>1529</v>
      </c>
      <c r="B26" s="344" t="s">
        <v>1529</v>
      </c>
      <c r="C26" s="353" t="s">
        <v>1530</v>
      </c>
      <c r="D26" s="354" t="s">
        <v>446</v>
      </c>
      <c r="E26" s="354" t="s">
        <v>447</v>
      </c>
      <c r="F26" s="355" t="s">
        <v>255</v>
      </c>
      <c r="G26" s="356"/>
      <c r="H26" s="357">
        <f>일위대가!I204</f>
        <v>574.40000000000077</v>
      </c>
      <c r="I26" s="357">
        <f t="shared" si="0"/>
        <v>574.40000000000077</v>
      </c>
      <c r="J26" s="357"/>
      <c r="K26" s="357">
        <f>일위대가!L204</f>
        <v>10087</v>
      </c>
      <c r="L26" s="357">
        <f t="shared" si="1"/>
        <v>10087</v>
      </c>
      <c r="M26" s="357">
        <f>일위대가!N204</f>
        <v>0</v>
      </c>
      <c r="N26" s="357">
        <f t="shared" si="2"/>
        <v>0</v>
      </c>
      <c r="O26" s="357">
        <f t="shared" si="3"/>
        <v>10661.400000000001</v>
      </c>
      <c r="P26" s="357">
        <f t="shared" si="4"/>
        <v>10661.400000000001</v>
      </c>
      <c r="Q26" s="354"/>
    </row>
    <row r="27" spans="1:17" s="347" customFormat="1" ht="23.1" customHeight="1">
      <c r="A27" s="344" t="s">
        <v>1531</v>
      </c>
      <c r="B27" s="344" t="s">
        <v>1531</v>
      </c>
      <c r="C27" s="353" t="s">
        <v>1532</v>
      </c>
      <c r="D27" s="354" t="s">
        <v>446</v>
      </c>
      <c r="E27" s="354" t="s">
        <v>523</v>
      </c>
      <c r="F27" s="355" t="s">
        <v>255</v>
      </c>
      <c r="G27" s="356"/>
      <c r="H27" s="357">
        <f>일위대가!I212</f>
        <v>1106</v>
      </c>
      <c r="I27" s="357">
        <f t="shared" si="0"/>
        <v>1106</v>
      </c>
      <c r="J27" s="357"/>
      <c r="K27" s="357">
        <f>일위대가!L212</f>
        <v>13525</v>
      </c>
      <c r="L27" s="357">
        <f t="shared" si="1"/>
        <v>13525</v>
      </c>
      <c r="M27" s="357">
        <f>일위대가!N212</f>
        <v>0</v>
      </c>
      <c r="N27" s="357">
        <f t="shared" si="2"/>
        <v>0</v>
      </c>
      <c r="O27" s="357">
        <f t="shared" si="3"/>
        <v>14631</v>
      </c>
      <c r="P27" s="357">
        <f t="shared" si="4"/>
        <v>14631</v>
      </c>
      <c r="Q27" s="354"/>
    </row>
    <row r="28" spans="1:17" s="347" customFormat="1" ht="23.1" customHeight="1">
      <c r="A28" s="344" t="s">
        <v>1533</v>
      </c>
      <c r="B28" s="344" t="s">
        <v>1533</v>
      </c>
      <c r="C28" s="353" t="s">
        <v>1534</v>
      </c>
      <c r="D28" s="354" t="s">
        <v>446</v>
      </c>
      <c r="E28" s="354" t="s">
        <v>524</v>
      </c>
      <c r="F28" s="355" t="s">
        <v>255</v>
      </c>
      <c r="G28" s="356"/>
      <c r="H28" s="357">
        <f>일위대가!I220</f>
        <v>1828</v>
      </c>
      <c r="I28" s="357">
        <f t="shared" si="0"/>
        <v>1828</v>
      </c>
      <c r="J28" s="357"/>
      <c r="K28" s="357">
        <f>일위대가!L220</f>
        <v>19945</v>
      </c>
      <c r="L28" s="357">
        <f t="shared" si="1"/>
        <v>19945</v>
      </c>
      <c r="M28" s="357">
        <f>일위대가!N220</f>
        <v>0</v>
      </c>
      <c r="N28" s="357">
        <f t="shared" si="2"/>
        <v>0</v>
      </c>
      <c r="O28" s="357">
        <f t="shared" si="3"/>
        <v>21773</v>
      </c>
      <c r="P28" s="357">
        <f t="shared" si="4"/>
        <v>21773</v>
      </c>
      <c r="Q28" s="354"/>
    </row>
    <row r="29" spans="1:17" s="347" customFormat="1" ht="23.1" customHeight="1">
      <c r="A29" s="344" t="s">
        <v>1535</v>
      </c>
      <c r="B29" s="344" t="s">
        <v>1535</v>
      </c>
      <c r="C29" s="353" t="s">
        <v>1536</v>
      </c>
      <c r="D29" s="354" t="s">
        <v>446</v>
      </c>
      <c r="E29" s="354" t="s">
        <v>525</v>
      </c>
      <c r="F29" s="355" t="s">
        <v>265</v>
      </c>
      <c r="G29" s="356"/>
      <c r="H29" s="357">
        <f>일위대가!I224</f>
        <v>708</v>
      </c>
      <c r="I29" s="357">
        <f t="shared" si="0"/>
        <v>708</v>
      </c>
      <c r="J29" s="357"/>
      <c r="K29" s="357">
        <f>일위대가!L224</f>
        <v>0</v>
      </c>
      <c r="L29" s="357">
        <f t="shared" si="1"/>
        <v>0</v>
      </c>
      <c r="M29" s="357">
        <f>일위대가!N224</f>
        <v>0</v>
      </c>
      <c r="N29" s="357">
        <f t="shared" si="2"/>
        <v>0</v>
      </c>
      <c r="O29" s="357">
        <f t="shared" si="3"/>
        <v>708</v>
      </c>
      <c r="P29" s="357">
        <f t="shared" si="4"/>
        <v>708</v>
      </c>
      <c r="Q29" s="354"/>
    </row>
    <row r="30" spans="1:17" s="347" customFormat="1" ht="23.1" customHeight="1">
      <c r="A30" s="344" t="s">
        <v>1537</v>
      </c>
      <c r="B30" s="344" t="s">
        <v>1537</v>
      </c>
      <c r="C30" s="353" t="s">
        <v>1538</v>
      </c>
      <c r="D30" s="354" t="s">
        <v>446</v>
      </c>
      <c r="E30" s="354" t="s">
        <v>526</v>
      </c>
      <c r="F30" s="355" t="s">
        <v>265</v>
      </c>
      <c r="G30" s="356"/>
      <c r="H30" s="357">
        <f>일위대가!I228</f>
        <v>1239</v>
      </c>
      <c r="I30" s="357">
        <f t="shared" si="0"/>
        <v>1239</v>
      </c>
      <c r="J30" s="357"/>
      <c r="K30" s="357">
        <f>일위대가!L228</f>
        <v>0</v>
      </c>
      <c r="L30" s="357">
        <f t="shared" si="1"/>
        <v>0</v>
      </c>
      <c r="M30" s="357">
        <f>일위대가!N228</f>
        <v>0</v>
      </c>
      <c r="N30" s="357">
        <f t="shared" si="2"/>
        <v>0</v>
      </c>
      <c r="O30" s="357">
        <f t="shared" si="3"/>
        <v>1239</v>
      </c>
      <c r="P30" s="357">
        <f t="shared" si="4"/>
        <v>1239</v>
      </c>
      <c r="Q30" s="354"/>
    </row>
    <row r="31" spans="1:17" s="347" customFormat="1" ht="23.1" customHeight="1">
      <c r="A31" s="344" t="s">
        <v>1539</v>
      </c>
      <c r="B31" s="344" t="s">
        <v>1539</v>
      </c>
      <c r="C31" s="353" t="s">
        <v>1540</v>
      </c>
      <c r="D31" s="354" t="s">
        <v>260</v>
      </c>
      <c r="E31" s="354" t="s">
        <v>348</v>
      </c>
      <c r="F31" s="355" t="s">
        <v>262</v>
      </c>
      <c r="G31" s="356"/>
      <c r="H31" s="357">
        <f>일위대가!I235</f>
        <v>10412</v>
      </c>
      <c r="I31" s="357">
        <f t="shared" si="0"/>
        <v>10412</v>
      </c>
      <c r="J31" s="357"/>
      <c r="K31" s="357">
        <f>일위대가!L235</f>
        <v>49114</v>
      </c>
      <c r="L31" s="357">
        <f t="shared" si="1"/>
        <v>49114</v>
      </c>
      <c r="M31" s="357">
        <f>일위대가!N235</f>
        <v>0</v>
      </c>
      <c r="N31" s="357">
        <f t="shared" si="2"/>
        <v>0</v>
      </c>
      <c r="O31" s="357">
        <f t="shared" si="3"/>
        <v>59526</v>
      </c>
      <c r="P31" s="357">
        <f t="shared" si="4"/>
        <v>59526</v>
      </c>
      <c r="Q31" s="354"/>
    </row>
    <row r="32" spans="1:17" s="347" customFormat="1" ht="23.1" customHeight="1">
      <c r="A32" s="344" t="s">
        <v>613</v>
      </c>
      <c r="B32" s="344" t="s">
        <v>613</v>
      </c>
      <c r="C32" s="353" t="s">
        <v>1541</v>
      </c>
      <c r="D32" s="354" t="s">
        <v>260</v>
      </c>
      <c r="E32" s="354" t="s">
        <v>261</v>
      </c>
      <c r="F32" s="355" t="s">
        <v>262</v>
      </c>
      <c r="G32" s="356"/>
      <c r="H32" s="357">
        <f>일위대가!I242</f>
        <v>15857</v>
      </c>
      <c r="I32" s="357">
        <f t="shared" si="0"/>
        <v>15857</v>
      </c>
      <c r="J32" s="357"/>
      <c r="K32" s="357">
        <f>일위대가!L242</f>
        <v>49114</v>
      </c>
      <c r="L32" s="357">
        <f t="shared" si="1"/>
        <v>49114</v>
      </c>
      <c r="M32" s="357">
        <f>일위대가!N242</f>
        <v>0</v>
      </c>
      <c r="N32" s="357">
        <f t="shared" si="2"/>
        <v>0</v>
      </c>
      <c r="O32" s="357">
        <f t="shared" si="3"/>
        <v>64971</v>
      </c>
      <c r="P32" s="357">
        <f t="shared" si="4"/>
        <v>64971</v>
      </c>
      <c r="Q32" s="354"/>
    </row>
    <row r="33" spans="1:17" s="347" customFormat="1" ht="23.1" customHeight="1">
      <c r="A33" s="344" t="s">
        <v>1542</v>
      </c>
      <c r="B33" s="344" t="s">
        <v>1542</v>
      </c>
      <c r="C33" s="353" t="s">
        <v>1543</v>
      </c>
      <c r="D33" s="354" t="s">
        <v>260</v>
      </c>
      <c r="E33" s="354" t="s">
        <v>398</v>
      </c>
      <c r="F33" s="355" t="s">
        <v>262</v>
      </c>
      <c r="G33" s="356"/>
      <c r="H33" s="357">
        <f>일위대가!I249</f>
        <v>18248</v>
      </c>
      <c r="I33" s="357">
        <f t="shared" si="0"/>
        <v>18248</v>
      </c>
      <c r="J33" s="357"/>
      <c r="K33" s="357">
        <f>일위대가!L249</f>
        <v>49114</v>
      </c>
      <c r="L33" s="357">
        <f t="shared" si="1"/>
        <v>49114</v>
      </c>
      <c r="M33" s="357">
        <f>일위대가!N249</f>
        <v>0</v>
      </c>
      <c r="N33" s="357">
        <f t="shared" si="2"/>
        <v>0</v>
      </c>
      <c r="O33" s="357">
        <f t="shared" si="3"/>
        <v>67362</v>
      </c>
      <c r="P33" s="357">
        <f t="shared" si="4"/>
        <v>67362</v>
      </c>
      <c r="Q33" s="354"/>
    </row>
    <row r="34" spans="1:17" s="347" customFormat="1" ht="23.1" customHeight="1">
      <c r="A34" s="344" t="s">
        <v>1544</v>
      </c>
      <c r="B34" s="344" t="s">
        <v>1544</v>
      </c>
      <c r="C34" s="353" t="s">
        <v>1545</v>
      </c>
      <c r="D34" s="354" t="s">
        <v>260</v>
      </c>
      <c r="E34" s="354" t="s">
        <v>349</v>
      </c>
      <c r="F34" s="355" t="s">
        <v>262</v>
      </c>
      <c r="G34" s="356"/>
      <c r="H34" s="357">
        <f>일위대가!I256</f>
        <v>28371</v>
      </c>
      <c r="I34" s="357">
        <f t="shared" si="0"/>
        <v>28371</v>
      </c>
      <c r="J34" s="357"/>
      <c r="K34" s="357">
        <f>일위대가!L256</f>
        <v>63888</v>
      </c>
      <c r="L34" s="357">
        <f t="shared" si="1"/>
        <v>63888</v>
      </c>
      <c r="M34" s="357">
        <f>일위대가!N256</f>
        <v>0</v>
      </c>
      <c r="N34" s="357">
        <f t="shared" si="2"/>
        <v>0</v>
      </c>
      <c r="O34" s="357">
        <f t="shared" si="3"/>
        <v>92259</v>
      </c>
      <c r="P34" s="357">
        <f t="shared" si="4"/>
        <v>92259</v>
      </c>
      <c r="Q34" s="354"/>
    </row>
    <row r="35" spans="1:17" s="347" customFormat="1" ht="23.1" customHeight="1">
      <c r="A35" s="344" t="s">
        <v>1546</v>
      </c>
      <c r="B35" s="344" t="s">
        <v>1546</v>
      </c>
      <c r="C35" s="353" t="s">
        <v>1547</v>
      </c>
      <c r="D35" s="354" t="s">
        <v>399</v>
      </c>
      <c r="E35" s="354" t="s">
        <v>400</v>
      </c>
      <c r="F35" s="355" t="s">
        <v>265</v>
      </c>
      <c r="G35" s="356"/>
      <c r="H35" s="357">
        <f>일위대가!I260</f>
        <v>3629</v>
      </c>
      <c r="I35" s="357">
        <f t="shared" si="0"/>
        <v>3629</v>
      </c>
      <c r="J35" s="357"/>
      <c r="K35" s="357">
        <f>일위대가!L260</f>
        <v>0</v>
      </c>
      <c r="L35" s="357">
        <f t="shared" si="1"/>
        <v>0</v>
      </c>
      <c r="M35" s="357">
        <f>일위대가!N260</f>
        <v>0</v>
      </c>
      <c r="N35" s="357">
        <f t="shared" si="2"/>
        <v>0</v>
      </c>
      <c r="O35" s="357">
        <f t="shared" si="3"/>
        <v>3629</v>
      </c>
      <c r="P35" s="357">
        <f t="shared" si="4"/>
        <v>3629</v>
      </c>
      <c r="Q35" s="354"/>
    </row>
    <row r="36" spans="1:17" s="347" customFormat="1" ht="23.1" customHeight="1">
      <c r="A36" s="344" t="s">
        <v>1548</v>
      </c>
      <c r="B36" s="344" t="s">
        <v>1548</v>
      </c>
      <c r="C36" s="353" t="s">
        <v>1549</v>
      </c>
      <c r="D36" s="354" t="s">
        <v>263</v>
      </c>
      <c r="E36" s="354" t="s">
        <v>536</v>
      </c>
      <c r="F36" s="355" t="s">
        <v>265</v>
      </c>
      <c r="G36" s="356"/>
      <c r="H36" s="357">
        <f>일위대가!I264</f>
        <v>687</v>
      </c>
      <c r="I36" s="357">
        <f t="shared" si="0"/>
        <v>687</v>
      </c>
      <c r="J36" s="357"/>
      <c r="K36" s="357">
        <f>일위대가!L264</f>
        <v>0</v>
      </c>
      <c r="L36" s="357">
        <f t="shared" si="1"/>
        <v>0</v>
      </c>
      <c r="M36" s="357">
        <f>일위대가!N264</f>
        <v>0</v>
      </c>
      <c r="N36" s="357">
        <f t="shared" si="2"/>
        <v>0</v>
      </c>
      <c r="O36" s="357">
        <f t="shared" si="3"/>
        <v>687</v>
      </c>
      <c r="P36" s="357">
        <f t="shared" si="4"/>
        <v>687</v>
      </c>
      <c r="Q36" s="354"/>
    </row>
    <row r="37" spans="1:17" s="347" customFormat="1" ht="23.1" customHeight="1">
      <c r="A37" s="344" t="s">
        <v>1550</v>
      </c>
      <c r="B37" s="344" t="s">
        <v>1550</v>
      </c>
      <c r="C37" s="353" t="s">
        <v>1551</v>
      </c>
      <c r="D37" s="354" t="s">
        <v>263</v>
      </c>
      <c r="E37" s="354" t="s">
        <v>350</v>
      </c>
      <c r="F37" s="355" t="s">
        <v>265</v>
      </c>
      <c r="G37" s="356"/>
      <c r="H37" s="357">
        <f>일위대가!I268</f>
        <v>808</v>
      </c>
      <c r="I37" s="357">
        <f t="shared" si="0"/>
        <v>808</v>
      </c>
      <c r="J37" s="357"/>
      <c r="K37" s="357">
        <f>일위대가!L268</f>
        <v>0</v>
      </c>
      <c r="L37" s="357">
        <f t="shared" si="1"/>
        <v>0</v>
      </c>
      <c r="M37" s="357">
        <f>일위대가!N268</f>
        <v>0</v>
      </c>
      <c r="N37" s="357">
        <f t="shared" si="2"/>
        <v>0</v>
      </c>
      <c r="O37" s="357">
        <f t="shared" si="3"/>
        <v>808</v>
      </c>
      <c r="P37" s="357">
        <f t="shared" si="4"/>
        <v>808</v>
      </c>
      <c r="Q37" s="354"/>
    </row>
    <row r="38" spans="1:17" s="347" customFormat="1" ht="23.1" customHeight="1">
      <c r="A38" s="344" t="s">
        <v>619</v>
      </c>
      <c r="B38" s="344" t="s">
        <v>619</v>
      </c>
      <c r="C38" s="353" t="s">
        <v>1552</v>
      </c>
      <c r="D38" s="354" t="s">
        <v>263</v>
      </c>
      <c r="E38" s="354" t="s">
        <v>264</v>
      </c>
      <c r="F38" s="355" t="s">
        <v>265</v>
      </c>
      <c r="G38" s="356"/>
      <c r="H38" s="357">
        <f>일위대가!I272</f>
        <v>3124</v>
      </c>
      <c r="I38" s="357">
        <f t="shared" si="0"/>
        <v>3124</v>
      </c>
      <c r="J38" s="357"/>
      <c r="K38" s="357">
        <f>일위대가!L272</f>
        <v>0</v>
      </c>
      <c r="L38" s="357">
        <f t="shared" si="1"/>
        <v>0</v>
      </c>
      <c r="M38" s="357">
        <f>일위대가!N272</f>
        <v>0</v>
      </c>
      <c r="N38" s="357">
        <f t="shared" si="2"/>
        <v>0</v>
      </c>
      <c r="O38" s="357">
        <f t="shared" si="3"/>
        <v>3124</v>
      </c>
      <c r="P38" s="357">
        <f t="shared" si="4"/>
        <v>3124</v>
      </c>
      <c r="Q38" s="354"/>
    </row>
    <row r="39" spans="1:17" s="347" customFormat="1" ht="23.1" customHeight="1">
      <c r="A39" s="344" t="s">
        <v>1553</v>
      </c>
      <c r="B39" s="344" t="s">
        <v>1553</v>
      </c>
      <c r="C39" s="353" t="s">
        <v>1554</v>
      </c>
      <c r="D39" s="354" t="s">
        <v>263</v>
      </c>
      <c r="E39" s="354" t="s">
        <v>401</v>
      </c>
      <c r="F39" s="355" t="s">
        <v>265</v>
      </c>
      <c r="G39" s="356"/>
      <c r="H39" s="357">
        <f>일위대가!I276</f>
        <v>6640</v>
      </c>
      <c r="I39" s="357">
        <f t="shared" si="0"/>
        <v>6640</v>
      </c>
      <c r="J39" s="357"/>
      <c r="K39" s="357">
        <f>일위대가!L276</f>
        <v>0</v>
      </c>
      <c r="L39" s="357">
        <f t="shared" si="1"/>
        <v>0</v>
      </c>
      <c r="M39" s="357">
        <f>일위대가!N276</f>
        <v>0</v>
      </c>
      <c r="N39" s="357">
        <f t="shared" si="2"/>
        <v>0</v>
      </c>
      <c r="O39" s="357">
        <f t="shared" si="3"/>
        <v>6640</v>
      </c>
      <c r="P39" s="357">
        <f t="shared" si="4"/>
        <v>6640</v>
      </c>
      <c r="Q39" s="354" t="s">
        <v>1490</v>
      </c>
    </row>
    <row r="40" spans="1:17" s="347" customFormat="1" ht="23.1" customHeight="1">
      <c r="A40" s="344" t="s">
        <v>1555</v>
      </c>
      <c r="B40" s="344" t="s">
        <v>1555</v>
      </c>
      <c r="C40" s="353" t="s">
        <v>1556</v>
      </c>
      <c r="D40" s="354" t="s">
        <v>448</v>
      </c>
      <c r="E40" s="354" t="s">
        <v>449</v>
      </c>
      <c r="F40" s="355" t="s">
        <v>265</v>
      </c>
      <c r="G40" s="356"/>
      <c r="H40" s="357">
        <f>일위대가!I282</f>
        <v>1044</v>
      </c>
      <c r="I40" s="357">
        <f t="shared" si="0"/>
        <v>1044</v>
      </c>
      <c r="J40" s="357"/>
      <c r="K40" s="357">
        <f>일위대가!L282</f>
        <v>27510</v>
      </c>
      <c r="L40" s="357">
        <f t="shared" si="1"/>
        <v>27510</v>
      </c>
      <c r="M40" s="357">
        <f>일위대가!N282</f>
        <v>0</v>
      </c>
      <c r="N40" s="357">
        <f t="shared" si="2"/>
        <v>0</v>
      </c>
      <c r="O40" s="357">
        <f t="shared" si="3"/>
        <v>28554</v>
      </c>
      <c r="P40" s="357">
        <f t="shared" si="4"/>
        <v>28554</v>
      </c>
      <c r="Q40" s="354" t="s">
        <v>1493</v>
      </c>
    </row>
    <row r="41" spans="1:17" s="347" customFormat="1" ht="23.1" customHeight="1">
      <c r="A41" s="344" t="s">
        <v>1557</v>
      </c>
      <c r="B41" s="344" t="s">
        <v>1557</v>
      </c>
      <c r="C41" s="353" t="s">
        <v>1558</v>
      </c>
      <c r="D41" s="354" t="s">
        <v>448</v>
      </c>
      <c r="E41" s="354" t="s">
        <v>450</v>
      </c>
      <c r="F41" s="355" t="s">
        <v>265</v>
      </c>
      <c r="G41" s="356"/>
      <c r="H41" s="357">
        <f>일위대가!I288</f>
        <v>1268</v>
      </c>
      <c r="I41" s="357">
        <f t="shared" si="0"/>
        <v>1268</v>
      </c>
      <c r="J41" s="357"/>
      <c r="K41" s="357">
        <f>일위대가!L288</f>
        <v>27510</v>
      </c>
      <c r="L41" s="357">
        <f t="shared" si="1"/>
        <v>27510</v>
      </c>
      <c r="M41" s="357">
        <f>일위대가!N288</f>
        <v>0</v>
      </c>
      <c r="N41" s="357">
        <f t="shared" si="2"/>
        <v>0</v>
      </c>
      <c r="O41" s="357">
        <f t="shared" si="3"/>
        <v>28778</v>
      </c>
      <c r="P41" s="357">
        <f t="shared" si="4"/>
        <v>28778</v>
      </c>
      <c r="Q41" s="354"/>
    </row>
    <row r="42" spans="1:17" s="347" customFormat="1" ht="23.1" customHeight="1">
      <c r="A42" s="344" t="s">
        <v>936</v>
      </c>
      <c r="B42" s="344" t="s">
        <v>936</v>
      </c>
      <c r="C42" s="353" t="s">
        <v>1559</v>
      </c>
      <c r="D42" s="354" t="s">
        <v>451</v>
      </c>
      <c r="E42" s="354" t="s">
        <v>452</v>
      </c>
      <c r="F42" s="355" t="s">
        <v>265</v>
      </c>
      <c r="G42" s="356"/>
      <c r="H42" s="357">
        <f>일위대가!I294</f>
        <v>1433</v>
      </c>
      <c r="I42" s="357">
        <f t="shared" si="0"/>
        <v>1433</v>
      </c>
      <c r="J42" s="357"/>
      <c r="K42" s="357">
        <f>일위대가!L294</f>
        <v>45850</v>
      </c>
      <c r="L42" s="357">
        <f t="shared" si="1"/>
        <v>45850</v>
      </c>
      <c r="M42" s="357">
        <f>일위대가!N294</f>
        <v>0</v>
      </c>
      <c r="N42" s="357">
        <f t="shared" si="2"/>
        <v>0</v>
      </c>
      <c r="O42" s="357">
        <f t="shared" si="3"/>
        <v>47283</v>
      </c>
      <c r="P42" s="357">
        <f t="shared" si="4"/>
        <v>47283</v>
      </c>
      <c r="Q42" s="354"/>
    </row>
    <row r="43" spans="1:17" s="347" customFormat="1" ht="23.1" customHeight="1">
      <c r="A43" s="344" t="s">
        <v>937</v>
      </c>
      <c r="B43" s="344" t="s">
        <v>937</v>
      </c>
      <c r="C43" s="353" t="s">
        <v>1560</v>
      </c>
      <c r="D43" s="354" t="s">
        <v>451</v>
      </c>
      <c r="E43" s="354" t="s">
        <v>453</v>
      </c>
      <c r="F43" s="355" t="s">
        <v>265</v>
      </c>
      <c r="G43" s="356"/>
      <c r="H43" s="357">
        <f>일위대가!I300</f>
        <v>1452</v>
      </c>
      <c r="I43" s="357">
        <f t="shared" si="0"/>
        <v>1452</v>
      </c>
      <c r="J43" s="357"/>
      <c r="K43" s="357">
        <f>일위대가!L300</f>
        <v>45850</v>
      </c>
      <c r="L43" s="357">
        <f t="shared" si="1"/>
        <v>45850</v>
      </c>
      <c r="M43" s="357">
        <f>일위대가!N300</f>
        <v>0</v>
      </c>
      <c r="N43" s="357">
        <f t="shared" si="2"/>
        <v>0</v>
      </c>
      <c r="O43" s="357">
        <f t="shared" si="3"/>
        <v>47302</v>
      </c>
      <c r="P43" s="357">
        <f t="shared" si="4"/>
        <v>47302</v>
      </c>
      <c r="Q43" s="354"/>
    </row>
    <row r="44" spans="1:17" s="347" customFormat="1" ht="23.1" customHeight="1">
      <c r="A44" s="344" t="s">
        <v>1561</v>
      </c>
      <c r="B44" s="344" t="s">
        <v>1561</v>
      </c>
      <c r="C44" s="353" t="s">
        <v>1562</v>
      </c>
      <c r="D44" s="354" t="s">
        <v>454</v>
      </c>
      <c r="E44" s="354" t="s">
        <v>455</v>
      </c>
      <c r="F44" s="355" t="s">
        <v>265</v>
      </c>
      <c r="G44" s="356"/>
      <c r="H44" s="357">
        <f>일위대가!I304</f>
        <v>249</v>
      </c>
      <c r="I44" s="357">
        <f t="shared" si="0"/>
        <v>249</v>
      </c>
      <c r="J44" s="357"/>
      <c r="K44" s="357">
        <f>일위대가!L304</f>
        <v>0</v>
      </c>
      <c r="L44" s="357">
        <f t="shared" si="1"/>
        <v>0</v>
      </c>
      <c r="M44" s="357">
        <f>일위대가!N304</f>
        <v>0</v>
      </c>
      <c r="N44" s="357">
        <f t="shared" si="2"/>
        <v>0</v>
      </c>
      <c r="O44" s="357">
        <f t="shared" si="3"/>
        <v>249</v>
      </c>
      <c r="P44" s="357">
        <f t="shared" si="4"/>
        <v>249</v>
      </c>
      <c r="Q44" s="354"/>
    </row>
    <row r="45" spans="1:17" s="347" customFormat="1" ht="23.1" customHeight="1">
      <c r="A45" s="344" t="s">
        <v>1563</v>
      </c>
      <c r="B45" s="344" t="s">
        <v>1563</v>
      </c>
      <c r="C45" s="353" t="s">
        <v>1564</v>
      </c>
      <c r="D45" s="354" t="s">
        <v>454</v>
      </c>
      <c r="E45" s="354" t="s">
        <v>456</v>
      </c>
      <c r="F45" s="355" t="s">
        <v>265</v>
      </c>
      <c r="G45" s="356"/>
      <c r="H45" s="357">
        <f>일위대가!I308</f>
        <v>253</v>
      </c>
      <c r="I45" s="357">
        <f t="shared" si="0"/>
        <v>253</v>
      </c>
      <c r="J45" s="357"/>
      <c r="K45" s="357">
        <f>일위대가!L308</f>
        <v>0</v>
      </c>
      <c r="L45" s="357">
        <f t="shared" si="1"/>
        <v>0</v>
      </c>
      <c r="M45" s="357">
        <f>일위대가!N308</f>
        <v>0</v>
      </c>
      <c r="N45" s="357">
        <f t="shared" si="2"/>
        <v>0</v>
      </c>
      <c r="O45" s="357">
        <f t="shared" si="3"/>
        <v>253</v>
      </c>
      <c r="P45" s="357">
        <f t="shared" si="4"/>
        <v>253</v>
      </c>
      <c r="Q45" s="354"/>
    </row>
    <row r="46" spans="1:17" s="347" customFormat="1" ht="23.1" customHeight="1">
      <c r="A46" s="344" t="s">
        <v>938</v>
      </c>
      <c r="B46" s="344" t="s">
        <v>938</v>
      </c>
      <c r="C46" s="353" t="s">
        <v>1565</v>
      </c>
      <c r="D46" s="354" t="s">
        <v>454</v>
      </c>
      <c r="E46" s="354" t="s">
        <v>457</v>
      </c>
      <c r="F46" s="355" t="s">
        <v>265</v>
      </c>
      <c r="G46" s="356"/>
      <c r="H46" s="357">
        <f>일위대가!I312</f>
        <v>250</v>
      </c>
      <c r="I46" s="357">
        <f t="shared" si="0"/>
        <v>250</v>
      </c>
      <c r="J46" s="357"/>
      <c r="K46" s="357">
        <f>일위대가!L312</f>
        <v>0</v>
      </c>
      <c r="L46" s="357">
        <f t="shared" si="1"/>
        <v>0</v>
      </c>
      <c r="M46" s="357">
        <f>일위대가!N312</f>
        <v>0</v>
      </c>
      <c r="N46" s="357">
        <f t="shared" si="2"/>
        <v>0</v>
      </c>
      <c r="O46" s="357">
        <f t="shared" si="3"/>
        <v>250</v>
      </c>
      <c r="P46" s="357">
        <f t="shared" si="4"/>
        <v>250</v>
      </c>
      <c r="Q46" s="354"/>
    </row>
    <row r="47" spans="1:17" s="347" customFormat="1" ht="23.1" customHeight="1">
      <c r="A47" s="344" t="s">
        <v>846</v>
      </c>
      <c r="B47" s="344" t="s">
        <v>846</v>
      </c>
      <c r="C47" s="353" t="s">
        <v>1566</v>
      </c>
      <c r="D47" s="354" t="s">
        <v>439</v>
      </c>
      <c r="E47" s="354" t="s">
        <v>440</v>
      </c>
      <c r="F47" s="355" t="s">
        <v>291</v>
      </c>
      <c r="G47" s="356"/>
      <c r="H47" s="357">
        <f>일위대가!I318</f>
        <v>2003</v>
      </c>
      <c r="I47" s="357">
        <f t="shared" si="0"/>
        <v>2003</v>
      </c>
      <c r="J47" s="357"/>
      <c r="K47" s="357">
        <f>일위대가!L318</f>
        <v>9170</v>
      </c>
      <c r="L47" s="357">
        <f t="shared" si="1"/>
        <v>9170</v>
      </c>
      <c r="M47" s="357">
        <f>일위대가!N318</f>
        <v>0</v>
      </c>
      <c r="N47" s="357">
        <f t="shared" si="2"/>
        <v>0</v>
      </c>
      <c r="O47" s="357">
        <f t="shared" si="3"/>
        <v>11173</v>
      </c>
      <c r="P47" s="357">
        <f t="shared" si="4"/>
        <v>11173</v>
      </c>
      <c r="Q47" s="354"/>
    </row>
    <row r="48" spans="1:17" s="347" customFormat="1" ht="23.1" customHeight="1">
      <c r="A48" s="344" t="s">
        <v>1567</v>
      </c>
      <c r="B48" s="344" t="s">
        <v>1567</v>
      </c>
      <c r="C48" s="353" t="s">
        <v>1568</v>
      </c>
      <c r="D48" s="354" t="s">
        <v>266</v>
      </c>
      <c r="E48" s="354" t="s">
        <v>351</v>
      </c>
      <c r="F48" s="355" t="s">
        <v>265</v>
      </c>
      <c r="G48" s="356"/>
      <c r="H48" s="357">
        <f>일위대가!I324</f>
        <v>3450</v>
      </c>
      <c r="I48" s="357">
        <f t="shared" si="0"/>
        <v>3450</v>
      </c>
      <c r="J48" s="357"/>
      <c r="K48" s="357">
        <f>일위대가!L324</f>
        <v>50435</v>
      </c>
      <c r="L48" s="357">
        <f t="shared" si="1"/>
        <v>50435</v>
      </c>
      <c r="M48" s="357">
        <f>일위대가!N324</f>
        <v>0</v>
      </c>
      <c r="N48" s="357">
        <f t="shared" si="2"/>
        <v>0</v>
      </c>
      <c r="O48" s="357">
        <f t="shared" si="3"/>
        <v>53885</v>
      </c>
      <c r="P48" s="357">
        <f t="shared" si="4"/>
        <v>53885</v>
      </c>
      <c r="Q48" s="354"/>
    </row>
    <row r="49" spans="1:33" s="347" customFormat="1" ht="23.1" customHeight="1">
      <c r="A49" s="344" t="s">
        <v>1569</v>
      </c>
      <c r="B49" s="344" t="s">
        <v>1569</v>
      </c>
      <c r="C49" s="353" t="s">
        <v>1570</v>
      </c>
      <c r="D49" s="354" t="s">
        <v>266</v>
      </c>
      <c r="E49" s="354" t="s">
        <v>402</v>
      </c>
      <c r="F49" s="355" t="s">
        <v>265</v>
      </c>
      <c r="G49" s="356"/>
      <c r="H49" s="357">
        <f>일위대가!I330</f>
        <v>7157</v>
      </c>
      <c r="I49" s="357">
        <f t="shared" si="0"/>
        <v>7157</v>
      </c>
      <c r="J49" s="357"/>
      <c r="K49" s="357">
        <f>일위대가!L330</f>
        <v>50435</v>
      </c>
      <c r="L49" s="357">
        <f t="shared" si="1"/>
        <v>50435</v>
      </c>
      <c r="M49" s="357">
        <f>일위대가!N330</f>
        <v>0</v>
      </c>
      <c r="N49" s="357">
        <f t="shared" si="2"/>
        <v>0</v>
      </c>
      <c r="O49" s="357">
        <f t="shared" si="3"/>
        <v>57592</v>
      </c>
      <c r="P49" s="357">
        <f t="shared" si="4"/>
        <v>57592</v>
      </c>
      <c r="Q49" s="354"/>
    </row>
    <row r="50" spans="1:33" s="347" customFormat="1" ht="23.1" customHeight="1">
      <c r="A50" s="344" t="s">
        <v>1571</v>
      </c>
      <c r="B50" s="344" t="s">
        <v>1571</v>
      </c>
      <c r="C50" s="353" t="s">
        <v>1572</v>
      </c>
      <c r="D50" s="354" t="s">
        <v>266</v>
      </c>
      <c r="E50" s="354" t="s">
        <v>403</v>
      </c>
      <c r="F50" s="355" t="s">
        <v>265</v>
      </c>
      <c r="G50" s="356"/>
      <c r="H50" s="357">
        <f>일위대가!I336</f>
        <v>9942</v>
      </c>
      <c r="I50" s="357">
        <f t="shared" si="0"/>
        <v>9942</v>
      </c>
      <c r="J50" s="357"/>
      <c r="K50" s="357">
        <f>일위대가!L336</f>
        <v>80238</v>
      </c>
      <c r="L50" s="357">
        <f t="shared" si="1"/>
        <v>80238</v>
      </c>
      <c r="M50" s="357">
        <f>일위대가!N336</f>
        <v>0</v>
      </c>
      <c r="N50" s="357">
        <f t="shared" si="2"/>
        <v>0</v>
      </c>
      <c r="O50" s="357">
        <f t="shared" si="3"/>
        <v>90180</v>
      </c>
      <c r="P50" s="357">
        <f t="shared" si="4"/>
        <v>90180</v>
      </c>
      <c r="Q50" s="354"/>
    </row>
    <row r="51" spans="1:33" s="347" customFormat="1" ht="23.1" customHeight="1">
      <c r="A51" s="344" t="s">
        <v>624</v>
      </c>
      <c r="B51" s="344" t="s">
        <v>624</v>
      </c>
      <c r="C51" s="353" t="s">
        <v>1573</v>
      </c>
      <c r="D51" s="354" t="s">
        <v>266</v>
      </c>
      <c r="E51" s="354" t="s">
        <v>267</v>
      </c>
      <c r="F51" s="355" t="s">
        <v>265</v>
      </c>
      <c r="G51" s="356"/>
      <c r="H51" s="357">
        <f>일위대가!I342</f>
        <v>20946</v>
      </c>
      <c r="I51" s="357">
        <f t="shared" si="0"/>
        <v>20946</v>
      </c>
      <c r="J51" s="357"/>
      <c r="K51" s="357">
        <f>일위대가!L342</f>
        <v>80238</v>
      </c>
      <c r="L51" s="357">
        <f t="shared" si="1"/>
        <v>80238</v>
      </c>
      <c r="M51" s="357">
        <f>일위대가!N342</f>
        <v>0</v>
      </c>
      <c r="N51" s="357">
        <f t="shared" si="2"/>
        <v>0</v>
      </c>
      <c r="O51" s="357">
        <f t="shared" si="3"/>
        <v>101184</v>
      </c>
      <c r="P51" s="357">
        <f t="shared" si="4"/>
        <v>101184</v>
      </c>
      <c r="Q51" s="354"/>
    </row>
    <row r="52" spans="1:33" s="347" customFormat="1" ht="23.1" customHeight="1">
      <c r="A52" s="344" t="s">
        <v>1574</v>
      </c>
      <c r="B52" s="344" t="s">
        <v>1574</v>
      </c>
      <c r="C52" s="353" t="s">
        <v>1575</v>
      </c>
      <c r="D52" s="354" t="s">
        <v>441</v>
      </c>
      <c r="E52" s="354" t="s">
        <v>458</v>
      </c>
      <c r="F52" s="355" t="s">
        <v>255</v>
      </c>
      <c r="G52" s="356"/>
      <c r="H52" s="357">
        <f>일위대가!I349</f>
        <v>455</v>
      </c>
      <c r="I52" s="357">
        <f t="shared" si="0"/>
        <v>455</v>
      </c>
      <c r="J52" s="357"/>
      <c r="K52" s="357">
        <f>일위대가!L349</f>
        <v>2292</v>
      </c>
      <c r="L52" s="357">
        <f t="shared" si="1"/>
        <v>2292</v>
      </c>
      <c r="M52" s="357">
        <f>일위대가!N349</f>
        <v>0</v>
      </c>
      <c r="N52" s="357">
        <f t="shared" si="2"/>
        <v>0</v>
      </c>
      <c r="O52" s="357">
        <f t="shared" si="3"/>
        <v>2747</v>
      </c>
      <c r="P52" s="357">
        <f t="shared" si="4"/>
        <v>2747</v>
      </c>
      <c r="Q52" s="354"/>
    </row>
    <row r="53" spans="1:33" s="347" customFormat="1" ht="23.1" customHeight="1">
      <c r="A53" s="344" t="s">
        <v>851</v>
      </c>
      <c r="B53" s="344" t="s">
        <v>851</v>
      </c>
      <c r="C53" s="353" t="s">
        <v>1576</v>
      </c>
      <c r="D53" s="354" t="s">
        <v>441</v>
      </c>
      <c r="E53" s="354" t="s">
        <v>442</v>
      </c>
      <c r="F53" s="355" t="s">
        <v>255</v>
      </c>
      <c r="G53" s="356"/>
      <c r="H53" s="357">
        <f>일위대가!I356</f>
        <v>677</v>
      </c>
      <c r="I53" s="357">
        <f t="shared" si="0"/>
        <v>677</v>
      </c>
      <c r="J53" s="357"/>
      <c r="K53" s="357">
        <f>일위대가!L356</f>
        <v>2292</v>
      </c>
      <c r="L53" s="357">
        <f t="shared" si="1"/>
        <v>2292</v>
      </c>
      <c r="M53" s="357">
        <f>일위대가!N356</f>
        <v>0</v>
      </c>
      <c r="N53" s="357">
        <f t="shared" si="2"/>
        <v>0</v>
      </c>
      <c r="O53" s="357">
        <f t="shared" si="3"/>
        <v>2969</v>
      </c>
      <c r="P53" s="357">
        <f t="shared" si="4"/>
        <v>2969</v>
      </c>
      <c r="Q53" s="354"/>
    </row>
    <row r="54" spans="1:33" s="347" customFormat="1" ht="23.1" customHeight="1">
      <c r="A54" s="344" t="s">
        <v>1577</v>
      </c>
      <c r="B54" s="344" t="s">
        <v>1577</v>
      </c>
      <c r="C54" s="353" t="s">
        <v>1578</v>
      </c>
      <c r="D54" s="354" t="s">
        <v>268</v>
      </c>
      <c r="E54" s="354" t="s">
        <v>404</v>
      </c>
      <c r="F54" s="355" t="s">
        <v>255</v>
      </c>
      <c r="G54" s="356"/>
      <c r="H54" s="357">
        <f>일위대가!I363</f>
        <v>751</v>
      </c>
      <c r="I54" s="357">
        <f t="shared" si="0"/>
        <v>751</v>
      </c>
      <c r="J54" s="357"/>
      <c r="K54" s="357">
        <f>일위대가!L363</f>
        <v>2063</v>
      </c>
      <c r="L54" s="357">
        <f t="shared" si="1"/>
        <v>2063</v>
      </c>
      <c r="M54" s="357">
        <f>일위대가!N363</f>
        <v>0</v>
      </c>
      <c r="N54" s="357">
        <f t="shared" si="2"/>
        <v>0</v>
      </c>
      <c r="O54" s="357">
        <f t="shared" si="3"/>
        <v>2814</v>
      </c>
      <c r="P54" s="357">
        <f t="shared" si="4"/>
        <v>2814</v>
      </c>
      <c r="Q54" s="354"/>
    </row>
    <row r="55" spans="1:33" s="347" customFormat="1" ht="23.1" customHeight="1">
      <c r="A55" s="344" t="s">
        <v>1579</v>
      </c>
      <c r="B55" s="344" t="s">
        <v>1579</v>
      </c>
      <c r="C55" s="353" t="s">
        <v>1580</v>
      </c>
      <c r="D55" s="354" t="s">
        <v>268</v>
      </c>
      <c r="E55" s="354" t="s">
        <v>405</v>
      </c>
      <c r="F55" s="355" t="s">
        <v>255</v>
      </c>
      <c r="G55" s="356"/>
      <c r="H55" s="357">
        <f>일위대가!I370</f>
        <v>9101</v>
      </c>
      <c r="I55" s="357">
        <f t="shared" si="0"/>
        <v>9101</v>
      </c>
      <c r="J55" s="357"/>
      <c r="K55" s="357">
        <f>일위대가!L370</f>
        <v>2751</v>
      </c>
      <c r="L55" s="357">
        <f t="shared" si="1"/>
        <v>2751</v>
      </c>
      <c r="M55" s="357">
        <f>일위대가!N370</f>
        <v>0</v>
      </c>
      <c r="N55" s="357">
        <f t="shared" si="2"/>
        <v>0</v>
      </c>
      <c r="O55" s="357">
        <f t="shared" si="3"/>
        <v>11852</v>
      </c>
      <c r="P55" s="357">
        <f t="shared" si="4"/>
        <v>11852</v>
      </c>
      <c r="Q55" s="354"/>
    </row>
    <row r="56" spans="1:33" ht="23.1" customHeight="1">
      <c r="A56" s="344" t="s">
        <v>1581</v>
      </c>
      <c r="B56" s="344" t="s">
        <v>1581</v>
      </c>
      <c r="C56" s="353" t="s">
        <v>1582</v>
      </c>
      <c r="D56" s="354" t="s">
        <v>268</v>
      </c>
      <c r="E56" s="354" t="s">
        <v>406</v>
      </c>
      <c r="F56" s="355" t="s">
        <v>255</v>
      </c>
      <c r="G56" s="356"/>
      <c r="H56" s="357">
        <f>일위대가!I377</f>
        <v>10841</v>
      </c>
      <c r="I56" s="357">
        <f t="shared" si="0"/>
        <v>10841</v>
      </c>
      <c r="J56" s="357"/>
      <c r="K56" s="357">
        <f>일위대가!L377</f>
        <v>3782</v>
      </c>
      <c r="L56" s="357">
        <f t="shared" si="1"/>
        <v>3782</v>
      </c>
      <c r="M56" s="357">
        <f>일위대가!N377</f>
        <v>0</v>
      </c>
      <c r="N56" s="357">
        <f t="shared" si="2"/>
        <v>0</v>
      </c>
      <c r="O56" s="357">
        <f t="shared" si="3"/>
        <v>14623</v>
      </c>
      <c r="P56" s="357">
        <f t="shared" si="4"/>
        <v>14623</v>
      </c>
      <c r="Q56" s="354" t="s">
        <v>1493</v>
      </c>
      <c r="R56" s="347"/>
      <c r="S56" s="347"/>
      <c r="T56" s="347"/>
      <c r="U56" s="347"/>
      <c r="V56" s="347"/>
      <c r="W56" s="347"/>
      <c r="X56" s="347"/>
      <c r="Y56" s="347"/>
      <c r="Z56" s="347"/>
      <c r="AA56" s="347"/>
      <c r="AB56" s="347"/>
      <c r="AC56" s="347"/>
      <c r="AD56" s="347"/>
      <c r="AE56" s="347"/>
      <c r="AF56" s="347"/>
      <c r="AG56" s="347"/>
    </row>
    <row r="57" spans="1:33" ht="23.1" customHeight="1">
      <c r="A57" s="344" t="s">
        <v>1583</v>
      </c>
      <c r="B57" s="344" t="s">
        <v>1583</v>
      </c>
      <c r="C57" s="353" t="s">
        <v>1584</v>
      </c>
      <c r="D57" s="354" t="s">
        <v>270</v>
      </c>
      <c r="E57" s="354" t="s">
        <v>407</v>
      </c>
      <c r="F57" s="355" t="s">
        <v>255</v>
      </c>
      <c r="G57" s="356"/>
      <c r="H57" s="357">
        <f>일위대가!I384</f>
        <v>16091</v>
      </c>
      <c r="I57" s="357">
        <f t="shared" si="0"/>
        <v>16091</v>
      </c>
      <c r="J57" s="357"/>
      <c r="K57" s="357">
        <f>일위대가!L384</f>
        <v>19836</v>
      </c>
      <c r="L57" s="357">
        <f t="shared" si="1"/>
        <v>19836</v>
      </c>
      <c r="M57" s="357">
        <f>일위대가!N384</f>
        <v>0</v>
      </c>
      <c r="N57" s="357">
        <f t="shared" si="2"/>
        <v>0</v>
      </c>
      <c r="O57" s="357">
        <f t="shared" si="3"/>
        <v>35927</v>
      </c>
      <c r="P57" s="357">
        <f t="shared" si="4"/>
        <v>35927</v>
      </c>
      <c r="Q57" s="354"/>
      <c r="R57" s="347"/>
      <c r="S57" s="347"/>
      <c r="T57" s="347"/>
      <c r="U57" s="347"/>
      <c r="V57" s="347"/>
      <c r="W57" s="347"/>
      <c r="X57" s="347"/>
      <c r="Y57" s="347"/>
      <c r="Z57" s="347"/>
      <c r="AA57" s="347"/>
      <c r="AB57" s="347"/>
      <c r="AC57" s="347"/>
      <c r="AD57" s="347"/>
      <c r="AE57" s="347"/>
      <c r="AF57" s="347"/>
      <c r="AG57" s="347"/>
    </row>
    <row r="58" spans="1:33" ht="23.1" customHeight="1">
      <c r="A58" s="344" t="s">
        <v>1585</v>
      </c>
      <c r="B58" s="344" t="s">
        <v>1585</v>
      </c>
      <c r="C58" s="353" t="s">
        <v>1586</v>
      </c>
      <c r="D58" s="354" t="s">
        <v>270</v>
      </c>
      <c r="E58" s="354" t="s">
        <v>408</v>
      </c>
      <c r="F58" s="355" t="s">
        <v>255</v>
      </c>
      <c r="G58" s="356"/>
      <c r="H58" s="357">
        <f>일위대가!I391</f>
        <v>25580</v>
      </c>
      <c r="I58" s="357">
        <f t="shared" si="0"/>
        <v>25580</v>
      </c>
      <c r="J58" s="357"/>
      <c r="K58" s="357">
        <f>일위대가!L391</f>
        <v>27811</v>
      </c>
      <c r="L58" s="357">
        <f t="shared" si="1"/>
        <v>27811</v>
      </c>
      <c r="M58" s="357">
        <f>일위대가!N391</f>
        <v>0</v>
      </c>
      <c r="N58" s="357">
        <f t="shared" si="2"/>
        <v>0</v>
      </c>
      <c r="O58" s="357">
        <f t="shared" si="3"/>
        <v>53391</v>
      </c>
      <c r="P58" s="357">
        <f t="shared" si="4"/>
        <v>53391</v>
      </c>
      <c r="Q58" s="354"/>
      <c r="R58" s="347"/>
      <c r="S58" s="347"/>
      <c r="T58" s="347"/>
      <c r="U58" s="347"/>
      <c r="V58" s="347"/>
      <c r="W58" s="347"/>
      <c r="X58" s="347"/>
      <c r="Y58" s="347"/>
      <c r="Z58" s="347"/>
      <c r="AA58" s="347"/>
      <c r="AB58" s="347"/>
      <c r="AC58" s="347"/>
      <c r="AD58" s="347"/>
      <c r="AE58" s="347"/>
      <c r="AF58" s="347"/>
      <c r="AG58" s="347"/>
    </row>
    <row r="59" spans="1:33" ht="23.1" customHeight="1">
      <c r="A59" s="344" t="s">
        <v>1587</v>
      </c>
      <c r="B59" s="344" t="s">
        <v>1587</v>
      </c>
      <c r="C59" s="353" t="s">
        <v>1588</v>
      </c>
      <c r="D59" s="354" t="s">
        <v>270</v>
      </c>
      <c r="E59" s="354" t="s">
        <v>409</v>
      </c>
      <c r="F59" s="355" t="s">
        <v>255</v>
      </c>
      <c r="G59" s="356"/>
      <c r="H59" s="357">
        <f>일위대가!I398</f>
        <v>3582</v>
      </c>
      <c r="I59" s="357">
        <f t="shared" si="0"/>
        <v>3582</v>
      </c>
      <c r="J59" s="357"/>
      <c r="K59" s="357">
        <f>일위대가!L398</f>
        <v>8179</v>
      </c>
      <c r="L59" s="357">
        <f t="shared" si="1"/>
        <v>8179</v>
      </c>
      <c r="M59" s="357">
        <f>일위대가!N398</f>
        <v>0</v>
      </c>
      <c r="N59" s="357">
        <f t="shared" si="2"/>
        <v>0</v>
      </c>
      <c r="O59" s="357">
        <f t="shared" si="3"/>
        <v>11761</v>
      </c>
      <c r="P59" s="357">
        <f t="shared" si="4"/>
        <v>11761</v>
      </c>
      <c r="Q59" s="354"/>
      <c r="R59" s="347"/>
      <c r="S59" s="347"/>
      <c r="T59" s="347"/>
      <c r="U59" s="347"/>
      <c r="V59" s="347"/>
      <c r="W59" s="347"/>
      <c r="X59" s="347"/>
      <c r="Y59" s="347"/>
      <c r="Z59" s="347"/>
      <c r="AA59" s="347"/>
      <c r="AB59" s="347"/>
      <c r="AC59" s="347"/>
      <c r="AD59" s="347"/>
      <c r="AE59" s="347"/>
      <c r="AF59" s="347"/>
      <c r="AG59" s="347"/>
    </row>
    <row r="60" spans="1:33" ht="23.1" customHeight="1">
      <c r="A60" s="344" t="s">
        <v>1589</v>
      </c>
      <c r="B60" s="344" t="s">
        <v>1589</v>
      </c>
      <c r="C60" s="353" t="s">
        <v>1590</v>
      </c>
      <c r="D60" s="354" t="s">
        <v>459</v>
      </c>
      <c r="E60" s="354" t="s">
        <v>460</v>
      </c>
      <c r="F60" s="355" t="s">
        <v>265</v>
      </c>
      <c r="G60" s="356"/>
      <c r="H60" s="357">
        <f>일위대가!I404</f>
        <v>1868</v>
      </c>
      <c r="I60" s="357">
        <f t="shared" si="0"/>
        <v>1868</v>
      </c>
      <c r="J60" s="357"/>
      <c r="K60" s="357">
        <f>일위대가!L404</f>
        <v>19486</v>
      </c>
      <c r="L60" s="357">
        <f t="shared" si="1"/>
        <v>19486</v>
      </c>
      <c r="M60" s="357">
        <f>일위대가!N404</f>
        <v>0</v>
      </c>
      <c r="N60" s="357">
        <f t="shared" si="2"/>
        <v>0</v>
      </c>
      <c r="O60" s="357">
        <f t="shared" si="3"/>
        <v>21354</v>
      </c>
      <c r="P60" s="357">
        <f t="shared" si="4"/>
        <v>21354</v>
      </c>
      <c r="Q60" s="354"/>
      <c r="R60" s="347"/>
      <c r="S60" s="347"/>
      <c r="T60" s="347"/>
      <c r="U60" s="347"/>
      <c r="V60" s="347"/>
      <c r="W60" s="347"/>
      <c r="X60" s="347"/>
      <c r="Y60" s="347"/>
      <c r="Z60" s="347"/>
      <c r="AA60" s="347"/>
      <c r="AB60" s="347"/>
      <c r="AC60" s="347"/>
      <c r="AD60" s="347"/>
      <c r="AE60" s="347"/>
      <c r="AF60" s="347"/>
      <c r="AG60" s="347"/>
    </row>
    <row r="61" spans="1:33" ht="23.1" customHeight="1">
      <c r="A61" s="344" t="s">
        <v>1591</v>
      </c>
      <c r="B61" s="344" t="s">
        <v>1591</v>
      </c>
      <c r="C61" s="353" t="s">
        <v>1592</v>
      </c>
      <c r="D61" s="354" t="s">
        <v>459</v>
      </c>
      <c r="E61" s="354" t="s">
        <v>461</v>
      </c>
      <c r="F61" s="355" t="s">
        <v>265</v>
      </c>
      <c r="G61" s="356"/>
      <c r="H61" s="357">
        <f>일위대가!I410</f>
        <v>2585</v>
      </c>
      <c r="I61" s="357">
        <f t="shared" si="0"/>
        <v>2585</v>
      </c>
      <c r="J61" s="357"/>
      <c r="K61" s="357">
        <f>일위대가!L410</f>
        <v>19486</v>
      </c>
      <c r="L61" s="357">
        <f t="shared" si="1"/>
        <v>19486</v>
      </c>
      <c r="M61" s="357">
        <f>일위대가!N410</f>
        <v>0</v>
      </c>
      <c r="N61" s="357">
        <f t="shared" si="2"/>
        <v>0</v>
      </c>
      <c r="O61" s="357">
        <f t="shared" si="3"/>
        <v>22071</v>
      </c>
      <c r="P61" s="357">
        <f t="shared" si="4"/>
        <v>22071</v>
      </c>
      <c r="Q61" s="354"/>
      <c r="R61" s="347"/>
      <c r="S61" s="347"/>
      <c r="T61" s="347"/>
      <c r="U61" s="347"/>
      <c r="V61" s="347"/>
      <c r="W61" s="347"/>
      <c r="X61" s="347"/>
      <c r="Y61" s="347"/>
      <c r="Z61" s="347"/>
      <c r="AA61" s="347"/>
      <c r="AB61" s="347"/>
      <c r="AC61" s="347"/>
      <c r="AD61" s="347"/>
      <c r="AE61" s="347"/>
      <c r="AF61" s="347"/>
      <c r="AG61" s="347"/>
    </row>
    <row r="62" spans="1:33" ht="23.1" customHeight="1">
      <c r="A62" s="344" t="s">
        <v>1593</v>
      </c>
      <c r="B62" s="344" t="s">
        <v>1593</v>
      </c>
      <c r="C62" s="353" t="s">
        <v>1594</v>
      </c>
      <c r="D62" s="354" t="s">
        <v>459</v>
      </c>
      <c r="E62" s="354" t="s">
        <v>462</v>
      </c>
      <c r="F62" s="355" t="s">
        <v>265</v>
      </c>
      <c r="G62" s="356"/>
      <c r="H62" s="357">
        <f>일위대가!I416</f>
        <v>3223</v>
      </c>
      <c r="I62" s="357">
        <f t="shared" si="0"/>
        <v>3223</v>
      </c>
      <c r="J62" s="357"/>
      <c r="K62" s="357">
        <f>일위대가!L416</f>
        <v>19486</v>
      </c>
      <c r="L62" s="357">
        <f t="shared" si="1"/>
        <v>19486</v>
      </c>
      <c r="M62" s="357">
        <f>일위대가!N416</f>
        <v>0</v>
      </c>
      <c r="N62" s="357">
        <f t="shared" si="2"/>
        <v>0</v>
      </c>
      <c r="O62" s="357">
        <f t="shared" si="3"/>
        <v>22709</v>
      </c>
      <c r="P62" s="357">
        <f t="shared" si="4"/>
        <v>22709</v>
      </c>
      <c r="Q62" s="354"/>
      <c r="R62" s="347"/>
      <c r="S62" s="347"/>
      <c r="T62" s="347"/>
      <c r="U62" s="347"/>
      <c r="V62" s="347"/>
      <c r="W62" s="347"/>
      <c r="X62" s="347"/>
      <c r="Y62" s="347"/>
      <c r="Z62" s="347"/>
      <c r="AA62" s="347"/>
      <c r="AB62" s="347"/>
      <c r="AC62" s="347"/>
      <c r="AD62" s="347"/>
      <c r="AE62" s="347"/>
      <c r="AF62" s="347"/>
      <c r="AG62" s="347"/>
    </row>
    <row r="63" spans="1:33" ht="23.1" customHeight="1">
      <c r="A63" s="344" t="s">
        <v>943</v>
      </c>
      <c r="B63" s="344" t="s">
        <v>943</v>
      </c>
      <c r="C63" s="353" t="s">
        <v>1595</v>
      </c>
      <c r="D63" s="354" t="s">
        <v>512</v>
      </c>
      <c r="E63" s="354" t="s">
        <v>513</v>
      </c>
      <c r="F63" s="355" t="s">
        <v>265</v>
      </c>
      <c r="G63" s="356"/>
      <c r="H63" s="357">
        <f>일위대가!I422</f>
        <v>1557</v>
      </c>
      <c r="I63" s="357">
        <f t="shared" si="0"/>
        <v>1557</v>
      </c>
      <c r="J63" s="357"/>
      <c r="K63" s="357">
        <f>일위대가!L422</f>
        <v>18340</v>
      </c>
      <c r="L63" s="357">
        <f t="shared" si="1"/>
        <v>18340</v>
      </c>
      <c r="M63" s="357">
        <f>일위대가!N422</f>
        <v>0</v>
      </c>
      <c r="N63" s="357">
        <f t="shared" si="2"/>
        <v>0</v>
      </c>
      <c r="O63" s="357">
        <f t="shared" si="3"/>
        <v>19897</v>
      </c>
      <c r="P63" s="357">
        <f t="shared" si="4"/>
        <v>19897</v>
      </c>
      <c r="Q63" s="354"/>
      <c r="R63" s="347"/>
      <c r="S63" s="347"/>
      <c r="T63" s="347"/>
      <c r="U63" s="347"/>
      <c r="V63" s="347"/>
      <c r="W63" s="347"/>
      <c r="X63" s="347"/>
      <c r="Y63" s="347"/>
      <c r="Z63" s="347"/>
      <c r="AA63" s="347"/>
      <c r="AB63" s="347"/>
      <c r="AC63" s="347"/>
      <c r="AD63" s="347"/>
      <c r="AE63" s="347"/>
      <c r="AF63" s="347"/>
      <c r="AG63" s="347"/>
    </row>
    <row r="64" spans="1:33" ht="23.1" customHeight="1">
      <c r="A64" s="344" t="s">
        <v>947</v>
      </c>
      <c r="B64" s="344" t="s">
        <v>947</v>
      </c>
      <c r="C64" s="353" t="s">
        <v>1596</v>
      </c>
      <c r="D64" s="354" t="s">
        <v>514</v>
      </c>
      <c r="E64" s="354" t="s">
        <v>513</v>
      </c>
      <c r="F64" s="355" t="s">
        <v>265</v>
      </c>
      <c r="G64" s="356"/>
      <c r="H64" s="357">
        <f>일위대가!I428</f>
        <v>2527</v>
      </c>
      <c r="I64" s="357">
        <f t="shared" si="0"/>
        <v>2527</v>
      </c>
      <c r="J64" s="357"/>
      <c r="K64" s="357">
        <f>일위대가!L428</f>
        <v>18340</v>
      </c>
      <c r="L64" s="357">
        <f t="shared" si="1"/>
        <v>18340</v>
      </c>
      <c r="M64" s="357">
        <f>일위대가!N428</f>
        <v>0</v>
      </c>
      <c r="N64" s="357">
        <f t="shared" si="2"/>
        <v>0</v>
      </c>
      <c r="O64" s="357">
        <f t="shared" si="3"/>
        <v>20867</v>
      </c>
      <c r="P64" s="357">
        <f t="shared" si="4"/>
        <v>20867</v>
      </c>
      <c r="Q64" s="354"/>
      <c r="R64" s="347"/>
      <c r="S64" s="347"/>
      <c r="T64" s="347"/>
      <c r="U64" s="347"/>
      <c r="V64" s="347"/>
      <c r="W64" s="347"/>
      <c r="X64" s="347"/>
      <c r="Y64" s="347"/>
      <c r="Z64" s="347"/>
      <c r="AA64" s="347"/>
      <c r="AB64" s="347"/>
      <c r="AC64" s="347"/>
      <c r="AD64" s="347"/>
      <c r="AE64" s="347"/>
      <c r="AF64" s="347"/>
      <c r="AG64" s="347"/>
    </row>
    <row r="65" spans="1:33" ht="23.1" customHeight="1">
      <c r="A65" s="344" t="s">
        <v>1597</v>
      </c>
      <c r="B65" s="344" t="s">
        <v>1597</v>
      </c>
      <c r="C65" s="353" t="s">
        <v>1598</v>
      </c>
      <c r="D65" s="354" t="s">
        <v>354</v>
      </c>
      <c r="E65" s="354" t="s">
        <v>410</v>
      </c>
      <c r="F65" s="355" t="s">
        <v>265</v>
      </c>
      <c r="G65" s="356"/>
      <c r="H65" s="357">
        <f>일위대가!I434</f>
        <v>1908</v>
      </c>
      <c r="I65" s="357">
        <f t="shared" si="0"/>
        <v>1908</v>
      </c>
      <c r="J65" s="357"/>
      <c r="K65" s="357">
        <f>일위대가!L434</f>
        <v>36087</v>
      </c>
      <c r="L65" s="357">
        <f t="shared" si="1"/>
        <v>36087</v>
      </c>
      <c r="M65" s="357">
        <f>일위대가!N434</f>
        <v>0</v>
      </c>
      <c r="N65" s="357">
        <f t="shared" si="2"/>
        <v>0</v>
      </c>
      <c r="O65" s="357">
        <f t="shared" si="3"/>
        <v>37995</v>
      </c>
      <c r="P65" s="357">
        <f t="shared" si="4"/>
        <v>37995</v>
      </c>
      <c r="Q65" s="354"/>
      <c r="R65" s="347"/>
      <c r="S65" s="347"/>
      <c r="T65" s="347"/>
      <c r="U65" s="347"/>
      <c r="V65" s="347"/>
      <c r="W65" s="347"/>
      <c r="X65" s="347"/>
      <c r="Y65" s="347"/>
      <c r="Z65" s="347"/>
      <c r="AA65" s="347"/>
      <c r="AB65" s="347"/>
      <c r="AC65" s="347"/>
      <c r="AD65" s="347"/>
      <c r="AE65" s="347"/>
      <c r="AF65" s="347"/>
      <c r="AG65" s="347"/>
    </row>
    <row r="66" spans="1:33" ht="23.1" customHeight="1">
      <c r="A66" s="344" t="s">
        <v>1599</v>
      </c>
      <c r="B66" s="344" t="s">
        <v>1599</v>
      </c>
      <c r="C66" s="353" t="s">
        <v>1600</v>
      </c>
      <c r="D66" s="354" t="s">
        <v>354</v>
      </c>
      <c r="E66" s="354" t="s">
        <v>411</v>
      </c>
      <c r="F66" s="355" t="s">
        <v>265</v>
      </c>
      <c r="G66" s="356"/>
      <c r="H66" s="357">
        <f>일위대가!I440</f>
        <v>2912</v>
      </c>
      <c r="I66" s="357">
        <f t="shared" si="0"/>
        <v>2912</v>
      </c>
      <c r="J66" s="357"/>
      <c r="K66" s="357">
        <f>일위대가!L440</f>
        <v>41140</v>
      </c>
      <c r="L66" s="357">
        <f t="shared" si="1"/>
        <v>41140</v>
      </c>
      <c r="M66" s="357">
        <f>일위대가!N440</f>
        <v>0</v>
      </c>
      <c r="N66" s="357">
        <f t="shared" si="2"/>
        <v>0</v>
      </c>
      <c r="O66" s="357">
        <f t="shared" si="3"/>
        <v>44052</v>
      </c>
      <c r="P66" s="357">
        <f t="shared" si="4"/>
        <v>44052</v>
      </c>
      <c r="Q66" s="354"/>
      <c r="R66" s="347"/>
      <c r="S66" s="347"/>
      <c r="T66" s="347"/>
      <c r="U66" s="347"/>
      <c r="V66" s="347"/>
      <c r="W66" s="347"/>
      <c r="X66" s="347"/>
      <c r="Y66" s="347"/>
      <c r="Z66" s="347"/>
      <c r="AA66" s="347"/>
      <c r="AB66" s="347"/>
      <c r="AC66" s="347"/>
      <c r="AD66" s="347"/>
      <c r="AE66" s="347"/>
      <c r="AF66" s="347"/>
      <c r="AG66" s="347"/>
    </row>
    <row r="67" spans="1:33" ht="23.1" customHeight="1">
      <c r="A67" s="344" t="s">
        <v>1601</v>
      </c>
      <c r="B67" s="344" t="s">
        <v>1601</v>
      </c>
      <c r="C67" s="353" t="s">
        <v>1602</v>
      </c>
      <c r="D67" s="354" t="s">
        <v>354</v>
      </c>
      <c r="E67" s="354" t="s">
        <v>412</v>
      </c>
      <c r="F67" s="355" t="s">
        <v>265</v>
      </c>
      <c r="G67" s="356"/>
      <c r="H67" s="357">
        <f>일위대가!I446</f>
        <v>3766</v>
      </c>
      <c r="I67" s="357">
        <f t="shared" si="0"/>
        <v>3766</v>
      </c>
      <c r="J67" s="357"/>
      <c r="K67" s="357">
        <f>일위대가!L446</f>
        <v>46192</v>
      </c>
      <c r="L67" s="357">
        <f t="shared" si="1"/>
        <v>46192</v>
      </c>
      <c r="M67" s="357">
        <f>일위대가!N446</f>
        <v>0</v>
      </c>
      <c r="N67" s="357">
        <f t="shared" si="2"/>
        <v>0</v>
      </c>
      <c r="O67" s="357">
        <f t="shared" si="3"/>
        <v>49958</v>
      </c>
      <c r="P67" s="357">
        <f t="shared" si="4"/>
        <v>49958</v>
      </c>
      <c r="Q67" s="354"/>
      <c r="R67" s="347"/>
      <c r="S67" s="347"/>
      <c r="T67" s="347"/>
      <c r="U67" s="347"/>
      <c r="V67" s="347"/>
      <c r="W67" s="347"/>
      <c r="X67" s="347"/>
      <c r="Y67" s="347"/>
      <c r="Z67" s="347"/>
      <c r="AA67" s="347"/>
      <c r="AB67" s="347"/>
      <c r="AC67" s="347"/>
      <c r="AD67" s="347"/>
      <c r="AE67" s="347"/>
      <c r="AF67" s="347"/>
      <c r="AG67" s="347"/>
    </row>
    <row r="68" spans="1:33" ht="23.1" customHeight="1">
      <c r="A68" s="344" t="s">
        <v>1603</v>
      </c>
      <c r="B68" s="344" t="s">
        <v>1603</v>
      </c>
      <c r="C68" s="353" t="s">
        <v>1604</v>
      </c>
      <c r="D68" s="354" t="s">
        <v>354</v>
      </c>
      <c r="E68" s="354" t="s">
        <v>355</v>
      </c>
      <c r="F68" s="355" t="s">
        <v>265</v>
      </c>
      <c r="G68" s="356"/>
      <c r="H68" s="357">
        <f>일위대가!I452</f>
        <v>4945</v>
      </c>
      <c r="I68" s="357">
        <f t="shared" ref="I68:I99" si="5">H68</f>
        <v>4945</v>
      </c>
      <c r="J68" s="357"/>
      <c r="K68" s="357">
        <f>일위대가!L452</f>
        <v>55575</v>
      </c>
      <c r="L68" s="357">
        <f t="shared" ref="L68:L99" si="6">K68</f>
        <v>55575</v>
      </c>
      <c r="M68" s="357">
        <f>일위대가!N452</f>
        <v>0</v>
      </c>
      <c r="N68" s="357">
        <f t="shared" ref="N68:N99" si="7">M68</f>
        <v>0</v>
      </c>
      <c r="O68" s="357">
        <f t="shared" ref="O68:O101" si="8">IF((H68+K68+M68)=0, "", (H68+K68+M68))</f>
        <v>60520</v>
      </c>
      <c r="P68" s="357">
        <f t="shared" ref="P68:P101" si="9">SUM(I68,L68,N68)</f>
        <v>60520</v>
      </c>
      <c r="Q68" s="354"/>
      <c r="R68" s="347"/>
      <c r="S68" s="347"/>
      <c r="T68" s="347"/>
      <c r="U68" s="347"/>
      <c r="V68" s="347"/>
      <c r="W68" s="347"/>
      <c r="X68" s="347"/>
      <c r="Y68" s="347"/>
      <c r="Z68" s="347"/>
      <c r="AA68" s="347"/>
      <c r="AB68" s="347"/>
      <c r="AC68" s="347"/>
      <c r="AD68" s="347"/>
      <c r="AE68" s="347"/>
      <c r="AF68" s="347"/>
      <c r="AG68" s="347"/>
    </row>
    <row r="69" spans="1:33" ht="23.1" customHeight="1">
      <c r="A69" s="344" t="s">
        <v>1605</v>
      </c>
      <c r="B69" s="344" t="s">
        <v>1605</v>
      </c>
      <c r="C69" s="353" t="s">
        <v>1606</v>
      </c>
      <c r="D69" s="354" t="s">
        <v>542</v>
      </c>
      <c r="E69" s="354" t="s">
        <v>543</v>
      </c>
      <c r="F69" s="355" t="s">
        <v>265</v>
      </c>
      <c r="G69" s="356"/>
      <c r="H69" s="357">
        <f>일위대가!I458</f>
        <v>666</v>
      </c>
      <c r="I69" s="357">
        <f t="shared" si="5"/>
        <v>666</v>
      </c>
      <c r="J69" s="357"/>
      <c r="K69" s="357">
        <f>일위대가!L458</f>
        <v>25983</v>
      </c>
      <c r="L69" s="357">
        <f t="shared" si="6"/>
        <v>25983</v>
      </c>
      <c r="M69" s="357">
        <f>일위대가!N458</f>
        <v>0</v>
      </c>
      <c r="N69" s="357">
        <f t="shared" si="7"/>
        <v>0</v>
      </c>
      <c r="O69" s="357">
        <f t="shared" si="8"/>
        <v>26649</v>
      </c>
      <c r="P69" s="357">
        <f t="shared" si="9"/>
        <v>26649</v>
      </c>
      <c r="Q69" s="354"/>
      <c r="R69" s="347"/>
      <c r="S69" s="347"/>
      <c r="T69" s="347"/>
      <c r="U69" s="347"/>
      <c r="V69" s="347"/>
      <c r="W69" s="347"/>
      <c r="X69" s="347"/>
      <c r="Y69" s="347"/>
      <c r="Z69" s="347"/>
      <c r="AA69" s="347"/>
      <c r="AB69" s="347"/>
      <c r="AC69" s="347"/>
      <c r="AD69" s="347"/>
      <c r="AE69" s="347"/>
      <c r="AF69" s="347"/>
      <c r="AG69" s="347"/>
    </row>
    <row r="70" spans="1:33" ht="23.1" customHeight="1">
      <c r="A70" s="344" t="s">
        <v>655</v>
      </c>
      <c r="B70" s="344" t="s">
        <v>655</v>
      </c>
      <c r="C70" s="353" t="s">
        <v>1607</v>
      </c>
      <c r="D70" s="354" t="s">
        <v>276</v>
      </c>
      <c r="E70" s="354" t="s">
        <v>277</v>
      </c>
      <c r="F70" s="355" t="s">
        <v>300</v>
      </c>
      <c r="G70" s="356"/>
      <c r="H70" s="357">
        <f>일위대가!I465</f>
        <v>244</v>
      </c>
      <c r="I70" s="357">
        <f t="shared" si="5"/>
        <v>244</v>
      </c>
      <c r="J70" s="357"/>
      <c r="K70" s="357">
        <f>일위대가!L465</f>
        <v>251</v>
      </c>
      <c r="L70" s="357">
        <f t="shared" si="6"/>
        <v>251</v>
      </c>
      <c r="M70" s="357">
        <f>일위대가!N465</f>
        <v>0</v>
      </c>
      <c r="N70" s="357">
        <f t="shared" si="7"/>
        <v>0</v>
      </c>
      <c r="O70" s="357">
        <f t="shared" si="8"/>
        <v>495</v>
      </c>
      <c r="P70" s="357">
        <f t="shared" si="9"/>
        <v>495</v>
      </c>
      <c r="Q70" s="354"/>
      <c r="R70" s="347"/>
      <c r="S70" s="347"/>
      <c r="T70" s="347"/>
      <c r="U70" s="347"/>
      <c r="V70" s="347"/>
      <c r="W70" s="347"/>
      <c r="X70" s="347"/>
      <c r="Y70" s="347"/>
      <c r="Z70" s="347"/>
      <c r="AA70" s="347"/>
      <c r="AB70" s="347"/>
      <c r="AC70" s="347"/>
      <c r="AD70" s="347"/>
      <c r="AE70" s="347"/>
      <c r="AF70" s="347"/>
      <c r="AG70" s="347"/>
    </row>
    <row r="71" spans="1:33" ht="23.1" customHeight="1">
      <c r="A71" s="344" t="s">
        <v>1608</v>
      </c>
      <c r="B71" s="344" t="s">
        <v>1608</v>
      </c>
      <c r="C71" s="353" t="s">
        <v>1609</v>
      </c>
      <c r="D71" s="354" t="s">
        <v>289</v>
      </c>
      <c r="E71" s="354" t="s">
        <v>290</v>
      </c>
      <c r="F71" s="355" t="s">
        <v>291</v>
      </c>
      <c r="G71" s="356"/>
      <c r="H71" s="357">
        <f>일위대가!I471</f>
        <v>40715</v>
      </c>
      <c r="I71" s="357">
        <f t="shared" si="5"/>
        <v>40715</v>
      </c>
      <c r="J71" s="357"/>
      <c r="K71" s="357">
        <f>일위대가!L471</f>
        <v>43558</v>
      </c>
      <c r="L71" s="357">
        <f t="shared" si="6"/>
        <v>43558</v>
      </c>
      <c r="M71" s="357">
        <f>일위대가!N471</f>
        <v>0</v>
      </c>
      <c r="N71" s="357">
        <f t="shared" si="7"/>
        <v>0</v>
      </c>
      <c r="O71" s="357">
        <f t="shared" si="8"/>
        <v>84273</v>
      </c>
      <c r="P71" s="357">
        <f t="shared" si="9"/>
        <v>84273</v>
      </c>
      <c r="Q71" s="354"/>
      <c r="R71" s="347"/>
      <c r="S71" s="347"/>
      <c r="T71" s="347"/>
      <c r="U71" s="347"/>
      <c r="V71" s="347"/>
      <c r="W71" s="347"/>
      <c r="X71" s="347"/>
      <c r="Y71" s="347"/>
      <c r="Z71" s="347"/>
      <c r="AA71" s="347"/>
      <c r="AB71" s="347"/>
      <c r="AC71" s="347"/>
      <c r="AD71" s="347"/>
      <c r="AE71" s="347"/>
      <c r="AF71" s="347"/>
      <c r="AG71" s="347"/>
    </row>
    <row r="72" spans="1:33" ht="23.1" customHeight="1">
      <c r="A72" s="344" t="s">
        <v>1610</v>
      </c>
      <c r="B72" s="344" t="s">
        <v>1610</v>
      </c>
      <c r="C72" s="353" t="s">
        <v>1611</v>
      </c>
      <c r="D72" s="354" t="s">
        <v>463</v>
      </c>
      <c r="E72" s="354" t="s">
        <v>464</v>
      </c>
      <c r="F72" s="355" t="s">
        <v>280</v>
      </c>
      <c r="G72" s="356"/>
      <c r="H72" s="357">
        <f>일위대가!I477</f>
        <v>458</v>
      </c>
      <c r="I72" s="357">
        <f t="shared" si="5"/>
        <v>458</v>
      </c>
      <c r="J72" s="357"/>
      <c r="K72" s="357">
        <f>일위대가!L477</f>
        <v>22925</v>
      </c>
      <c r="L72" s="357">
        <f t="shared" si="6"/>
        <v>22925</v>
      </c>
      <c r="M72" s="357">
        <f>일위대가!N477</f>
        <v>0</v>
      </c>
      <c r="N72" s="357">
        <f t="shared" si="7"/>
        <v>0</v>
      </c>
      <c r="O72" s="357">
        <f t="shared" si="8"/>
        <v>23383</v>
      </c>
      <c r="P72" s="357">
        <f t="shared" si="9"/>
        <v>23383</v>
      </c>
      <c r="Q72" s="354"/>
      <c r="R72" s="347"/>
      <c r="S72" s="347"/>
      <c r="T72" s="347"/>
      <c r="U72" s="347"/>
      <c r="V72" s="347"/>
      <c r="W72" s="347"/>
      <c r="X72" s="347"/>
      <c r="Y72" s="347"/>
      <c r="Z72" s="347"/>
      <c r="AA72" s="347"/>
      <c r="AB72" s="347"/>
      <c r="AC72" s="347"/>
      <c r="AD72" s="347"/>
      <c r="AE72" s="347"/>
      <c r="AF72" s="347"/>
      <c r="AG72" s="347"/>
    </row>
    <row r="73" spans="1:33" ht="23.1" customHeight="1">
      <c r="A73" s="344" t="s">
        <v>638</v>
      </c>
      <c r="B73" s="344" t="s">
        <v>638</v>
      </c>
      <c r="C73" s="353" t="s">
        <v>1612</v>
      </c>
      <c r="D73" s="354" t="s">
        <v>270</v>
      </c>
      <c r="E73" s="354" t="s">
        <v>272</v>
      </c>
      <c r="F73" s="355" t="s">
        <v>255</v>
      </c>
      <c r="G73" s="356"/>
      <c r="H73" s="357">
        <f>일위대가!I485</f>
        <v>2015</v>
      </c>
      <c r="I73" s="357">
        <f t="shared" si="5"/>
        <v>2015</v>
      </c>
      <c r="J73" s="357"/>
      <c r="K73" s="357">
        <f>일위대가!L485</f>
        <v>3263</v>
      </c>
      <c r="L73" s="357">
        <f t="shared" si="6"/>
        <v>3263</v>
      </c>
      <c r="M73" s="357">
        <f>일위대가!N485</f>
        <v>0</v>
      </c>
      <c r="N73" s="357">
        <f t="shared" si="7"/>
        <v>0</v>
      </c>
      <c r="O73" s="357">
        <f t="shared" si="8"/>
        <v>5278</v>
      </c>
      <c r="P73" s="357">
        <f t="shared" si="9"/>
        <v>5278</v>
      </c>
      <c r="Q73" s="354"/>
      <c r="R73" s="347"/>
      <c r="S73" s="347"/>
      <c r="T73" s="347"/>
      <c r="U73" s="347"/>
      <c r="V73" s="347"/>
      <c r="W73" s="347"/>
      <c r="X73" s="347"/>
      <c r="Y73" s="347"/>
      <c r="Z73" s="347"/>
      <c r="AA73" s="347"/>
      <c r="AB73" s="347"/>
      <c r="AC73" s="347"/>
      <c r="AD73" s="347"/>
      <c r="AE73" s="347"/>
      <c r="AF73" s="347"/>
      <c r="AG73" s="347"/>
    </row>
    <row r="74" spans="1:33" ht="23.1" customHeight="1">
      <c r="A74" s="344" t="s">
        <v>642</v>
      </c>
      <c r="B74" s="344" t="s">
        <v>642</v>
      </c>
      <c r="C74" s="353" t="s">
        <v>1613</v>
      </c>
      <c r="D74" s="354" t="s">
        <v>270</v>
      </c>
      <c r="E74" s="354" t="s">
        <v>273</v>
      </c>
      <c r="F74" s="355" t="s">
        <v>255</v>
      </c>
      <c r="G74" s="356"/>
      <c r="H74" s="357">
        <f>일위대가!I493</f>
        <v>2008</v>
      </c>
      <c r="I74" s="357">
        <f t="shared" si="5"/>
        <v>2008</v>
      </c>
      <c r="J74" s="357"/>
      <c r="K74" s="357">
        <f>일위대가!L493</f>
        <v>2939</v>
      </c>
      <c r="L74" s="357">
        <f t="shared" si="6"/>
        <v>2939</v>
      </c>
      <c r="M74" s="357">
        <f>일위대가!N493</f>
        <v>0</v>
      </c>
      <c r="N74" s="357">
        <f t="shared" si="7"/>
        <v>0</v>
      </c>
      <c r="O74" s="357">
        <f t="shared" si="8"/>
        <v>4947</v>
      </c>
      <c r="P74" s="357">
        <f t="shared" si="9"/>
        <v>4947</v>
      </c>
      <c r="Q74" s="354"/>
      <c r="R74" s="347"/>
      <c r="S74" s="347"/>
      <c r="T74" s="347"/>
      <c r="U74" s="347"/>
      <c r="V74" s="347"/>
      <c r="W74" s="347"/>
      <c r="X74" s="347"/>
      <c r="Y74" s="347"/>
      <c r="Z74" s="347"/>
      <c r="AA74" s="347"/>
      <c r="AB74" s="347"/>
      <c r="AC74" s="347"/>
      <c r="AD74" s="347"/>
      <c r="AE74" s="347"/>
      <c r="AF74" s="347"/>
      <c r="AG74" s="347"/>
    </row>
    <row r="75" spans="1:33" ht="23.1" customHeight="1">
      <c r="A75" s="344" t="s">
        <v>634</v>
      </c>
      <c r="B75" s="344" t="s">
        <v>634</v>
      </c>
      <c r="C75" s="353" t="s">
        <v>1614</v>
      </c>
      <c r="D75" s="354" t="s">
        <v>270</v>
      </c>
      <c r="E75" s="354" t="s">
        <v>271</v>
      </c>
      <c r="F75" s="355" t="s">
        <v>255</v>
      </c>
      <c r="G75" s="356"/>
      <c r="H75" s="357">
        <f>일위대가!I501</f>
        <v>1150</v>
      </c>
      <c r="I75" s="357">
        <f t="shared" si="5"/>
        <v>1150</v>
      </c>
      <c r="J75" s="357"/>
      <c r="K75" s="357">
        <f>일위대가!L501</f>
        <v>3263</v>
      </c>
      <c r="L75" s="357">
        <f t="shared" si="6"/>
        <v>3263</v>
      </c>
      <c r="M75" s="357">
        <f>일위대가!N501</f>
        <v>0</v>
      </c>
      <c r="N75" s="357">
        <f t="shared" si="7"/>
        <v>0</v>
      </c>
      <c r="O75" s="357">
        <f t="shared" si="8"/>
        <v>4413</v>
      </c>
      <c r="P75" s="357">
        <f t="shared" si="9"/>
        <v>4413</v>
      </c>
      <c r="Q75" s="354"/>
      <c r="R75" s="347"/>
      <c r="S75" s="347"/>
      <c r="T75" s="347"/>
      <c r="U75" s="347"/>
      <c r="V75" s="347"/>
      <c r="W75" s="347"/>
      <c r="X75" s="347"/>
      <c r="Y75" s="347"/>
      <c r="Z75" s="347"/>
      <c r="AA75" s="347"/>
      <c r="AB75" s="347"/>
      <c r="AC75" s="347"/>
      <c r="AD75" s="347"/>
      <c r="AE75" s="347"/>
      <c r="AF75" s="347"/>
      <c r="AG75" s="347"/>
    </row>
    <row r="76" spans="1:33" ht="23.1" customHeight="1">
      <c r="A76" s="344" t="s">
        <v>629</v>
      </c>
      <c r="B76" s="344" t="s">
        <v>629</v>
      </c>
      <c r="C76" s="353" t="s">
        <v>1615</v>
      </c>
      <c r="D76" s="354" t="s">
        <v>268</v>
      </c>
      <c r="E76" s="354" t="s">
        <v>269</v>
      </c>
      <c r="F76" s="355" t="s">
        <v>255</v>
      </c>
      <c r="G76" s="356"/>
      <c r="H76" s="357">
        <f>일위대가!I508</f>
        <v>738</v>
      </c>
      <c r="I76" s="357">
        <f t="shared" si="5"/>
        <v>738</v>
      </c>
      <c r="J76" s="357"/>
      <c r="K76" s="357">
        <f>일위대가!L508</f>
        <v>1375</v>
      </c>
      <c r="L76" s="357">
        <f t="shared" si="6"/>
        <v>1375</v>
      </c>
      <c r="M76" s="357">
        <f>일위대가!N508</f>
        <v>0</v>
      </c>
      <c r="N76" s="357">
        <f t="shared" si="7"/>
        <v>0</v>
      </c>
      <c r="O76" s="357">
        <f t="shared" si="8"/>
        <v>2113</v>
      </c>
      <c r="P76" s="357">
        <f t="shared" si="9"/>
        <v>2113</v>
      </c>
      <c r="Q76" s="354"/>
      <c r="R76" s="347"/>
      <c r="S76" s="347"/>
      <c r="T76" s="347"/>
      <c r="U76" s="347"/>
      <c r="V76" s="347"/>
      <c r="W76" s="347"/>
      <c r="X76" s="347"/>
      <c r="Y76" s="347"/>
      <c r="Z76" s="347"/>
      <c r="AA76" s="347"/>
      <c r="AB76" s="347"/>
      <c r="AC76" s="347"/>
      <c r="AD76" s="347"/>
      <c r="AE76" s="347"/>
      <c r="AF76" s="347"/>
      <c r="AG76" s="347"/>
    </row>
    <row r="77" spans="1:33" ht="23.1" customHeight="1">
      <c r="A77" s="344" t="s">
        <v>1616</v>
      </c>
      <c r="B77" s="344" t="s">
        <v>1616</v>
      </c>
      <c r="C77" s="353" t="s">
        <v>1617</v>
      </c>
      <c r="D77" s="354" t="s">
        <v>270</v>
      </c>
      <c r="E77" s="354" t="s">
        <v>352</v>
      </c>
      <c r="F77" s="355" t="s">
        <v>255</v>
      </c>
      <c r="G77" s="356"/>
      <c r="H77" s="357">
        <f>일위대가!I516</f>
        <v>25140</v>
      </c>
      <c r="I77" s="357">
        <f t="shared" si="5"/>
        <v>25140</v>
      </c>
      <c r="J77" s="357"/>
      <c r="K77" s="357">
        <f>일위대가!L516</f>
        <v>5849</v>
      </c>
      <c r="L77" s="357">
        <f t="shared" si="6"/>
        <v>5849</v>
      </c>
      <c r="M77" s="357">
        <f>일위대가!N516</f>
        <v>0</v>
      </c>
      <c r="N77" s="357">
        <f t="shared" si="7"/>
        <v>0</v>
      </c>
      <c r="O77" s="357">
        <f t="shared" si="8"/>
        <v>30989</v>
      </c>
      <c r="P77" s="357">
        <f t="shared" si="9"/>
        <v>30989</v>
      </c>
      <c r="Q77" s="354"/>
      <c r="R77" s="347"/>
      <c r="S77" s="347"/>
      <c r="T77" s="347"/>
      <c r="U77" s="347"/>
      <c r="V77" s="347"/>
      <c r="W77" s="347"/>
      <c r="X77" s="347"/>
      <c r="Y77" s="347"/>
      <c r="Z77" s="347"/>
      <c r="AA77" s="347"/>
      <c r="AB77" s="347"/>
      <c r="AC77" s="347"/>
      <c r="AD77" s="347"/>
      <c r="AE77" s="347"/>
      <c r="AF77" s="347"/>
      <c r="AG77" s="347"/>
    </row>
    <row r="78" spans="1:33" ht="23.1" customHeight="1">
      <c r="A78" s="344" t="s">
        <v>1618</v>
      </c>
      <c r="B78" s="344" t="s">
        <v>1618</v>
      </c>
      <c r="C78" s="353" t="s">
        <v>1619</v>
      </c>
      <c r="D78" s="354" t="s">
        <v>268</v>
      </c>
      <c r="E78" s="354" t="s">
        <v>537</v>
      </c>
      <c r="F78" s="355" t="s">
        <v>255</v>
      </c>
      <c r="G78" s="356"/>
      <c r="H78" s="357">
        <f>일위대가!I523</f>
        <v>1749</v>
      </c>
      <c r="I78" s="357">
        <f t="shared" si="5"/>
        <v>1749</v>
      </c>
      <c r="J78" s="357"/>
      <c r="K78" s="357">
        <f>일위대가!L523</f>
        <v>1604</v>
      </c>
      <c r="L78" s="357">
        <f t="shared" si="6"/>
        <v>1604</v>
      </c>
      <c r="M78" s="357">
        <f>일위대가!N523</f>
        <v>0</v>
      </c>
      <c r="N78" s="357">
        <f t="shared" si="7"/>
        <v>0</v>
      </c>
      <c r="O78" s="357">
        <f t="shared" si="8"/>
        <v>3353</v>
      </c>
      <c r="P78" s="357">
        <f t="shared" si="9"/>
        <v>3353</v>
      </c>
      <c r="Q78" s="354"/>
      <c r="R78" s="347"/>
      <c r="S78" s="347"/>
      <c r="T78" s="347"/>
      <c r="U78" s="347"/>
      <c r="V78" s="347"/>
      <c r="W78" s="347"/>
      <c r="X78" s="347"/>
      <c r="Y78" s="347"/>
      <c r="Z78" s="347"/>
      <c r="AA78" s="347"/>
      <c r="AB78" s="347"/>
      <c r="AC78" s="347"/>
      <c r="AD78" s="347"/>
      <c r="AE78" s="347"/>
      <c r="AF78" s="347"/>
      <c r="AG78" s="347"/>
    </row>
    <row r="79" spans="1:33" ht="23.1" customHeight="1">
      <c r="A79" s="344" t="s">
        <v>599</v>
      </c>
      <c r="B79" s="344" t="s">
        <v>599</v>
      </c>
      <c r="C79" s="353" t="s">
        <v>1620</v>
      </c>
      <c r="D79" s="354" t="s">
        <v>256</v>
      </c>
      <c r="E79" s="354" t="s">
        <v>257</v>
      </c>
      <c r="F79" s="355" t="s">
        <v>255</v>
      </c>
      <c r="G79" s="356"/>
      <c r="H79" s="357">
        <f>일위대가!I532</f>
        <v>431</v>
      </c>
      <c r="I79" s="357">
        <f t="shared" si="5"/>
        <v>431</v>
      </c>
      <c r="J79" s="357"/>
      <c r="K79" s="357">
        <f>일위대가!L532</f>
        <v>5786</v>
      </c>
      <c r="L79" s="357">
        <f t="shared" si="6"/>
        <v>5786</v>
      </c>
      <c r="M79" s="357">
        <f>일위대가!N532</f>
        <v>0</v>
      </c>
      <c r="N79" s="357">
        <f t="shared" si="7"/>
        <v>0</v>
      </c>
      <c r="O79" s="357">
        <f t="shared" si="8"/>
        <v>6217</v>
      </c>
      <c r="P79" s="357">
        <f t="shared" si="9"/>
        <v>6217</v>
      </c>
      <c r="Q79" s="354"/>
      <c r="R79" s="347"/>
      <c r="S79" s="347"/>
      <c r="T79" s="347"/>
      <c r="U79" s="347"/>
      <c r="V79" s="347"/>
      <c r="W79" s="347"/>
      <c r="X79" s="347"/>
      <c r="Y79" s="347"/>
      <c r="Z79" s="347"/>
      <c r="AA79" s="347"/>
      <c r="AB79" s="347"/>
      <c r="AC79" s="347"/>
      <c r="AD79" s="347"/>
      <c r="AE79" s="347"/>
      <c r="AF79" s="347"/>
      <c r="AG79" s="347"/>
    </row>
    <row r="80" spans="1:33" ht="23.1" customHeight="1">
      <c r="A80" s="344" t="s">
        <v>603</v>
      </c>
      <c r="B80" s="344" t="s">
        <v>603</v>
      </c>
      <c r="C80" s="353" t="s">
        <v>1621</v>
      </c>
      <c r="D80" s="354" t="s">
        <v>256</v>
      </c>
      <c r="E80" s="354" t="s">
        <v>258</v>
      </c>
      <c r="F80" s="355" t="s">
        <v>255</v>
      </c>
      <c r="G80" s="356"/>
      <c r="H80" s="357">
        <f>일위대가!I541</f>
        <v>565</v>
      </c>
      <c r="I80" s="357">
        <f t="shared" si="5"/>
        <v>565</v>
      </c>
      <c r="J80" s="357"/>
      <c r="K80" s="357">
        <f>일위대가!L541</f>
        <v>7080</v>
      </c>
      <c r="L80" s="357">
        <f t="shared" si="6"/>
        <v>7080</v>
      </c>
      <c r="M80" s="357">
        <f>일위대가!N541</f>
        <v>0</v>
      </c>
      <c r="N80" s="357">
        <f t="shared" si="7"/>
        <v>0</v>
      </c>
      <c r="O80" s="357">
        <f t="shared" si="8"/>
        <v>7645</v>
      </c>
      <c r="P80" s="357">
        <f t="shared" si="9"/>
        <v>7645</v>
      </c>
      <c r="Q80" s="354"/>
      <c r="R80" s="347"/>
      <c r="S80" s="347"/>
      <c r="T80" s="347"/>
      <c r="U80" s="347"/>
      <c r="V80" s="347"/>
      <c r="W80" s="347"/>
      <c r="X80" s="347"/>
      <c r="Y80" s="347"/>
      <c r="Z80" s="347"/>
      <c r="AA80" s="347"/>
      <c r="AB80" s="347"/>
      <c r="AC80" s="347"/>
      <c r="AD80" s="347"/>
      <c r="AE80" s="347"/>
      <c r="AF80" s="347"/>
      <c r="AG80" s="347"/>
    </row>
    <row r="81" spans="1:33" ht="23.1" customHeight="1">
      <c r="A81" s="344" t="s">
        <v>1622</v>
      </c>
      <c r="B81" s="344" t="s">
        <v>1622</v>
      </c>
      <c r="C81" s="353" t="s">
        <v>1623</v>
      </c>
      <c r="D81" s="354" t="s">
        <v>465</v>
      </c>
      <c r="E81" s="354" t="s">
        <v>466</v>
      </c>
      <c r="F81" s="355" t="s">
        <v>294</v>
      </c>
      <c r="G81" s="356"/>
      <c r="H81" s="357">
        <f>일위대가!I547</f>
        <v>1085</v>
      </c>
      <c r="I81" s="357">
        <f t="shared" si="5"/>
        <v>1085</v>
      </c>
      <c r="J81" s="357"/>
      <c r="K81" s="357">
        <f>일위대가!L547</f>
        <v>54264</v>
      </c>
      <c r="L81" s="357">
        <f t="shared" si="6"/>
        <v>54264</v>
      </c>
      <c r="M81" s="357">
        <f>일위대가!N547</f>
        <v>0</v>
      </c>
      <c r="N81" s="357">
        <f t="shared" si="7"/>
        <v>0</v>
      </c>
      <c r="O81" s="357">
        <f t="shared" si="8"/>
        <v>55349</v>
      </c>
      <c r="P81" s="357">
        <f t="shared" si="9"/>
        <v>55349</v>
      </c>
      <c r="Q81" s="354"/>
      <c r="R81" s="347"/>
      <c r="S81" s="347"/>
      <c r="T81" s="347"/>
      <c r="U81" s="347"/>
      <c r="V81" s="347"/>
      <c r="W81" s="347"/>
      <c r="X81" s="347"/>
      <c r="Y81" s="347"/>
      <c r="Z81" s="347"/>
      <c r="AA81" s="347"/>
      <c r="AB81" s="347"/>
      <c r="AC81" s="347"/>
      <c r="AD81" s="347"/>
      <c r="AE81" s="347"/>
      <c r="AF81" s="347"/>
      <c r="AG81" s="347"/>
    </row>
    <row r="82" spans="1:33" ht="23.1" customHeight="1">
      <c r="A82" s="344" t="s">
        <v>1624</v>
      </c>
      <c r="B82" s="344" t="s">
        <v>1624</v>
      </c>
      <c r="C82" s="353" t="s">
        <v>1625</v>
      </c>
      <c r="D82" s="354" t="s">
        <v>467</v>
      </c>
      <c r="E82" s="354" t="s">
        <v>468</v>
      </c>
      <c r="F82" s="355" t="s">
        <v>294</v>
      </c>
      <c r="G82" s="356"/>
      <c r="H82" s="357">
        <f>일위대가!I553</f>
        <v>911</v>
      </c>
      <c r="I82" s="357">
        <f t="shared" si="5"/>
        <v>911</v>
      </c>
      <c r="J82" s="357"/>
      <c r="K82" s="357">
        <f>일위대가!L553</f>
        <v>45598</v>
      </c>
      <c r="L82" s="357">
        <f t="shared" si="6"/>
        <v>45598</v>
      </c>
      <c r="M82" s="357">
        <f>일위대가!N553</f>
        <v>0</v>
      </c>
      <c r="N82" s="357">
        <f t="shared" si="7"/>
        <v>0</v>
      </c>
      <c r="O82" s="357">
        <f t="shared" si="8"/>
        <v>46509</v>
      </c>
      <c r="P82" s="357">
        <f t="shared" si="9"/>
        <v>46509</v>
      </c>
      <c r="Q82" s="354" t="s">
        <v>1493</v>
      </c>
      <c r="R82" s="347"/>
      <c r="S82" s="347"/>
      <c r="T82" s="347"/>
      <c r="U82" s="347"/>
      <c r="V82" s="347"/>
      <c r="W82" s="347"/>
      <c r="X82" s="347"/>
      <c r="Y82" s="347"/>
      <c r="Z82" s="347"/>
      <c r="AA82" s="347"/>
      <c r="AB82" s="347"/>
      <c r="AC82" s="347"/>
      <c r="AD82" s="347"/>
      <c r="AE82" s="347"/>
      <c r="AF82" s="347"/>
      <c r="AG82" s="347"/>
    </row>
    <row r="83" spans="1:33" ht="23.1" customHeight="1">
      <c r="A83" s="344" t="s">
        <v>1626</v>
      </c>
      <c r="B83" s="344" t="s">
        <v>1626</v>
      </c>
      <c r="C83" s="353" t="s">
        <v>1627</v>
      </c>
      <c r="D83" s="354" t="s">
        <v>469</v>
      </c>
      <c r="E83" s="354" t="s">
        <v>470</v>
      </c>
      <c r="F83" s="355" t="s">
        <v>294</v>
      </c>
      <c r="G83" s="356"/>
      <c r="H83" s="357">
        <f>일위대가!I559</f>
        <v>1233</v>
      </c>
      <c r="I83" s="357">
        <f t="shared" si="5"/>
        <v>1233</v>
      </c>
      <c r="J83" s="357"/>
      <c r="K83" s="357">
        <f>일위대가!L559</f>
        <v>61669</v>
      </c>
      <c r="L83" s="357">
        <f t="shared" si="6"/>
        <v>61669</v>
      </c>
      <c r="M83" s="357">
        <f>일위대가!N559</f>
        <v>0</v>
      </c>
      <c r="N83" s="357">
        <f t="shared" si="7"/>
        <v>0</v>
      </c>
      <c r="O83" s="357">
        <f t="shared" si="8"/>
        <v>62902</v>
      </c>
      <c r="P83" s="357">
        <f t="shared" si="9"/>
        <v>62902</v>
      </c>
      <c r="Q83" s="354"/>
      <c r="R83" s="347"/>
      <c r="S83" s="347"/>
      <c r="T83" s="347"/>
      <c r="U83" s="347"/>
      <c r="V83" s="347"/>
      <c r="W83" s="347"/>
      <c r="X83" s="347"/>
      <c r="Y83" s="347"/>
      <c r="Z83" s="347"/>
      <c r="AA83" s="347"/>
      <c r="AB83" s="347"/>
      <c r="AC83" s="347"/>
      <c r="AD83" s="347"/>
      <c r="AE83" s="347"/>
      <c r="AF83" s="347"/>
      <c r="AG83" s="347"/>
    </row>
    <row r="84" spans="1:33" ht="23.1" customHeight="1">
      <c r="A84" s="344" t="s">
        <v>1628</v>
      </c>
      <c r="B84" s="344" t="s">
        <v>1628</v>
      </c>
      <c r="C84" s="353" t="s">
        <v>1629</v>
      </c>
      <c r="D84" s="354" t="s">
        <v>471</v>
      </c>
      <c r="E84" s="354" t="s">
        <v>472</v>
      </c>
      <c r="F84" s="355" t="s">
        <v>294</v>
      </c>
      <c r="G84" s="356"/>
      <c r="H84" s="357">
        <f>일위대가!I565</f>
        <v>687</v>
      </c>
      <c r="I84" s="357">
        <f t="shared" si="5"/>
        <v>687</v>
      </c>
      <c r="J84" s="357"/>
      <c r="K84" s="357">
        <f>일위대가!L565</f>
        <v>34387</v>
      </c>
      <c r="L84" s="357">
        <f t="shared" si="6"/>
        <v>34387</v>
      </c>
      <c r="M84" s="357">
        <f>일위대가!N565</f>
        <v>0</v>
      </c>
      <c r="N84" s="357">
        <f t="shared" si="7"/>
        <v>0</v>
      </c>
      <c r="O84" s="357">
        <f t="shared" si="8"/>
        <v>35074</v>
      </c>
      <c r="P84" s="357">
        <f t="shared" si="9"/>
        <v>35074</v>
      </c>
      <c r="Q84" s="354"/>
      <c r="R84" s="347"/>
      <c r="S84" s="347"/>
      <c r="T84" s="347"/>
      <c r="U84" s="347"/>
      <c r="V84" s="347"/>
      <c r="W84" s="347"/>
      <c r="X84" s="347"/>
      <c r="Y84" s="347"/>
      <c r="Z84" s="347"/>
      <c r="AA84" s="347"/>
      <c r="AB84" s="347"/>
      <c r="AC84" s="347"/>
      <c r="AD84" s="347"/>
      <c r="AE84" s="347"/>
      <c r="AF84" s="347"/>
      <c r="AG84" s="347"/>
    </row>
    <row r="85" spans="1:33" ht="23.1" customHeight="1">
      <c r="A85" s="344" t="s">
        <v>1630</v>
      </c>
      <c r="B85" s="344" t="s">
        <v>1630</v>
      </c>
      <c r="C85" s="353" t="s">
        <v>1631</v>
      </c>
      <c r="D85" s="354" t="s">
        <v>473</v>
      </c>
      <c r="E85" s="354" t="s">
        <v>474</v>
      </c>
      <c r="F85" s="355" t="s">
        <v>294</v>
      </c>
      <c r="G85" s="356"/>
      <c r="H85" s="357">
        <f>일위대가!I571</f>
        <v>639</v>
      </c>
      <c r="I85" s="357">
        <f t="shared" si="5"/>
        <v>639</v>
      </c>
      <c r="J85" s="357"/>
      <c r="K85" s="357">
        <f>일위대가!L571</f>
        <v>31980</v>
      </c>
      <c r="L85" s="357">
        <f t="shared" si="6"/>
        <v>31980</v>
      </c>
      <c r="M85" s="357">
        <f>일위대가!N571</f>
        <v>0</v>
      </c>
      <c r="N85" s="357">
        <f t="shared" si="7"/>
        <v>0</v>
      </c>
      <c r="O85" s="357">
        <f t="shared" si="8"/>
        <v>32619</v>
      </c>
      <c r="P85" s="357">
        <f t="shared" si="9"/>
        <v>32619</v>
      </c>
      <c r="Q85" s="354"/>
      <c r="R85" s="347"/>
      <c r="S85" s="347"/>
      <c r="T85" s="347"/>
      <c r="U85" s="347"/>
      <c r="V85" s="347"/>
      <c r="W85" s="347"/>
      <c r="X85" s="347"/>
      <c r="Y85" s="347"/>
      <c r="Z85" s="347"/>
      <c r="AA85" s="347"/>
      <c r="AB85" s="347"/>
      <c r="AC85" s="347"/>
      <c r="AD85" s="347"/>
      <c r="AE85" s="347"/>
      <c r="AF85" s="347"/>
      <c r="AG85" s="347"/>
    </row>
    <row r="86" spans="1:33" ht="23.1" customHeight="1">
      <c r="A86" s="344" t="s">
        <v>1632</v>
      </c>
      <c r="B86" s="344" t="s">
        <v>1632</v>
      </c>
      <c r="C86" s="353" t="s">
        <v>1633</v>
      </c>
      <c r="D86" s="354" t="s">
        <v>475</v>
      </c>
      <c r="E86" s="354" t="s">
        <v>476</v>
      </c>
      <c r="F86" s="355" t="s">
        <v>294</v>
      </c>
      <c r="G86" s="356"/>
      <c r="H86" s="357">
        <f>일위대가!I577</f>
        <v>482</v>
      </c>
      <c r="I86" s="357">
        <f t="shared" si="5"/>
        <v>482</v>
      </c>
      <c r="J86" s="357"/>
      <c r="K86" s="357">
        <f>일위대가!L577</f>
        <v>24140</v>
      </c>
      <c r="L86" s="357">
        <f t="shared" si="6"/>
        <v>24140</v>
      </c>
      <c r="M86" s="357">
        <f>일위대가!N577</f>
        <v>0</v>
      </c>
      <c r="N86" s="357">
        <f t="shared" si="7"/>
        <v>0</v>
      </c>
      <c r="O86" s="357">
        <f t="shared" si="8"/>
        <v>24622</v>
      </c>
      <c r="P86" s="357">
        <f t="shared" si="9"/>
        <v>24622</v>
      </c>
      <c r="Q86" s="354"/>
      <c r="R86" s="347"/>
      <c r="S86" s="347"/>
      <c r="T86" s="347"/>
      <c r="U86" s="347"/>
      <c r="V86" s="347"/>
      <c r="W86" s="347"/>
      <c r="X86" s="347"/>
      <c r="Y86" s="347"/>
      <c r="Z86" s="347"/>
      <c r="AA86" s="347"/>
      <c r="AB86" s="347"/>
      <c r="AC86" s="347"/>
      <c r="AD86" s="347"/>
      <c r="AE86" s="347"/>
      <c r="AF86" s="347"/>
      <c r="AG86" s="347"/>
    </row>
    <row r="87" spans="1:33" ht="23.1" customHeight="1">
      <c r="A87" s="344" t="s">
        <v>1634</v>
      </c>
      <c r="B87" s="344" t="s">
        <v>1634</v>
      </c>
      <c r="C87" s="353" t="s">
        <v>1635</v>
      </c>
      <c r="D87" s="354" t="s">
        <v>292</v>
      </c>
      <c r="E87" s="354" t="s">
        <v>293</v>
      </c>
      <c r="F87" s="355" t="s">
        <v>294</v>
      </c>
      <c r="G87" s="356"/>
      <c r="H87" s="357">
        <f>일위대가!I583</f>
        <v>839</v>
      </c>
      <c r="I87" s="357">
        <f t="shared" si="5"/>
        <v>839</v>
      </c>
      <c r="J87" s="357"/>
      <c r="K87" s="357">
        <f>일위대가!L583</f>
        <v>41953</v>
      </c>
      <c r="L87" s="357">
        <f t="shared" si="6"/>
        <v>41953</v>
      </c>
      <c r="M87" s="357">
        <f>일위대가!N583</f>
        <v>0</v>
      </c>
      <c r="N87" s="357">
        <f t="shared" si="7"/>
        <v>0</v>
      </c>
      <c r="O87" s="357">
        <f t="shared" si="8"/>
        <v>42792</v>
      </c>
      <c r="P87" s="357">
        <f t="shared" si="9"/>
        <v>42792</v>
      </c>
      <c r="Q87" s="354"/>
      <c r="R87" s="347"/>
      <c r="S87" s="347"/>
      <c r="T87" s="347"/>
      <c r="U87" s="347"/>
      <c r="V87" s="347"/>
      <c r="W87" s="347"/>
      <c r="X87" s="347"/>
      <c r="Y87" s="347"/>
      <c r="Z87" s="347"/>
      <c r="AA87" s="347"/>
      <c r="AB87" s="347"/>
      <c r="AC87" s="347"/>
      <c r="AD87" s="347"/>
      <c r="AE87" s="347"/>
      <c r="AF87" s="347"/>
      <c r="AG87" s="347"/>
    </row>
    <row r="88" spans="1:33" ht="23.1" customHeight="1">
      <c r="A88" s="344" t="s">
        <v>1636</v>
      </c>
      <c r="B88" s="344" t="s">
        <v>1636</v>
      </c>
      <c r="C88" s="353" t="s">
        <v>1637</v>
      </c>
      <c r="D88" s="354" t="s">
        <v>295</v>
      </c>
      <c r="E88" s="354" t="s">
        <v>296</v>
      </c>
      <c r="F88" s="355" t="s">
        <v>294</v>
      </c>
      <c r="G88" s="356"/>
      <c r="H88" s="357">
        <f>일위대가!I589</f>
        <v>724</v>
      </c>
      <c r="I88" s="357">
        <f t="shared" si="5"/>
        <v>724</v>
      </c>
      <c r="J88" s="357"/>
      <c r="K88" s="357">
        <f>일위대가!L589</f>
        <v>36210</v>
      </c>
      <c r="L88" s="357">
        <f t="shared" si="6"/>
        <v>36210</v>
      </c>
      <c r="M88" s="357">
        <f>일위대가!N589</f>
        <v>0</v>
      </c>
      <c r="N88" s="357">
        <f t="shared" si="7"/>
        <v>0</v>
      </c>
      <c r="O88" s="357">
        <f t="shared" si="8"/>
        <v>36934</v>
      </c>
      <c r="P88" s="357">
        <f t="shared" si="9"/>
        <v>36934</v>
      </c>
      <c r="Q88" s="354"/>
      <c r="R88" s="347"/>
      <c r="S88" s="347"/>
      <c r="T88" s="347"/>
      <c r="U88" s="347"/>
      <c r="V88" s="347"/>
      <c r="W88" s="347"/>
      <c r="X88" s="347"/>
      <c r="Y88" s="347"/>
      <c r="Z88" s="347"/>
      <c r="AA88" s="347"/>
      <c r="AB88" s="347"/>
      <c r="AC88" s="347"/>
      <c r="AD88" s="347"/>
      <c r="AE88" s="347"/>
      <c r="AF88" s="347"/>
      <c r="AG88" s="347"/>
    </row>
    <row r="89" spans="1:33" ht="23.1" customHeight="1">
      <c r="A89" s="344" t="s">
        <v>1638</v>
      </c>
      <c r="B89" s="344" t="s">
        <v>1638</v>
      </c>
      <c r="C89" s="353" t="s">
        <v>1639</v>
      </c>
      <c r="D89" s="354" t="s">
        <v>418</v>
      </c>
      <c r="E89" s="354" t="s">
        <v>419</v>
      </c>
      <c r="F89" s="355" t="s">
        <v>321</v>
      </c>
      <c r="G89" s="356"/>
      <c r="H89" s="357">
        <f>일위대가!I595</f>
        <v>3026</v>
      </c>
      <c r="I89" s="357">
        <f t="shared" si="5"/>
        <v>3026</v>
      </c>
      <c r="J89" s="357"/>
      <c r="K89" s="357">
        <f>일위대가!L595</f>
        <v>151306</v>
      </c>
      <c r="L89" s="357">
        <f t="shared" si="6"/>
        <v>151306</v>
      </c>
      <c r="M89" s="357">
        <f>일위대가!N595</f>
        <v>0</v>
      </c>
      <c r="N89" s="357">
        <f t="shared" si="7"/>
        <v>0</v>
      </c>
      <c r="O89" s="357">
        <f t="shared" si="8"/>
        <v>154332</v>
      </c>
      <c r="P89" s="357">
        <f t="shared" si="9"/>
        <v>154332</v>
      </c>
      <c r="Q89" s="354"/>
      <c r="R89" s="347"/>
      <c r="S89" s="347"/>
      <c r="T89" s="347"/>
      <c r="U89" s="347"/>
      <c r="V89" s="347"/>
      <c r="W89" s="347"/>
      <c r="X89" s="347"/>
      <c r="Y89" s="347"/>
      <c r="Z89" s="347"/>
      <c r="AA89" s="347"/>
      <c r="AB89" s="347"/>
      <c r="AC89" s="347"/>
      <c r="AD89" s="347"/>
      <c r="AE89" s="347"/>
      <c r="AF89" s="347"/>
      <c r="AG89" s="347"/>
    </row>
    <row r="90" spans="1:33" ht="23.1" customHeight="1">
      <c r="A90" s="344" t="s">
        <v>1640</v>
      </c>
      <c r="B90" s="344" t="s">
        <v>1640</v>
      </c>
      <c r="C90" s="353" t="s">
        <v>1641</v>
      </c>
      <c r="D90" s="354" t="s">
        <v>418</v>
      </c>
      <c r="E90" s="354" t="s">
        <v>420</v>
      </c>
      <c r="F90" s="355" t="s">
        <v>321</v>
      </c>
      <c r="G90" s="356"/>
      <c r="H90" s="357">
        <f>일위대가!I601</f>
        <v>3026</v>
      </c>
      <c r="I90" s="357">
        <f t="shared" si="5"/>
        <v>3026</v>
      </c>
      <c r="J90" s="357"/>
      <c r="K90" s="357">
        <f>일위대가!L601</f>
        <v>151306</v>
      </c>
      <c r="L90" s="357">
        <f t="shared" si="6"/>
        <v>151306</v>
      </c>
      <c r="M90" s="357">
        <f>일위대가!N601</f>
        <v>0</v>
      </c>
      <c r="N90" s="357">
        <f t="shared" si="7"/>
        <v>0</v>
      </c>
      <c r="O90" s="357">
        <f t="shared" si="8"/>
        <v>154332</v>
      </c>
      <c r="P90" s="357">
        <f t="shared" si="9"/>
        <v>154332</v>
      </c>
      <c r="Q90" s="354"/>
      <c r="R90" s="347"/>
      <c r="S90" s="347"/>
      <c r="T90" s="347"/>
      <c r="U90" s="347"/>
      <c r="V90" s="347"/>
      <c r="W90" s="347"/>
      <c r="X90" s="347"/>
      <c r="Y90" s="347"/>
      <c r="Z90" s="347"/>
      <c r="AA90" s="347"/>
      <c r="AB90" s="347"/>
      <c r="AC90" s="347"/>
      <c r="AD90" s="347"/>
      <c r="AE90" s="347"/>
      <c r="AF90" s="347"/>
      <c r="AG90" s="347"/>
    </row>
    <row r="91" spans="1:33" ht="23.1" customHeight="1">
      <c r="A91" s="344" t="s">
        <v>1642</v>
      </c>
      <c r="B91" s="344" t="s">
        <v>1642</v>
      </c>
      <c r="C91" s="353" t="s">
        <v>1643</v>
      </c>
      <c r="D91" s="354" t="s">
        <v>418</v>
      </c>
      <c r="E91" s="354" t="s">
        <v>421</v>
      </c>
      <c r="F91" s="355" t="s">
        <v>321</v>
      </c>
      <c r="G91" s="356"/>
      <c r="H91" s="357">
        <f>일위대가!I607</f>
        <v>3026</v>
      </c>
      <c r="I91" s="357">
        <f t="shared" si="5"/>
        <v>3026</v>
      </c>
      <c r="J91" s="357"/>
      <c r="K91" s="357">
        <f>일위대가!L607</f>
        <v>151306</v>
      </c>
      <c r="L91" s="357">
        <f t="shared" si="6"/>
        <v>151306</v>
      </c>
      <c r="M91" s="357">
        <f>일위대가!N607</f>
        <v>0</v>
      </c>
      <c r="N91" s="357">
        <f t="shared" si="7"/>
        <v>0</v>
      </c>
      <c r="O91" s="357">
        <f t="shared" si="8"/>
        <v>154332</v>
      </c>
      <c r="P91" s="357">
        <f t="shared" si="9"/>
        <v>154332</v>
      </c>
      <c r="Q91" s="354"/>
      <c r="R91" s="347"/>
      <c r="S91" s="347"/>
      <c r="T91" s="347"/>
      <c r="U91" s="347"/>
      <c r="V91" s="347"/>
      <c r="W91" s="347"/>
      <c r="X91" s="347"/>
      <c r="Y91" s="347"/>
      <c r="Z91" s="347"/>
      <c r="AA91" s="347"/>
      <c r="AB91" s="347"/>
      <c r="AC91" s="347"/>
      <c r="AD91" s="347"/>
      <c r="AE91" s="347"/>
      <c r="AF91" s="347"/>
      <c r="AG91" s="347"/>
    </row>
    <row r="92" spans="1:33" ht="23.1" customHeight="1">
      <c r="A92" s="344" t="s">
        <v>1644</v>
      </c>
      <c r="B92" s="344" t="s">
        <v>1644</v>
      </c>
      <c r="C92" s="353" t="s">
        <v>1645</v>
      </c>
      <c r="D92" s="354" t="s">
        <v>544</v>
      </c>
      <c r="E92" s="354" t="s">
        <v>545</v>
      </c>
      <c r="F92" s="355" t="s">
        <v>212</v>
      </c>
      <c r="G92" s="356"/>
      <c r="H92" s="357">
        <f>일위대가!I611</f>
        <v>0</v>
      </c>
      <c r="I92" s="357">
        <f t="shared" si="5"/>
        <v>0</v>
      </c>
      <c r="J92" s="357"/>
      <c r="K92" s="357">
        <f>일위대가!L611</f>
        <v>0</v>
      </c>
      <c r="L92" s="357">
        <f t="shared" si="6"/>
        <v>0</v>
      </c>
      <c r="M92" s="357">
        <f>일위대가!N611</f>
        <v>0</v>
      </c>
      <c r="N92" s="357">
        <f t="shared" si="7"/>
        <v>0</v>
      </c>
      <c r="O92" s="357" t="str">
        <f t="shared" si="8"/>
        <v/>
      </c>
      <c r="P92" s="357">
        <f t="shared" si="9"/>
        <v>0</v>
      </c>
      <c r="Q92" s="354"/>
      <c r="R92" s="347"/>
      <c r="S92" s="347"/>
      <c r="T92" s="347"/>
      <c r="U92" s="347"/>
      <c r="V92" s="347"/>
      <c r="W92" s="347"/>
      <c r="X92" s="347"/>
      <c r="Y92" s="347"/>
      <c r="Z92" s="347"/>
      <c r="AA92" s="347"/>
      <c r="AB92" s="347"/>
      <c r="AC92" s="347"/>
      <c r="AD92" s="347"/>
      <c r="AE92" s="347"/>
      <c r="AF92" s="347"/>
      <c r="AG92" s="347"/>
    </row>
    <row r="93" spans="1:33" ht="23.1" customHeight="1">
      <c r="A93" s="344" t="s">
        <v>1646</v>
      </c>
      <c r="B93" s="344" t="s">
        <v>1646</v>
      </c>
      <c r="C93" s="353" t="s">
        <v>1647</v>
      </c>
      <c r="D93" s="354" t="s">
        <v>270</v>
      </c>
      <c r="E93" s="354" t="s">
        <v>353</v>
      </c>
      <c r="F93" s="355" t="s">
        <v>255</v>
      </c>
      <c r="G93" s="356"/>
      <c r="H93" s="357">
        <f>일위대가!I619</f>
        <v>3508</v>
      </c>
      <c r="I93" s="357">
        <f t="shared" si="5"/>
        <v>3508</v>
      </c>
      <c r="J93" s="357"/>
      <c r="K93" s="357">
        <f>일위대가!L619</f>
        <v>4468</v>
      </c>
      <c r="L93" s="357">
        <f t="shared" si="6"/>
        <v>4468</v>
      </c>
      <c r="M93" s="357">
        <f>일위대가!N619</f>
        <v>0</v>
      </c>
      <c r="N93" s="357">
        <f t="shared" si="7"/>
        <v>0</v>
      </c>
      <c r="O93" s="357">
        <f t="shared" si="8"/>
        <v>7976</v>
      </c>
      <c r="P93" s="357">
        <f t="shared" si="9"/>
        <v>7976</v>
      </c>
      <c r="Q93" s="354"/>
      <c r="R93" s="347"/>
      <c r="S93" s="347"/>
      <c r="T93" s="347"/>
      <c r="U93" s="347"/>
      <c r="V93" s="347"/>
      <c r="W93" s="347"/>
      <c r="X93" s="347"/>
      <c r="Y93" s="347"/>
      <c r="Z93" s="347"/>
      <c r="AA93" s="347"/>
      <c r="AB93" s="347"/>
      <c r="AC93" s="347"/>
      <c r="AD93" s="347"/>
      <c r="AE93" s="347"/>
      <c r="AF93" s="347"/>
      <c r="AG93" s="347"/>
    </row>
    <row r="94" spans="1:33" ht="23.1" customHeight="1">
      <c r="A94" s="344" t="s">
        <v>607</v>
      </c>
      <c r="B94" s="344" t="s">
        <v>607</v>
      </c>
      <c r="C94" s="353" t="s">
        <v>1648</v>
      </c>
      <c r="D94" s="354" t="s">
        <v>256</v>
      </c>
      <c r="E94" s="354" t="s">
        <v>259</v>
      </c>
      <c r="F94" s="355" t="s">
        <v>255</v>
      </c>
      <c r="G94" s="356"/>
      <c r="H94" s="357">
        <f>일위대가!I628</f>
        <v>1080</v>
      </c>
      <c r="I94" s="357">
        <f t="shared" si="5"/>
        <v>1080</v>
      </c>
      <c r="J94" s="357"/>
      <c r="K94" s="357">
        <f>일위대가!L628</f>
        <v>8877</v>
      </c>
      <c r="L94" s="357">
        <f t="shared" si="6"/>
        <v>8877</v>
      </c>
      <c r="M94" s="357">
        <f>일위대가!N628</f>
        <v>0</v>
      </c>
      <c r="N94" s="357">
        <f t="shared" si="7"/>
        <v>0</v>
      </c>
      <c r="O94" s="357">
        <f t="shared" si="8"/>
        <v>9957</v>
      </c>
      <c r="P94" s="357">
        <f t="shared" si="9"/>
        <v>9957</v>
      </c>
      <c r="Q94" s="354"/>
      <c r="R94" s="347"/>
      <c r="S94" s="347"/>
      <c r="T94" s="347"/>
      <c r="U94" s="347"/>
      <c r="V94" s="347"/>
      <c r="W94" s="347"/>
      <c r="X94" s="347"/>
      <c r="Y94" s="347"/>
      <c r="Z94" s="347"/>
      <c r="AA94" s="347"/>
      <c r="AB94" s="347"/>
      <c r="AC94" s="347"/>
      <c r="AD94" s="347"/>
      <c r="AE94" s="347"/>
      <c r="AF94" s="347"/>
      <c r="AG94" s="347"/>
    </row>
    <row r="95" spans="1:33" ht="23.1" customHeight="1">
      <c r="A95" s="344" t="s">
        <v>646</v>
      </c>
      <c r="B95" s="344" t="s">
        <v>646</v>
      </c>
      <c r="C95" s="353" t="s">
        <v>1649</v>
      </c>
      <c r="D95" s="354" t="s">
        <v>270</v>
      </c>
      <c r="E95" s="354" t="s">
        <v>274</v>
      </c>
      <c r="F95" s="355" t="s">
        <v>255</v>
      </c>
      <c r="G95" s="356"/>
      <c r="H95" s="357">
        <f>일위대가!I636</f>
        <v>2004</v>
      </c>
      <c r="I95" s="357">
        <f t="shared" si="5"/>
        <v>2004</v>
      </c>
      <c r="J95" s="357"/>
      <c r="K95" s="357">
        <f>일위대가!L636</f>
        <v>2742</v>
      </c>
      <c r="L95" s="357">
        <f t="shared" si="6"/>
        <v>2742</v>
      </c>
      <c r="M95" s="357">
        <f>일위대가!N636</f>
        <v>0</v>
      </c>
      <c r="N95" s="357">
        <f t="shared" si="7"/>
        <v>0</v>
      </c>
      <c r="O95" s="357">
        <f t="shared" si="8"/>
        <v>4746</v>
      </c>
      <c r="P95" s="357">
        <f t="shared" si="9"/>
        <v>4746</v>
      </c>
      <c r="Q95" s="354"/>
      <c r="R95" s="347"/>
      <c r="S95" s="347"/>
      <c r="T95" s="347"/>
      <c r="U95" s="347"/>
      <c r="V95" s="347"/>
      <c r="W95" s="347"/>
      <c r="X95" s="347"/>
      <c r="Y95" s="347"/>
      <c r="Z95" s="347"/>
      <c r="AA95" s="347"/>
      <c r="AB95" s="347"/>
      <c r="AC95" s="347"/>
      <c r="AD95" s="347"/>
      <c r="AE95" s="347"/>
      <c r="AF95" s="347"/>
      <c r="AG95" s="347"/>
    </row>
    <row r="96" spans="1:33" ht="23.1" customHeight="1">
      <c r="A96" s="344" t="s">
        <v>650</v>
      </c>
      <c r="B96" s="344" t="s">
        <v>650</v>
      </c>
      <c r="C96" s="353" t="s">
        <v>1650</v>
      </c>
      <c r="D96" s="354" t="s">
        <v>270</v>
      </c>
      <c r="E96" s="354" t="s">
        <v>275</v>
      </c>
      <c r="F96" s="355" t="s">
        <v>255</v>
      </c>
      <c r="G96" s="356"/>
      <c r="H96" s="357">
        <f>일위대가!I644</f>
        <v>2003</v>
      </c>
      <c r="I96" s="357">
        <f t="shared" si="5"/>
        <v>2003</v>
      </c>
      <c r="J96" s="357"/>
      <c r="K96" s="357">
        <f>일위대가!L644</f>
        <v>2708</v>
      </c>
      <c r="L96" s="357">
        <f t="shared" si="6"/>
        <v>2708</v>
      </c>
      <c r="M96" s="357">
        <f>일위대가!N644</f>
        <v>0</v>
      </c>
      <c r="N96" s="357">
        <f t="shared" si="7"/>
        <v>0</v>
      </c>
      <c r="O96" s="357">
        <f t="shared" si="8"/>
        <v>4711</v>
      </c>
      <c r="P96" s="357">
        <f t="shared" si="9"/>
        <v>4711</v>
      </c>
      <c r="Q96" s="354"/>
      <c r="R96" s="347"/>
      <c r="S96" s="347"/>
      <c r="T96" s="347"/>
      <c r="U96" s="347"/>
      <c r="V96" s="347"/>
      <c r="W96" s="347"/>
      <c r="X96" s="347"/>
      <c r="Y96" s="347"/>
      <c r="Z96" s="347"/>
      <c r="AA96" s="347"/>
      <c r="AB96" s="347"/>
      <c r="AC96" s="347"/>
      <c r="AD96" s="347"/>
      <c r="AE96" s="347"/>
      <c r="AF96" s="347"/>
      <c r="AG96" s="347"/>
    </row>
    <row r="97" spans="1:33" ht="23.1" customHeight="1">
      <c r="A97" s="344" t="s">
        <v>1651</v>
      </c>
      <c r="B97" s="344" t="s">
        <v>1651</v>
      </c>
      <c r="C97" s="353" t="s">
        <v>1652</v>
      </c>
      <c r="D97" s="354" t="s">
        <v>270</v>
      </c>
      <c r="E97" s="354" t="s">
        <v>538</v>
      </c>
      <c r="F97" s="355" t="s">
        <v>255</v>
      </c>
      <c r="G97" s="356"/>
      <c r="H97" s="357">
        <f>일위대가!I652</f>
        <v>1515</v>
      </c>
      <c r="I97" s="357">
        <f t="shared" si="5"/>
        <v>1515</v>
      </c>
      <c r="J97" s="357"/>
      <c r="K97" s="357">
        <f>일위대가!L652</f>
        <v>1719</v>
      </c>
      <c r="L97" s="357">
        <f t="shared" si="6"/>
        <v>1719</v>
      </c>
      <c r="M97" s="357">
        <f>일위대가!N652</f>
        <v>0</v>
      </c>
      <c r="N97" s="357">
        <f t="shared" si="7"/>
        <v>0</v>
      </c>
      <c r="O97" s="357">
        <f t="shared" si="8"/>
        <v>3234</v>
      </c>
      <c r="P97" s="357">
        <f t="shared" si="9"/>
        <v>3234</v>
      </c>
      <c r="Q97" s="354"/>
      <c r="R97" s="347"/>
      <c r="S97" s="347"/>
      <c r="T97" s="347"/>
      <c r="U97" s="347"/>
      <c r="V97" s="347"/>
      <c r="W97" s="347"/>
      <c r="X97" s="347"/>
      <c r="Y97" s="347"/>
      <c r="Z97" s="347"/>
      <c r="AA97" s="347"/>
      <c r="AB97" s="347"/>
      <c r="AC97" s="347"/>
      <c r="AD97" s="347"/>
      <c r="AE97" s="347"/>
      <c r="AF97" s="347"/>
      <c r="AG97" s="347"/>
    </row>
    <row r="98" spans="1:33" ht="23.1" customHeight="1">
      <c r="A98" s="344" t="s">
        <v>1653</v>
      </c>
      <c r="B98" s="344" t="s">
        <v>1653</v>
      </c>
      <c r="C98" s="353" t="s">
        <v>1654</v>
      </c>
      <c r="D98" s="354" t="s">
        <v>270</v>
      </c>
      <c r="E98" s="354" t="s">
        <v>539</v>
      </c>
      <c r="F98" s="355" t="s">
        <v>255</v>
      </c>
      <c r="G98" s="356"/>
      <c r="H98" s="357">
        <f>일위대가!I660</f>
        <v>16086</v>
      </c>
      <c r="I98" s="357">
        <f t="shared" si="5"/>
        <v>16086</v>
      </c>
      <c r="J98" s="357"/>
      <c r="K98" s="357">
        <f>일위대가!L660</f>
        <v>6362</v>
      </c>
      <c r="L98" s="357">
        <f t="shared" si="6"/>
        <v>6362</v>
      </c>
      <c r="M98" s="357">
        <f>일위대가!N660</f>
        <v>0</v>
      </c>
      <c r="N98" s="357">
        <f t="shared" si="7"/>
        <v>0</v>
      </c>
      <c r="O98" s="357">
        <f t="shared" si="8"/>
        <v>22448</v>
      </c>
      <c r="P98" s="357">
        <f t="shared" si="9"/>
        <v>22448</v>
      </c>
      <c r="Q98" s="354"/>
      <c r="R98" s="347"/>
      <c r="S98" s="347"/>
      <c r="T98" s="347"/>
      <c r="U98" s="347"/>
      <c r="V98" s="347"/>
      <c r="W98" s="347"/>
      <c r="X98" s="347"/>
      <c r="Y98" s="347"/>
      <c r="Z98" s="347"/>
      <c r="AA98" s="347"/>
      <c r="AB98" s="347"/>
      <c r="AC98" s="347"/>
      <c r="AD98" s="347"/>
      <c r="AE98" s="347"/>
      <c r="AF98" s="347"/>
      <c r="AG98" s="347"/>
    </row>
    <row r="99" spans="1:33" ht="23.1" customHeight="1">
      <c r="A99" s="344" t="s">
        <v>1655</v>
      </c>
      <c r="B99" s="344" t="s">
        <v>1655</v>
      </c>
      <c r="C99" s="353" t="s">
        <v>1656</v>
      </c>
      <c r="D99" s="354" t="s">
        <v>256</v>
      </c>
      <c r="E99" s="354" t="s">
        <v>534</v>
      </c>
      <c r="F99" s="355" t="s">
        <v>255</v>
      </c>
      <c r="G99" s="356"/>
      <c r="H99" s="357">
        <f>일위대가!I669</f>
        <v>381</v>
      </c>
      <c r="I99" s="357">
        <f t="shared" si="5"/>
        <v>381</v>
      </c>
      <c r="J99" s="357"/>
      <c r="K99" s="357">
        <f>일위대가!L669</f>
        <v>3279</v>
      </c>
      <c r="L99" s="357">
        <f t="shared" si="6"/>
        <v>3279</v>
      </c>
      <c r="M99" s="357">
        <f>일위대가!N669</f>
        <v>0</v>
      </c>
      <c r="N99" s="357">
        <f t="shared" si="7"/>
        <v>0</v>
      </c>
      <c r="O99" s="357">
        <f t="shared" si="8"/>
        <v>3660</v>
      </c>
      <c r="P99" s="357">
        <f t="shared" si="9"/>
        <v>3660</v>
      </c>
      <c r="Q99" s="354"/>
      <c r="R99" s="347"/>
      <c r="S99" s="347"/>
      <c r="T99" s="347"/>
      <c r="U99" s="347"/>
      <c r="V99" s="347"/>
      <c r="W99" s="347"/>
      <c r="X99" s="347"/>
      <c r="Y99" s="347"/>
      <c r="Z99" s="347"/>
      <c r="AA99" s="347"/>
      <c r="AB99" s="347"/>
      <c r="AC99" s="347"/>
      <c r="AD99" s="347"/>
      <c r="AE99" s="347"/>
      <c r="AF99" s="347"/>
      <c r="AG99" s="347"/>
    </row>
    <row r="100" spans="1:33" ht="23.1" customHeight="1">
      <c r="A100" s="344" t="s">
        <v>1657</v>
      </c>
      <c r="B100" s="344" t="s">
        <v>1657</v>
      </c>
      <c r="C100" s="353" t="s">
        <v>1658</v>
      </c>
      <c r="D100" s="354" t="s">
        <v>256</v>
      </c>
      <c r="E100" s="354" t="s">
        <v>535</v>
      </c>
      <c r="F100" s="355" t="s">
        <v>255</v>
      </c>
      <c r="G100" s="356"/>
      <c r="H100" s="357">
        <f>일위대가!I678</f>
        <v>1003</v>
      </c>
      <c r="I100" s="357">
        <f>H100</f>
        <v>1003</v>
      </c>
      <c r="J100" s="357"/>
      <c r="K100" s="357">
        <f>일위대가!L678</f>
        <v>5030</v>
      </c>
      <c r="L100" s="357">
        <f>K100</f>
        <v>5030</v>
      </c>
      <c r="M100" s="357">
        <f>일위대가!N678</f>
        <v>0</v>
      </c>
      <c r="N100" s="357">
        <f>M100</f>
        <v>0</v>
      </c>
      <c r="O100" s="357">
        <f t="shared" si="8"/>
        <v>6033</v>
      </c>
      <c r="P100" s="357">
        <f t="shared" si="9"/>
        <v>6033</v>
      </c>
      <c r="Q100" s="354"/>
      <c r="R100" s="347"/>
      <c r="S100" s="347"/>
      <c r="T100" s="347"/>
      <c r="U100" s="347"/>
      <c r="V100" s="347"/>
      <c r="W100" s="347"/>
      <c r="X100" s="347"/>
      <c r="Y100" s="347"/>
      <c r="Z100" s="347"/>
      <c r="AA100" s="347"/>
      <c r="AB100" s="347"/>
      <c r="AC100" s="347"/>
      <c r="AD100" s="347"/>
      <c r="AE100" s="347"/>
      <c r="AF100" s="347"/>
      <c r="AG100" s="347"/>
    </row>
    <row r="101" spans="1:33" ht="23.1" customHeight="1">
      <c r="A101" s="344" t="s">
        <v>1659</v>
      </c>
      <c r="B101" s="344" t="s">
        <v>1659</v>
      </c>
      <c r="C101" s="353" t="s">
        <v>1660</v>
      </c>
      <c r="D101" s="354" t="s">
        <v>540</v>
      </c>
      <c r="E101" s="354" t="s">
        <v>541</v>
      </c>
      <c r="F101" s="355" t="s">
        <v>255</v>
      </c>
      <c r="G101" s="356"/>
      <c r="H101" s="357">
        <f>일위대가!I685</f>
        <v>268</v>
      </c>
      <c r="I101" s="357">
        <f>H101</f>
        <v>268</v>
      </c>
      <c r="J101" s="357"/>
      <c r="K101" s="357">
        <f>일위대가!L685</f>
        <v>1615</v>
      </c>
      <c r="L101" s="357">
        <f>K101</f>
        <v>1615</v>
      </c>
      <c r="M101" s="357">
        <f>일위대가!N685</f>
        <v>0</v>
      </c>
      <c r="N101" s="357">
        <f>M101</f>
        <v>0</v>
      </c>
      <c r="O101" s="357">
        <f t="shared" si="8"/>
        <v>1883</v>
      </c>
      <c r="P101" s="357">
        <f t="shared" si="9"/>
        <v>1883</v>
      </c>
      <c r="Q101" s="354"/>
      <c r="R101" s="347"/>
      <c r="S101" s="347"/>
      <c r="T101" s="347"/>
      <c r="U101" s="347"/>
      <c r="V101" s="347"/>
      <c r="W101" s="347"/>
      <c r="X101" s="347"/>
      <c r="Y101" s="347"/>
      <c r="Z101" s="347"/>
      <c r="AA101" s="347"/>
      <c r="AB101" s="347"/>
      <c r="AC101" s="347"/>
      <c r="AD101" s="347"/>
      <c r="AE101" s="347"/>
      <c r="AF101" s="347"/>
      <c r="AG101" s="347"/>
    </row>
    <row r="102" spans="1:33" ht="23.1" customHeight="1">
      <c r="C102" s="353"/>
      <c r="D102" s="354"/>
      <c r="E102" s="354"/>
      <c r="F102" s="355"/>
      <c r="G102" s="356"/>
      <c r="H102" s="357"/>
      <c r="I102" s="357"/>
      <c r="J102" s="357"/>
      <c r="K102" s="357"/>
      <c r="L102" s="357"/>
      <c r="M102" s="357"/>
      <c r="N102" s="357"/>
      <c r="O102" s="357"/>
      <c r="P102" s="357"/>
      <c r="Q102" s="354"/>
      <c r="R102" s="347"/>
      <c r="S102" s="347"/>
      <c r="T102" s="347"/>
      <c r="U102" s="347"/>
      <c r="V102" s="347"/>
      <c r="W102" s="347"/>
      <c r="X102" s="347"/>
      <c r="Y102" s="347"/>
      <c r="Z102" s="347"/>
      <c r="AA102" s="347"/>
      <c r="AB102" s="347"/>
      <c r="AC102" s="347"/>
      <c r="AD102" s="347"/>
      <c r="AE102" s="347"/>
      <c r="AF102" s="347"/>
      <c r="AG102" s="347"/>
    </row>
    <row r="103" spans="1:33" ht="23.1" customHeight="1">
      <c r="C103" s="353"/>
      <c r="D103" s="354"/>
      <c r="E103" s="354"/>
      <c r="F103" s="355"/>
      <c r="G103" s="356"/>
      <c r="H103" s="357"/>
      <c r="I103" s="357"/>
      <c r="J103" s="357"/>
      <c r="K103" s="357"/>
      <c r="L103" s="357"/>
      <c r="M103" s="357"/>
      <c r="N103" s="357"/>
      <c r="O103" s="357"/>
      <c r="P103" s="357"/>
      <c r="Q103" s="354"/>
      <c r="R103" s="347"/>
      <c r="S103" s="347"/>
      <c r="T103" s="347"/>
      <c r="U103" s="347"/>
      <c r="V103" s="347"/>
      <c r="W103" s="347"/>
      <c r="X103" s="347"/>
      <c r="Y103" s="347"/>
      <c r="Z103" s="347"/>
      <c r="AA103" s="347"/>
      <c r="AB103" s="347"/>
      <c r="AC103" s="347"/>
      <c r="AD103" s="347"/>
      <c r="AE103" s="347"/>
      <c r="AF103" s="347"/>
      <c r="AG103" s="347"/>
    </row>
    <row r="104" spans="1:33" ht="23.1" customHeight="1">
      <c r="C104" s="353"/>
      <c r="D104" s="354"/>
      <c r="E104" s="354"/>
      <c r="F104" s="355"/>
      <c r="G104" s="356"/>
      <c r="H104" s="357"/>
      <c r="I104" s="357"/>
      <c r="J104" s="357"/>
      <c r="K104" s="357"/>
      <c r="L104" s="357"/>
      <c r="M104" s="357"/>
      <c r="N104" s="357"/>
      <c r="O104" s="357"/>
      <c r="P104" s="357"/>
      <c r="Q104" s="354"/>
      <c r="R104" s="347"/>
      <c r="S104" s="347"/>
      <c r="T104" s="347"/>
      <c r="U104" s="347"/>
      <c r="V104" s="347"/>
      <c r="W104" s="347"/>
      <c r="X104" s="347"/>
      <c r="Y104" s="347"/>
      <c r="Z104" s="347"/>
      <c r="AA104" s="347"/>
      <c r="AB104" s="347"/>
      <c r="AC104" s="347"/>
      <c r="AD104" s="347"/>
      <c r="AE104" s="347"/>
      <c r="AF104" s="347"/>
      <c r="AG104" s="347"/>
    </row>
    <row r="105" spans="1:33" ht="23.1" customHeight="1">
      <c r="C105" s="353"/>
      <c r="D105" s="354"/>
      <c r="E105" s="354"/>
      <c r="F105" s="355"/>
      <c r="G105" s="356"/>
      <c r="H105" s="357"/>
      <c r="I105" s="357"/>
      <c r="J105" s="357"/>
      <c r="K105" s="357"/>
      <c r="L105" s="357"/>
      <c r="M105" s="357"/>
      <c r="N105" s="357"/>
      <c r="O105" s="357"/>
      <c r="P105" s="357"/>
      <c r="Q105" s="354"/>
      <c r="R105" s="347"/>
      <c r="S105" s="347"/>
      <c r="T105" s="347"/>
      <c r="U105" s="347"/>
      <c r="V105" s="347"/>
      <c r="W105" s="347"/>
      <c r="X105" s="347"/>
      <c r="Y105" s="347"/>
      <c r="Z105" s="347"/>
      <c r="AA105" s="347"/>
      <c r="AB105" s="347"/>
      <c r="AC105" s="347"/>
      <c r="AD105" s="347"/>
      <c r="AE105" s="347"/>
      <c r="AF105" s="347"/>
      <c r="AG105" s="347"/>
    </row>
    <row r="106" spans="1:33" ht="23.1" customHeight="1">
      <c r="C106" s="353"/>
      <c r="D106" s="354"/>
      <c r="E106" s="354"/>
      <c r="F106" s="355"/>
      <c r="G106" s="356"/>
      <c r="H106" s="357"/>
      <c r="I106" s="357"/>
      <c r="J106" s="357"/>
      <c r="K106" s="357"/>
      <c r="L106" s="357"/>
      <c r="M106" s="357"/>
      <c r="N106" s="357"/>
      <c r="O106" s="357"/>
      <c r="P106" s="357"/>
      <c r="Q106" s="354"/>
      <c r="R106" s="347"/>
      <c r="S106" s="347"/>
      <c r="T106" s="347"/>
      <c r="U106" s="347"/>
      <c r="V106" s="347"/>
      <c r="W106" s="347"/>
      <c r="X106" s="347"/>
      <c r="Y106" s="347"/>
      <c r="Z106" s="347"/>
      <c r="AA106" s="347"/>
      <c r="AB106" s="347"/>
      <c r="AC106" s="347"/>
      <c r="AD106" s="347"/>
      <c r="AE106" s="347"/>
      <c r="AF106" s="347"/>
      <c r="AG106" s="347"/>
    </row>
    <row r="107" spans="1:33" ht="23.1" customHeight="1">
      <c r="C107" s="353"/>
      <c r="D107" s="354"/>
      <c r="E107" s="354"/>
      <c r="F107" s="355"/>
      <c r="G107" s="356"/>
      <c r="H107" s="357"/>
      <c r="I107" s="357"/>
      <c r="J107" s="357"/>
      <c r="K107" s="357"/>
      <c r="L107" s="357"/>
      <c r="M107" s="357"/>
      <c r="N107" s="357"/>
      <c r="O107" s="357"/>
      <c r="P107" s="357"/>
      <c r="Q107" s="354"/>
      <c r="R107" s="347"/>
      <c r="S107" s="347"/>
      <c r="T107" s="347"/>
      <c r="U107" s="347"/>
      <c r="V107" s="347"/>
      <c r="W107" s="347"/>
      <c r="X107" s="347"/>
      <c r="Y107" s="347"/>
      <c r="Z107" s="347"/>
      <c r="AA107" s="347"/>
      <c r="AB107" s="347"/>
      <c r="AC107" s="347"/>
      <c r="AD107" s="347"/>
      <c r="AE107" s="347"/>
      <c r="AF107" s="347"/>
      <c r="AG107" s="347"/>
    </row>
    <row r="227" spans="2:2" ht="23.1" customHeight="1">
      <c r="B227" s="358"/>
    </row>
  </sheetData>
  <mergeCells count="13">
    <mergeCell ref="M2:N2"/>
    <mergeCell ref="P2:P3"/>
    <mergeCell ref="Q2:Q3"/>
    <mergeCell ref="C1:N1"/>
    <mergeCell ref="A2:A3"/>
    <mergeCell ref="B2:B3"/>
    <mergeCell ref="C2:C3"/>
    <mergeCell ref="D2:D3"/>
    <mergeCell ref="E2:E3"/>
    <mergeCell ref="F2:F3"/>
    <mergeCell ref="G2:G3"/>
    <mergeCell ref="H2:I2"/>
    <mergeCell ref="J2:L2"/>
  </mergeCells>
  <phoneticPr fontId="1" type="noConversion"/>
  <printOptions horizontalCentered="1" verticalCentered="1"/>
  <pageMargins left="0.74803149606299213" right="0.35433070866141736" top="0.59055118110236227" bottom="0.59055118110236227" header="0.51181102362204722" footer="0.47244094488188981"/>
  <pageSetup paperSize="9" scale="7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7F34F-9827-4A32-BAFB-97D062AA49AE}">
  <sheetPr>
    <tabColor theme="7"/>
    <pageSetUpPr fitToPage="1"/>
  </sheetPr>
  <dimension ref="A1:N227"/>
  <sheetViews>
    <sheetView showZeros="0" view="pageBreakPreview" topLeftCell="B1" zoomScaleNormal="100" zoomScaleSheetLayoutView="100" workbookViewId="0">
      <selection sqref="A1:M1"/>
    </sheetView>
  </sheetViews>
  <sheetFormatPr defaultRowHeight="16.5"/>
  <cols>
    <col min="1" max="1" width="11.625" style="330" hidden="1" customWidth="1"/>
    <col min="2" max="3" width="30.625" style="330" customWidth="1"/>
    <col min="4" max="4" width="4.625" style="330" customWidth="1"/>
    <col min="5" max="8" width="13.625" style="330" customWidth="1"/>
    <col min="9" max="9" width="8.625" style="330" customWidth="1"/>
    <col min="10" max="10" width="12.625" style="330" customWidth="1"/>
    <col min="11" max="12" width="2.625" style="330" hidden="1" customWidth="1"/>
    <col min="13" max="13" width="20.625" style="330" customWidth="1"/>
    <col min="14" max="14" width="2.625" style="330" hidden="1" customWidth="1"/>
    <col min="15" max="16384" width="9" style="330"/>
  </cols>
  <sheetData>
    <row r="1" spans="1:14" ht="30" customHeight="1">
      <c r="A1" s="713" t="s">
        <v>1661</v>
      </c>
      <c r="B1" s="713"/>
      <c r="C1" s="713"/>
      <c r="D1" s="713"/>
      <c r="E1" s="713"/>
      <c r="F1" s="713"/>
      <c r="G1" s="713"/>
      <c r="H1" s="713"/>
      <c r="I1" s="713"/>
      <c r="J1" s="713"/>
      <c r="K1" s="713"/>
      <c r="L1" s="713"/>
      <c r="M1" s="713"/>
    </row>
    <row r="2" spans="1:14" ht="30" customHeight="1">
      <c r="A2" s="704" t="s">
        <v>1058</v>
      </c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</row>
    <row r="3" spans="1:14" ht="30" customHeight="1">
      <c r="A3" s="331" t="s">
        <v>1662</v>
      </c>
      <c r="B3" s="331" t="s">
        <v>1059</v>
      </c>
      <c r="C3" s="331" t="s">
        <v>1060</v>
      </c>
      <c r="D3" s="331" t="s">
        <v>246</v>
      </c>
      <c r="E3" s="331" t="s">
        <v>1663</v>
      </c>
      <c r="F3" s="331" t="s">
        <v>1664</v>
      </c>
      <c r="G3" s="331" t="s">
        <v>1665</v>
      </c>
      <c r="H3" s="331" t="s">
        <v>1666</v>
      </c>
      <c r="I3" s="331" t="s">
        <v>1667</v>
      </c>
      <c r="J3" s="331" t="s">
        <v>1668</v>
      </c>
      <c r="K3" s="331" t="s">
        <v>1669</v>
      </c>
      <c r="L3" s="331" t="s">
        <v>1670</v>
      </c>
      <c r="M3" s="331" t="s">
        <v>1671</v>
      </c>
      <c r="N3" s="329" t="s">
        <v>1672</v>
      </c>
    </row>
    <row r="4" spans="1:14" ht="30" customHeight="1">
      <c r="A4" s="333" t="s">
        <v>1103</v>
      </c>
      <c r="B4" s="333" t="s">
        <v>358</v>
      </c>
      <c r="C4" s="333" t="s">
        <v>359</v>
      </c>
      <c r="D4" s="333" t="s">
        <v>255</v>
      </c>
      <c r="E4" s="361">
        <f>신규_일위대가!F10</f>
        <v>7912</v>
      </c>
      <c r="F4" s="361">
        <f>신규_일위대가!H10</f>
        <v>129719</v>
      </c>
      <c r="G4" s="361">
        <f>신규_일위대가!J10</f>
        <v>0</v>
      </c>
      <c r="H4" s="361">
        <f t="shared" ref="H4:H67" si="0">E4+F4+G4</f>
        <v>137631</v>
      </c>
      <c r="I4" s="333" t="s">
        <v>1673</v>
      </c>
      <c r="J4" s="333" t="s">
        <v>378</v>
      </c>
      <c r="K4" s="333" t="s">
        <v>378</v>
      </c>
      <c r="L4" s="333" t="s">
        <v>378</v>
      </c>
      <c r="M4" s="333" t="s">
        <v>1674</v>
      </c>
      <c r="N4" s="329" t="s">
        <v>378</v>
      </c>
    </row>
    <row r="5" spans="1:14" ht="30" customHeight="1">
      <c r="A5" s="333" t="s">
        <v>1108</v>
      </c>
      <c r="B5" s="333" t="s">
        <v>360</v>
      </c>
      <c r="C5" s="333" t="s">
        <v>361</v>
      </c>
      <c r="D5" s="333" t="s">
        <v>300</v>
      </c>
      <c r="E5" s="361">
        <f>신규_일위대가!F17</f>
        <v>35300</v>
      </c>
      <c r="F5" s="361">
        <f>신규_일위대가!H17</f>
        <v>56399</v>
      </c>
      <c r="G5" s="361">
        <f>신규_일위대가!J17</f>
        <v>0</v>
      </c>
      <c r="H5" s="361">
        <f t="shared" si="0"/>
        <v>91699</v>
      </c>
      <c r="I5" s="333" t="s">
        <v>1675</v>
      </c>
      <c r="J5" s="333" t="s">
        <v>378</v>
      </c>
      <c r="K5" s="333" t="s">
        <v>378</v>
      </c>
      <c r="L5" s="333" t="s">
        <v>378</v>
      </c>
      <c r="M5" s="333" t="s">
        <v>1676</v>
      </c>
      <c r="N5" s="329" t="s">
        <v>378</v>
      </c>
    </row>
    <row r="6" spans="1:14" ht="30" customHeight="1">
      <c r="A6" s="333" t="s">
        <v>1111</v>
      </c>
      <c r="B6" s="333" t="s">
        <v>298</v>
      </c>
      <c r="C6" s="333" t="s">
        <v>299</v>
      </c>
      <c r="D6" s="333" t="s">
        <v>300</v>
      </c>
      <c r="E6" s="361">
        <f>신규_일위대가!F24</f>
        <v>964</v>
      </c>
      <c r="F6" s="361">
        <f>신규_일위대가!H24</f>
        <v>2114</v>
      </c>
      <c r="G6" s="361">
        <f>신규_일위대가!J24</f>
        <v>0</v>
      </c>
      <c r="H6" s="361">
        <f t="shared" si="0"/>
        <v>3078</v>
      </c>
      <c r="I6" s="333" t="s">
        <v>1677</v>
      </c>
      <c r="J6" s="333" t="s">
        <v>378</v>
      </c>
      <c r="K6" s="333" t="s">
        <v>378</v>
      </c>
      <c r="L6" s="333" t="s">
        <v>378</v>
      </c>
      <c r="M6" s="333" t="s">
        <v>1678</v>
      </c>
      <c r="N6" s="329" t="s">
        <v>378</v>
      </c>
    </row>
    <row r="7" spans="1:14" s="340" customFormat="1" ht="30" customHeight="1">
      <c r="A7" s="336" t="s">
        <v>1113</v>
      </c>
      <c r="B7" s="336" t="s">
        <v>298</v>
      </c>
      <c r="C7" s="336" t="s">
        <v>301</v>
      </c>
      <c r="D7" s="336" t="s">
        <v>300</v>
      </c>
      <c r="E7" s="362">
        <v>849</v>
      </c>
      <c r="F7" s="362">
        <v>2330</v>
      </c>
      <c r="G7" s="362">
        <f>신규_일위대가!J31</f>
        <v>0</v>
      </c>
      <c r="H7" s="362">
        <f t="shared" si="0"/>
        <v>3179</v>
      </c>
      <c r="I7" s="336" t="s">
        <v>1679</v>
      </c>
      <c r="J7" s="336" t="s">
        <v>378</v>
      </c>
      <c r="K7" s="336" t="s">
        <v>378</v>
      </c>
      <c r="L7" s="336" t="s">
        <v>378</v>
      </c>
      <c r="M7" s="336" t="s">
        <v>1678</v>
      </c>
      <c r="N7" s="339" t="s">
        <v>378</v>
      </c>
    </row>
    <row r="8" spans="1:14" ht="30" customHeight="1">
      <c r="A8" s="333" t="s">
        <v>1116</v>
      </c>
      <c r="B8" s="333" t="s">
        <v>298</v>
      </c>
      <c r="C8" s="333" t="s">
        <v>362</v>
      </c>
      <c r="D8" s="333" t="s">
        <v>300</v>
      </c>
      <c r="E8" s="361">
        <f>신규_일위대가!F38</f>
        <v>1963</v>
      </c>
      <c r="F8" s="361">
        <f>신규_일위대가!H38</f>
        <v>2467</v>
      </c>
      <c r="G8" s="361">
        <f>신규_일위대가!J38</f>
        <v>0</v>
      </c>
      <c r="H8" s="361">
        <f t="shared" si="0"/>
        <v>4430</v>
      </c>
      <c r="I8" s="333" t="s">
        <v>1680</v>
      </c>
      <c r="J8" s="333" t="s">
        <v>378</v>
      </c>
      <c r="K8" s="333" t="s">
        <v>378</v>
      </c>
      <c r="L8" s="333" t="s">
        <v>378</v>
      </c>
      <c r="M8" s="333" t="s">
        <v>1678</v>
      </c>
      <c r="N8" s="329" t="s">
        <v>378</v>
      </c>
    </row>
    <row r="9" spans="1:14" ht="30" customHeight="1">
      <c r="A9" s="333" t="s">
        <v>1119</v>
      </c>
      <c r="B9" s="333" t="s">
        <v>298</v>
      </c>
      <c r="C9" s="333" t="s">
        <v>363</v>
      </c>
      <c r="D9" s="333" t="s">
        <v>300</v>
      </c>
      <c r="E9" s="361">
        <f>신규_일위대가!F45</f>
        <v>3829</v>
      </c>
      <c r="F9" s="361">
        <f>신규_일위대가!H45</f>
        <v>2467</v>
      </c>
      <c r="G9" s="361">
        <f>신규_일위대가!J45</f>
        <v>0</v>
      </c>
      <c r="H9" s="361">
        <f t="shared" si="0"/>
        <v>6296</v>
      </c>
      <c r="I9" s="333" t="s">
        <v>1681</v>
      </c>
      <c r="J9" s="333" t="s">
        <v>378</v>
      </c>
      <c r="K9" s="333" t="s">
        <v>378</v>
      </c>
      <c r="L9" s="333" t="s">
        <v>378</v>
      </c>
      <c r="M9" s="333" t="s">
        <v>1678</v>
      </c>
      <c r="N9" s="329" t="s">
        <v>378</v>
      </c>
    </row>
    <row r="10" spans="1:14" ht="30" customHeight="1">
      <c r="A10" s="333" t="s">
        <v>1122</v>
      </c>
      <c r="B10" s="333" t="s">
        <v>298</v>
      </c>
      <c r="C10" s="333" t="s">
        <v>364</v>
      </c>
      <c r="D10" s="333" t="s">
        <v>300</v>
      </c>
      <c r="E10" s="361">
        <f>신규_일위대가!F52</f>
        <v>25923</v>
      </c>
      <c r="F10" s="361">
        <f>신규_일위대가!H52</f>
        <v>4934</v>
      </c>
      <c r="G10" s="361">
        <f>신규_일위대가!J52</f>
        <v>0</v>
      </c>
      <c r="H10" s="361">
        <f t="shared" si="0"/>
        <v>30857</v>
      </c>
      <c r="I10" s="333" t="s">
        <v>1682</v>
      </c>
      <c r="J10" s="333" t="s">
        <v>378</v>
      </c>
      <c r="K10" s="333" t="s">
        <v>378</v>
      </c>
      <c r="L10" s="333" t="s">
        <v>378</v>
      </c>
      <c r="M10" s="333" t="s">
        <v>1678</v>
      </c>
      <c r="N10" s="329" t="s">
        <v>378</v>
      </c>
    </row>
    <row r="11" spans="1:14" ht="30" customHeight="1">
      <c r="A11" s="333" t="s">
        <v>1125</v>
      </c>
      <c r="B11" s="333" t="s">
        <v>365</v>
      </c>
      <c r="C11" s="333" t="s">
        <v>366</v>
      </c>
      <c r="D11" s="333" t="s">
        <v>300</v>
      </c>
      <c r="E11" s="361">
        <f>신규_일위대가!F60</f>
        <v>7564</v>
      </c>
      <c r="F11" s="361">
        <f>신규_일위대가!H60</f>
        <v>2445</v>
      </c>
      <c r="G11" s="361">
        <f>신규_일위대가!J60</f>
        <v>0</v>
      </c>
      <c r="H11" s="361">
        <f t="shared" si="0"/>
        <v>10009</v>
      </c>
      <c r="I11" s="333" t="s">
        <v>1683</v>
      </c>
      <c r="J11" s="333" t="s">
        <v>378</v>
      </c>
      <c r="K11" s="333" t="s">
        <v>378</v>
      </c>
      <c r="L11" s="333" t="s">
        <v>378</v>
      </c>
      <c r="M11" s="333" t="s">
        <v>1684</v>
      </c>
      <c r="N11" s="329" t="s">
        <v>378</v>
      </c>
    </row>
    <row r="12" spans="1:14" ht="30" customHeight="1">
      <c r="A12" s="333" t="s">
        <v>1128</v>
      </c>
      <c r="B12" s="333" t="s">
        <v>365</v>
      </c>
      <c r="C12" s="333" t="s">
        <v>367</v>
      </c>
      <c r="D12" s="333" t="s">
        <v>300</v>
      </c>
      <c r="E12" s="361">
        <f>신규_일위대가!F68</f>
        <v>28240</v>
      </c>
      <c r="F12" s="361">
        <f>신규_일위대가!H68</f>
        <v>5128</v>
      </c>
      <c r="G12" s="361">
        <f>신규_일위대가!J68</f>
        <v>0</v>
      </c>
      <c r="H12" s="361">
        <f t="shared" si="0"/>
        <v>33368</v>
      </c>
      <c r="I12" s="333" t="s">
        <v>1685</v>
      </c>
      <c r="J12" s="333" t="s">
        <v>378</v>
      </c>
      <c r="K12" s="333" t="s">
        <v>378</v>
      </c>
      <c r="L12" s="333" t="s">
        <v>378</v>
      </c>
      <c r="M12" s="333" t="s">
        <v>1686</v>
      </c>
      <c r="N12" s="329" t="s">
        <v>378</v>
      </c>
    </row>
    <row r="13" spans="1:14" ht="30" customHeight="1">
      <c r="A13" s="333" t="s">
        <v>1130</v>
      </c>
      <c r="B13" s="333" t="s">
        <v>302</v>
      </c>
      <c r="C13" s="333" t="s">
        <v>367</v>
      </c>
      <c r="D13" s="333" t="s">
        <v>300</v>
      </c>
      <c r="E13" s="361">
        <f>신규_일위대가!F75</f>
        <v>1677</v>
      </c>
      <c r="F13" s="361">
        <f>신규_일위대가!H75</f>
        <v>4086</v>
      </c>
      <c r="G13" s="361">
        <f>신규_일위대가!J75</f>
        <v>0</v>
      </c>
      <c r="H13" s="361">
        <f t="shared" si="0"/>
        <v>5763</v>
      </c>
      <c r="I13" s="333" t="s">
        <v>1687</v>
      </c>
      <c r="J13" s="333" t="s">
        <v>378</v>
      </c>
      <c r="K13" s="333" t="s">
        <v>378</v>
      </c>
      <c r="L13" s="333" t="s">
        <v>378</v>
      </c>
      <c r="M13" s="333" t="s">
        <v>1688</v>
      </c>
      <c r="N13" s="329" t="s">
        <v>378</v>
      </c>
    </row>
    <row r="14" spans="1:14" s="340" customFormat="1" ht="30" customHeight="1">
      <c r="A14" s="336" t="s">
        <v>1133</v>
      </c>
      <c r="B14" s="336" t="s">
        <v>302</v>
      </c>
      <c r="C14" s="336" t="s">
        <v>368</v>
      </c>
      <c r="D14" s="336" t="s">
        <v>300</v>
      </c>
      <c r="E14" s="362">
        <v>4046</v>
      </c>
      <c r="F14" s="362">
        <v>9238</v>
      </c>
      <c r="G14" s="362">
        <f>신규_일위대가!J82</f>
        <v>0</v>
      </c>
      <c r="H14" s="362">
        <f t="shared" si="0"/>
        <v>13284</v>
      </c>
      <c r="I14" s="336" t="s">
        <v>1689</v>
      </c>
      <c r="J14" s="336" t="s">
        <v>378</v>
      </c>
      <c r="K14" s="336" t="s">
        <v>378</v>
      </c>
      <c r="L14" s="336" t="s">
        <v>378</v>
      </c>
      <c r="M14" s="336" t="s">
        <v>1688</v>
      </c>
      <c r="N14" s="339" t="s">
        <v>378</v>
      </c>
    </row>
    <row r="15" spans="1:14" ht="30" customHeight="1">
      <c r="A15" s="333" t="s">
        <v>1136</v>
      </c>
      <c r="B15" s="333" t="s">
        <v>302</v>
      </c>
      <c r="C15" s="333" t="s">
        <v>369</v>
      </c>
      <c r="D15" s="333" t="s">
        <v>300</v>
      </c>
      <c r="E15" s="361">
        <f>신규_일위대가!F89</f>
        <v>10984</v>
      </c>
      <c r="F15" s="361">
        <f>신규_일위대가!H89</f>
        <v>15272</v>
      </c>
      <c r="G15" s="361">
        <f>신규_일위대가!J89</f>
        <v>0</v>
      </c>
      <c r="H15" s="361">
        <f t="shared" si="0"/>
        <v>26256</v>
      </c>
      <c r="I15" s="333" t="s">
        <v>1690</v>
      </c>
      <c r="J15" s="333" t="s">
        <v>378</v>
      </c>
      <c r="K15" s="333" t="s">
        <v>378</v>
      </c>
      <c r="L15" s="333" t="s">
        <v>378</v>
      </c>
      <c r="M15" s="333" t="s">
        <v>1686</v>
      </c>
      <c r="N15" s="329" t="s">
        <v>378</v>
      </c>
    </row>
    <row r="16" spans="1:14" ht="30" customHeight="1">
      <c r="A16" s="333" t="s">
        <v>1138</v>
      </c>
      <c r="B16" s="333" t="s">
        <v>307</v>
      </c>
      <c r="C16" s="333" t="s">
        <v>308</v>
      </c>
      <c r="D16" s="333" t="s">
        <v>255</v>
      </c>
      <c r="E16" s="361">
        <f>신규_일위대가!F96</f>
        <v>270</v>
      </c>
      <c r="F16" s="361">
        <f>신규_일위대가!H96</f>
        <v>266</v>
      </c>
      <c r="G16" s="361">
        <f>신규_일위대가!J96</f>
        <v>0</v>
      </c>
      <c r="H16" s="361">
        <f t="shared" si="0"/>
        <v>536</v>
      </c>
      <c r="I16" s="333" t="s">
        <v>1691</v>
      </c>
      <c r="J16" s="333" t="s">
        <v>378</v>
      </c>
      <c r="K16" s="333" t="s">
        <v>378</v>
      </c>
      <c r="L16" s="333" t="s">
        <v>378</v>
      </c>
      <c r="M16" s="333" t="s">
        <v>1692</v>
      </c>
      <c r="N16" s="329" t="s">
        <v>378</v>
      </c>
    </row>
    <row r="17" spans="1:14" ht="30" customHeight="1">
      <c r="A17" s="333" t="s">
        <v>1141</v>
      </c>
      <c r="B17" s="333" t="s">
        <v>370</v>
      </c>
      <c r="C17" s="333" t="s">
        <v>371</v>
      </c>
      <c r="D17" s="333" t="s">
        <v>265</v>
      </c>
      <c r="E17" s="361">
        <f>신규_일위대가!F102</f>
        <v>824</v>
      </c>
      <c r="F17" s="361">
        <f>신규_일위대가!H102</f>
        <v>20687</v>
      </c>
      <c r="G17" s="361">
        <f>신규_일위대가!J102</f>
        <v>0</v>
      </c>
      <c r="H17" s="361">
        <f t="shared" si="0"/>
        <v>21511</v>
      </c>
      <c r="I17" s="333" t="s">
        <v>1693</v>
      </c>
      <c r="J17" s="333" t="s">
        <v>378</v>
      </c>
      <c r="K17" s="333" t="s">
        <v>378</v>
      </c>
      <c r="L17" s="333" t="s">
        <v>378</v>
      </c>
      <c r="M17" s="333" t="s">
        <v>1694</v>
      </c>
      <c r="N17" s="329" t="s">
        <v>378</v>
      </c>
    </row>
    <row r="18" spans="1:14" ht="30" customHeight="1">
      <c r="A18" s="333" t="s">
        <v>1144</v>
      </c>
      <c r="B18" s="333" t="s">
        <v>370</v>
      </c>
      <c r="C18" s="333" t="s">
        <v>372</v>
      </c>
      <c r="D18" s="333" t="s">
        <v>265</v>
      </c>
      <c r="E18" s="361">
        <f>신규_일위대가!F108</f>
        <v>760</v>
      </c>
      <c r="F18" s="361">
        <f>신규_일위대가!H108</f>
        <v>15323</v>
      </c>
      <c r="G18" s="361">
        <f>신규_일위대가!J108</f>
        <v>0</v>
      </c>
      <c r="H18" s="361">
        <f t="shared" si="0"/>
        <v>16083</v>
      </c>
      <c r="I18" s="333" t="s">
        <v>1695</v>
      </c>
      <c r="J18" s="333" t="s">
        <v>378</v>
      </c>
      <c r="K18" s="333" t="s">
        <v>378</v>
      </c>
      <c r="L18" s="333" t="s">
        <v>378</v>
      </c>
      <c r="M18" s="333" t="s">
        <v>1694</v>
      </c>
      <c r="N18" s="329" t="s">
        <v>378</v>
      </c>
    </row>
    <row r="19" spans="1:14" ht="30" customHeight="1">
      <c r="A19" s="333" t="s">
        <v>1147</v>
      </c>
      <c r="B19" s="333" t="s">
        <v>370</v>
      </c>
      <c r="C19" s="333" t="s">
        <v>373</v>
      </c>
      <c r="D19" s="333" t="s">
        <v>265</v>
      </c>
      <c r="E19" s="361">
        <f>신규_일위대가!F114</f>
        <v>1530</v>
      </c>
      <c r="F19" s="361">
        <f>신규_일위대가!H114</f>
        <v>30647</v>
      </c>
      <c r="G19" s="361">
        <f>신규_일위대가!J114</f>
        <v>0</v>
      </c>
      <c r="H19" s="361">
        <f t="shared" si="0"/>
        <v>32177</v>
      </c>
      <c r="I19" s="333" t="s">
        <v>1696</v>
      </c>
      <c r="J19" s="333" t="s">
        <v>378</v>
      </c>
      <c r="K19" s="333" t="s">
        <v>378</v>
      </c>
      <c r="L19" s="333" t="s">
        <v>378</v>
      </c>
      <c r="M19" s="333" t="s">
        <v>1694</v>
      </c>
      <c r="N19" s="329" t="s">
        <v>378</v>
      </c>
    </row>
    <row r="20" spans="1:14" ht="30" customHeight="1">
      <c r="A20" s="333" t="s">
        <v>1150</v>
      </c>
      <c r="B20" s="333" t="s">
        <v>370</v>
      </c>
      <c r="C20" s="333" t="s">
        <v>374</v>
      </c>
      <c r="D20" s="333" t="s">
        <v>265</v>
      </c>
      <c r="E20" s="361">
        <f>신규_일위대가!F120</f>
        <v>6574</v>
      </c>
      <c r="F20" s="361">
        <f>신규_일위대가!H120</f>
        <v>52100</v>
      </c>
      <c r="G20" s="361">
        <f>신규_일위대가!J120</f>
        <v>0</v>
      </c>
      <c r="H20" s="361">
        <f t="shared" si="0"/>
        <v>58674</v>
      </c>
      <c r="I20" s="333" t="s">
        <v>1697</v>
      </c>
      <c r="J20" s="333" t="s">
        <v>378</v>
      </c>
      <c r="K20" s="333" t="s">
        <v>378</v>
      </c>
      <c r="L20" s="333" t="s">
        <v>378</v>
      </c>
      <c r="M20" s="333" t="s">
        <v>1694</v>
      </c>
      <c r="N20" s="329" t="s">
        <v>378</v>
      </c>
    </row>
    <row r="21" spans="1:14" ht="30" customHeight="1">
      <c r="A21" s="333" t="s">
        <v>1153</v>
      </c>
      <c r="B21" s="333" t="s">
        <v>375</v>
      </c>
      <c r="C21" s="333" t="s">
        <v>376</v>
      </c>
      <c r="D21" s="333" t="s">
        <v>262</v>
      </c>
      <c r="E21" s="361">
        <f>신규_일위대가!F134</f>
        <v>750497</v>
      </c>
      <c r="F21" s="361">
        <f>신규_일위대가!H134</f>
        <v>436033</v>
      </c>
      <c r="G21" s="361">
        <f>신규_일위대가!J134</f>
        <v>11085</v>
      </c>
      <c r="H21" s="361">
        <f t="shared" si="0"/>
        <v>1197615</v>
      </c>
      <c r="I21" s="333" t="s">
        <v>1698</v>
      </c>
      <c r="J21" s="333" t="s">
        <v>378</v>
      </c>
      <c r="K21" s="333" t="s">
        <v>378</v>
      </c>
      <c r="L21" s="333" t="s">
        <v>378</v>
      </c>
      <c r="M21" s="333" t="s">
        <v>1699</v>
      </c>
      <c r="N21" s="329" t="s">
        <v>378</v>
      </c>
    </row>
    <row r="22" spans="1:14" s="340" customFormat="1" ht="30" customHeight="1">
      <c r="A22" s="336" t="s">
        <v>1156</v>
      </c>
      <c r="B22" s="336" t="s">
        <v>377</v>
      </c>
      <c r="C22" s="336" t="s">
        <v>378</v>
      </c>
      <c r="D22" s="336" t="s">
        <v>280</v>
      </c>
      <c r="E22" s="362">
        <v>52854</v>
      </c>
      <c r="F22" s="362">
        <v>126539</v>
      </c>
      <c r="G22" s="362">
        <v>2838</v>
      </c>
      <c r="H22" s="362">
        <f t="shared" si="0"/>
        <v>182231</v>
      </c>
      <c r="I22" s="336" t="s">
        <v>1700</v>
      </c>
      <c r="J22" s="336" t="s">
        <v>378</v>
      </c>
      <c r="K22" s="336" t="s">
        <v>378</v>
      </c>
      <c r="L22" s="336" t="s">
        <v>378</v>
      </c>
      <c r="M22" s="336" t="s">
        <v>1678</v>
      </c>
      <c r="N22" s="339" t="s">
        <v>378</v>
      </c>
    </row>
    <row r="23" spans="1:14" ht="30" customHeight="1">
      <c r="A23" s="333" t="s">
        <v>1159</v>
      </c>
      <c r="B23" s="336" t="s">
        <v>1158</v>
      </c>
      <c r="C23" s="336" t="s">
        <v>309</v>
      </c>
      <c r="D23" s="336" t="s">
        <v>255</v>
      </c>
      <c r="E23" s="362">
        <v>487</v>
      </c>
      <c r="F23" s="362">
        <v>6535</v>
      </c>
      <c r="G23" s="362">
        <f>신규_일위대가!J155</f>
        <v>0</v>
      </c>
      <c r="H23" s="362">
        <f t="shared" si="0"/>
        <v>7022</v>
      </c>
      <c r="I23" s="336" t="s">
        <v>1701</v>
      </c>
      <c r="J23" s="336" t="s">
        <v>378</v>
      </c>
      <c r="K23" s="336" t="s">
        <v>378</v>
      </c>
      <c r="L23" s="336" t="s">
        <v>378</v>
      </c>
      <c r="M23" s="336" t="s">
        <v>1702</v>
      </c>
      <c r="N23" s="329" t="s">
        <v>378</v>
      </c>
    </row>
    <row r="24" spans="1:14" s="340" customFormat="1" ht="30" customHeight="1">
      <c r="A24" s="336" t="s">
        <v>1161</v>
      </c>
      <c r="B24" s="336" t="s">
        <v>310</v>
      </c>
      <c r="C24" s="336" t="s">
        <v>311</v>
      </c>
      <c r="D24" s="336" t="s">
        <v>255</v>
      </c>
      <c r="E24" s="362">
        <v>638</v>
      </c>
      <c r="F24" s="362">
        <v>7996</v>
      </c>
      <c r="G24" s="362">
        <f>신규_일위대가!J164</f>
        <v>0</v>
      </c>
      <c r="H24" s="362">
        <f t="shared" si="0"/>
        <v>8634</v>
      </c>
      <c r="I24" s="336" t="s">
        <v>1703</v>
      </c>
      <c r="J24" s="336" t="s">
        <v>378</v>
      </c>
      <c r="K24" s="336" t="s">
        <v>378</v>
      </c>
      <c r="L24" s="336" t="s">
        <v>378</v>
      </c>
      <c r="M24" s="336" t="s">
        <v>1702</v>
      </c>
      <c r="N24" s="339" t="s">
        <v>378</v>
      </c>
    </row>
    <row r="25" spans="1:14" ht="30" customHeight="1">
      <c r="A25" s="333" t="s">
        <v>1164</v>
      </c>
      <c r="B25" s="333" t="s">
        <v>310</v>
      </c>
      <c r="C25" s="333" t="s">
        <v>379</v>
      </c>
      <c r="D25" s="333" t="s">
        <v>255</v>
      </c>
      <c r="E25" s="361">
        <f>신규_일위대가!F173</f>
        <v>927</v>
      </c>
      <c r="F25" s="361">
        <f>신규_일위대가!H173</f>
        <v>4965</v>
      </c>
      <c r="G25" s="361">
        <f>신규_일위대가!J173</f>
        <v>0</v>
      </c>
      <c r="H25" s="361">
        <f t="shared" si="0"/>
        <v>5892</v>
      </c>
      <c r="I25" s="333" t="s">
        <v>1704</v>
      </c>
      <c r="J25" s="333" t="s">
        <v>378</v>
      </c>
      <c r="K25" s="333" t="s">
        <v>378</v>
      </c>
      <c r="L25" s="333" t="s">
        <v>378</v>
      </c>
      <c r="M25" s="333" t="s">
        <v>1702</v>
      </c>
      <c r="N25" s="329" t="s">
        <v>378</v>
      </c>
    </row>
    <row r="26" spans="1:14" ht="30" customHeight="1">
      <c r="A26" s="333" t="s">
        <v>1167</v>
      </c>
      <c r="B26" s="333" t="s">
        <v>310</v>
      </c>
      <c r="C26" s="333" t="s">
        <v>380</v>
      </c>
      <c r="D26" s="333" t="s">
        <v>255</v>
      </c>
      <c r="E26" s="361">
        <f>신규_일위대가!F182</f>
        <v>1117</v>
      </c>
      <c r="F26" s="361">
        <f>신규_일위대가!H182</f>
        <v>6225</v>
      </c>
      <c r="G26" s="361">
        <f>신규_일위대가!J182</f>
        <v>0</v>
      </c>
      <c r="H26" s="361">
        <f t="shared" si="0"/>
        <v>7342</v>
      </c>
      <c r="I26" s="333" t="s">
        <v>1705</v>
      </c>
      <c r="J26" s="333" t="s">
        <v>378</v>
      </c>
      <c r="K26" s="333" t="s">
        <v>378</v>
      </c>
      <c r="L26" s="333" t="s">
        <v>378</v>
      </c>
      <c r="M26" s="333" t="s">
        <v>1702</v>
      </c>
      <c r="N26" s="329" t="s">
        <v>378</v>
      </c>
    </row>
    <row r="27" spans="1:14" ht="30" customHeight="1">
      <c r="A27" s="333" t="s">
        <v>1170</v>
      </c>
      <c r="B27" s="333" t="s">
        <v>310</v>
      </c>
      <c r="C27" s="333" t="s">
        <v>381</v>
      </c>
      <c r="D27" s="333" t="s">
        <v>255</v>
      </c>
      <c r="E27" s="361">
        <f>신규_일위대가!F191</f>
        <v>2389</v>
      </c>
      <c r="F27" s="361">
        <f>신규_일위대가!H191</f>
        <v>9227</v>
      </c>
      <c r="G27" s="361">
        <f>신규_일위대가!J191</f>
        <v>0</v>
      </c>
      <c r="H27" s="361">
        <f t="shared" si="0"/>
        <v>11616</v>
      </c>
      <c r="I27" s="333" t="s">
        <v>1706</v>
      </c>
      <c r="J27" s="333" t="s">
        <v>378</v>
      </c>
      <c r="K27" s="333" t="s">
        <v>378</v>
      </c>
      <c r="L27" s="333" t="s">
        <v>378</v>
      </c>
      <c r="M27" s="333" t="s">
        <v>1702</v>
      </c>
      <c r="N27" s="329" t="s">
        <v>378</v>
      </c>
    </row>
    <row r="28" spans="1:14" ht="30" customHeight="1">
      <c r="A28" s="333" t="s">
        <v>1172</v>
      </c>
      <c r="B28" s="333" t="s">
        <v>323</v>
      </c>
      <c r="C28" s="333" t="s">
        <v>324</v>
      </c>
      <c r="D28" s="333" t="s">
        <v>212</v>
      </c>
      <c r="E28" s="361">
        <f>신규_일위대가!F197</f>
        <v>72386</v>
      </c>
      <c r="F28" s="361">
        <f>신규_일위대가!H197</f>
        <v>105831</v>
      </c>
      <c r="G28" s="361">
        <f>신규_일위대가!J197</f>
        <v>891</v>
      </c>
      <c r="H28" s="361">
        <f t="shared" si="0"/>
        <v>179108</v>
      </c>
      <c r="I28" s="333" t="s">
        <v>1707</v>
      </c>
      <c r="J28" s="333" t="s">
        <v>378</v>
      </c>
      <c r="K28" s="333" t="s">
        <v>378</v>
      </c>
      <c r="L28" s="333" t="s">
        <v>378</v>
      </c>
      <c r="M28" s="333" t="s">
        <v>1708</v>
      </c>
      <c r="N28" s="329" t="s">
        <v>378</v>
      </c>
    </row>
    <row r="29" spans="1:14" ht="30" customHeight="1">
      <c r="A29" s="333" t="s">
        <v>1175</v>
      </c>
      <c r="B29" s="333" t="s">
        <v>382</v>
      </c>
      <c r="C29" s="333" t="s">
        <v>378</v>
      </c>
      <c r="D29" s="333" t="s">
        <v>321</v>
      </c>
      <c r="E29" s="361">
        <f>신규_일위대가!F203</f>
        <v>6697</v>
      </c>
      <c r="F29" s="361">
        <f>신규_일위대가!H203</f>
        <v>223248</v>
      </c>
      <c r="G29" s="361">
        <f>신규_일위대가!J203</f>
        <v>0</v>
      </c>
      <c r="H29" s="361">
        <f t="shared" si="0"/>
        <v>229945</v>
      </c>
      <c r="I29" s="333" t="s">
        <v>1709</v>
      </c>
      <c r="J29" s="333" t="s">
        <v>378</v>
      </c>
      <c r="K29" s="333" t="s">
        <v>378</v>
      </c>
      <c r="L29" s="333" t="s">
        <v>378</v>
      </c>
      <c r="M29" s="333" t="s">
        <v>1710</v>
      </c>
      <c r="N29" s="329" t="s">
        <v>378</v>
      </c>
    </row>
    <row r="30" spans="1:14" ht="30" customHeight="1">
      <c r="A30" s="333" t="s">
        <v>1178</v>
      </c>
      <c r="B30" s="333" t="s">
        <v>383</v>
      </c>
      <c r="C30" s="333" t="s">
        <v>384</v>
      </c>
      <c r="D30" s="333" t="s">
        <v>321</v>
      </c>
      <c r="E30" s="361">
        <f>신규_일위대가!F209</f>
        <v>8671</v>
      </c>
      <c r="F30" s="361">
        <f>신규_일위대가!H209</f>
        <v>289048</v>
      </c>
      <c r="G30" s="361">
        <f>신규_일위대가!J209</f>
        <v>0</v>
      </c>
      <c r="H30" s="361">
        <f t="shared" si="0"/>
        <v>297719</v>
      </c>
      <c r="I30" s="333" t="s">
        <v>1711</v>
      </c>
      <c r="J30" s="333" t="s">
        <v>378</v>
      </c>
      <c r="K30" s="333" t="s">
        <v>378</v>
      </c>
      <c r="L30" s="333" t="s">
        <v>378</v>
      </c>
      <c r="M30" s="333" t="s">
        <v>1712</v>
      </c>
      <c r="N30" s="329" t="s">
        <v>378</v>
      </c>
    </row>
    <row r="31" spans="1:14" ht="30" customHeight="1">
      <c r="A31" s="333" t="s">
        <v>1181</v>
      </c>
      <c r="B31" s="333" t="s">
        <v>385</v>
      </c>
      <c r="C31" s="333" t="s">
        <v>386</v>
      </c>
      <c r="D31" s="333" t="s">
        <v>321</v>
      </c>
      <c r="E31" s="361">
        <f>신규_일위대가!F215</f>
        <v>3105702</v>
      </c>
      <c r="F31" s="361">
        <f>신규_일위대가!H215</f>
        <v>223248</v>
      </c>
      <c r="G31" s="361">
        <f>신규_일위대가!J215</f>
        <v>0</v>
      </c>
      <c r="H31" s="361">
        <f t="shared" si="0"/>
        <v>3328950</v>
      </c>
      <c r="I31" s="333" t="s">
        <v>1713</v>
      </c>
      <c r="J31" s="333" t="s">
        <v>378</v>
      </c>
      <c r="K31" s="333" t="s">
        <v>378</v>
      </c>
      <c r="L31" s="333" t="s">
        <v>378</v>
      </c>
      <c r="M31" s="333" t="s">
        <v>1712</v>
      </c>
      <c r="N31" s="329" t="s">
        <v>378</v>
      </c>
    </row>
    <row r="32" spans="1:14" ht="30" customHeight="1">
      <c r="A32" s="333" t="s">
        <v>1184</v>
      </c>
      <c r="B32" s="333" t="s">
        <v>387</v>
      </c>
      <c r="C32" s="333" t="s">
        <v>320</v>
      </c>
      <c r="D32" s="333" t="s">
        <v>321</v>
      </c>
      <c r="E32" s="361">
        <f>신규_일위대가!F221</f>
        <v>7190</v>
      </c>
      <c r="F32" s="361">
        <f>신규_일위대가!H221</f>
        <v>239698</v>
      </c>
      <c r="G32" s="361">
        <f>신규_일위대가!J221</f>
        <v>0</v>
      </c>
      <c r="H32" s="361">
        <f t="shared" si="0"/>
        <v>246888</v>
      </c>
      <c r="I32" s="333" t="s">
        <v>1714</v>
      </c>
      <c r="J32" s="333" t="s">
        <v>378</v>
      </c>
      <c r="K32" s="333" t="s">
        <v>378</v>
      </c>
      <c r="L32" s="333" t="s">
        <v>378</v>
      </c>
      <c r="M32" s="333" t="s">
        <v>1715</v>
      </c>
      <c r="N32" s="329" t="s">
        <v>378</v>
      </c>
    </row>
    <row r="33" spans="1:14" ht="30" customHeight="1">
      <c r="A33" s="333" t="s">
        <v>1187</v>
      </c>
      <c r="B33" s="333" t="s">
        <v>388</v>
      </c>
      <c r="C33" s="333" t="s">
        <v>389</v>
      </c>
      <c r="D33" s="333" t="s">
        <v>265</v>
      </c>
      <c r="E33" s="361">
        <f>신규_일위대가!F227</f>
        <v>53440</v>
      </c>
      <c r="F33" s="361">
        <f>신규_일위대가!H227</f>
        <v>28199</v>
      </c>
      <c r="G33" s="361">
        <f>신규_일위대가!J227</f>
        <v>0</v>
      </c>
      <c r="H33" s="361">
        <f t="shared" si="0"/>
        <v>81639</v>
      </c>
      <c r="I33" s="333" t="s">
        <v>1716</v>
      </c>
      <c r="J33" s="333" t="s">
        <v>378</v>
      </c>
      <c r="K33" s="333" t="s">
        <v>378</v>
      </c>
      <c r="L33" s="333" t="s">
        <v>378</v>
      </c>
      <c r="M33" s="333" t="s">
        <v>1717</v>
      </c>
      <c r="N33" s="329" t="s">
        <v>378</v>
      </c>
    </row>
    <row r="34" spans="1:14" ht="30" customHeight="1">
      <c r="A34" s="333" t="s">
        <v>1189</v>
      </c>
      <c r="B34" s="333" t="s">
        <v>339</v>
      </c>
      <c r="C34" s="333" t="s">
        <v>340</v>
      </c>
      <c r="D34" s="333" t="s">
        <v>287</v>
      </c>
      <c r="E34" s="361">
        <f>신규_일위대가!F231</f>
        <v>600</v>
      </c>
      <c r="F34" s="361">
        <f>신규_일위대가!H231</f>
        <v>6909</v>
      </c>
      <c r="G34" s="361">
        <f>신규_일위대가!J231</f>
        <v>785</v>
      </c>
      <c r="H34" s="361">
        <f t="shared" si="0"/>
        <v>8294</v>
      </c>
      <c r="I34" s="333" t="s">
        <v>1718</v>
      </c>
      <c r="J34" s="333" t="s">
        <v>378</v>
      </c>
      <c r="K34" s="333" t="s">
        <v>378</v>
      </c>
      <c r="L34" s="333" t="s">
        <v>378</v>
      </c>
      <c r="M34" s="333" t="s">
        <v>1719</v>
      </c>
      <c r="N34" s="329" t="s">
        <v>378</v>
      </c>
    </row>
    <row r="35" spans="1:14" ht="30" customHeight="1">
      <c r="A35" s="333" t="s">
        <v>1191</v>
      </c>
      <c r="B35" s="333" t="s">
        <v>341</v>
      </c>
      <c r="C35" s="333" t="s">
        <v>342</v>
      </c>
      <c r="D35" s="333" t="s">
        <v>343</v>
      </c>
      <c r="E35" s="361">
        <f>신규_일위대가!F235</f>
        <v>6606</v>
      </c>
      <c r="F35" s="361">
        <f>신규_일위대가!H235</f>
        <v>525</v>
      </c>
      <c r="G35" s="361">
        <f>신규_일위대가!J235</f>
        <v>419</v>
      </c>
      <c r="H35" s="361">
        <f t="shared" si="0"/>
        <v>7550</v>
      </c>
      <c r="I35" s="333" t="s">
        <v>1720</v>
      </c>
      <c r="J35" s="333" t="s">
        <v>378</v>
      </c>
      <c r="K35" s="333" t="s">
        <v>378</v>
      </c>
      <c r="L35" s="333" t="s">
        <v>378</v>
      </c>
      <c r="M35" s="333" t="s">
        <v>1721</v>
      </c>
      <c r="N35" s="329" t="s">
        <v>378</v>
      </c>
    </row>
    <row r="36" spans="1:14" ht="30" customHeight="1">
      <c r="A36" s="333" t="s">
        <v>1194</v>
      </c>
      <c r="B36" s="333" t="s">
        <v>390</v>
      </c>
      <c r="C36" s="333" t="s">
        <v>391</v>
      </c>
      <c r="D36" s="333" t="s">
        <v>280</v>
      </c>
      <c r="E36" s="361">
        <f>신규_일위대가!F253</f>
        <v>835710</v>
      </c>
      <c r="F36" s="361">
        <f>신규_일위대가!H253</f>
        <v>893392</v>
      </c>
      <c r="G36" s="361">
        <f>신규_일위대가!J253</f>
        <v>118141</v>
      </c>
      <c r="H36" s="361">
        <f t="shared" si="0"/>
        <v>1847243</v>
      </c>
      <c r="I36" s="333" t="s">
        <v>1722</v>
      </c>
      <c r="J36" s="333" t="s">
        <v>378</v>
      </c>
      <c r="K36" s="333" t="s">
        <v>378</v>
      </c>
      <c r="L36" s="333" t="s">
        <v>378</v>
      </c>
      <c r="M36" s="333" t="s">
        <v>1723</v>
      </c>
      <c r="N36" s="329" t="s">
        <v>378</v>
      </c>
    </row>
    <row r="37" spans="1:14" ht="30" customHeight="1">
      <c r="A37" s="333" t="s">
        <v>1200</v>
      </c>
      <c r="B37" s="333" t="s">
        <v>266</v>
      </c>
      <c r="C37" s="333" t="s">
        <v>297</v>
      </c>
      <c r="D37" s="333" t="s">
        <v>265</v>
      </c>
      <c r="E37" s="361">
        <f>신규_일위대가!F259</f>
        <v>2663</v>
      </c>
      <c r="F37" s="361">
        <f>신규_일위대가!H259</f>
        <v>9399</v>
      </c>
      <c r="G37" s="361">
        <f>신규_일위대가!J259</f>
        <v>0</v>
      </c>
      <c r="H37" s="361">
        <f t="shared" si="0"/>
        <v>12062</v>
      </c>
      <c r="I37" s="333" t="s">
        <v>1724</v>
      </c>
      <c r="J37" s="333" t="s">
        <v>378</v>
      </c>
      <c r="K37" s="333" t="s">
        <v>378</v>
      </c>
      <c r="L37" s="333" t="s">
        <v>378</v>
      </c>
      <c r="M37" s="333" t="s">
        <v>1712</v>
      </c>
      <c r="N37" s="329" t="s">
        <v>378</v>
      </c>
    </row>
    <row r="38" spans="1:14" ht="30" customHeight="1">
      <c r="A38" s="333" t="s">
        <v>1203</v>
      </c>
      <c r="B38" s="333" t="s">
        <v>298</v>
      </c>
      <c r="C38" s="333" t="s">
        <v>299</v>
      </c>
      <c r="D38" s="333" t="s">
        <v>300</v>
      </c>
      <c r="E38" s="361">
        <f>신규_일위대가!F266</f>
        <v>964</v>
      </c>
      <c r="F38" s="361">
        <f>신규_일위대가!H266</f>
        <v>2114</v>
      </c>
      <c r="G38" s="361">
        <f>신규_일위대가!J266</f>
        <v>0</v>
      </c>
      <c r="H38" s="361">
        <f t="shared" si="0"/>
        <v>3078</v>
      </c>
      <c r="I38" s="333" t="s">
        <v>1725</v>
      </c>
      <c r="J38" s="333" t="s">
        <v>378</v>
      </c>
      <c r="K38" s="333" t="s">
        <v>378</v>
      </c>
      <c r="L38" s="333" t="s">
        <v>378</v>
      </c>
      <c r="M38" s="333" t="s">
        <v>1678</v>
      </c>
      <c r="N38" s="329" t="s">
        <v>378</v>
      </c>
    </row>
    <row r="39" spans="1:14" s="340" customFormat="1" ht="30" customHeight="1">
      <c r="A39" s="336" t="s">
        <v>1207</v>
      </c>
      <c r="B39" s="336" t="s">
        <v>302</v>
      </c>
      <c r="C39" s="336" t="s">
        <v>304</v>
      </c>
      <c r="D39" s="336" t="s">
        <v>300</v>
      </c>
      <c r="E39" s="362">
        <v>2275</v>
      </c>
      <c r="F39" s="362">
        <v>3685</v>
      </c>
      <c r="G39" s="362">
        <f>신규_일위대가!J273</f>
        <v>0</v>
      </c>
      <c r="H39" s="362">
        <f t="shared" si="0"/>
        <v>5960</v>
      </c>
      <c r="I39" s="336" t="s">
        <v>1726</v>
      </c>
      <c r="J39" s="336" t="s">
        <v>378</v>
      </c>
      <c r="K39" s="336" t="s">
        <v>378</v>
      </c>
      <c r="L39" s="336" t="s">
        <v>378</v>
      </c>
      <c r="M39" s="336" t="s">
        <v>1688</v>
      </c>
      <c r="N39" s="339" t="s">
        <v>378</v>
      </c>
    </row>
    <row r="40" spans="1:14" ht="30" customHeight="1">
      <c r="A40" s="333" t="s">
        <v>1209</v>
      </c>
      <c r="B40" s="333" t="s">
        <v>305</v>
      </c>
      <c r="C40" s="333" t="s">
        <v>306</v>
      </c>
      <c r="D40" s="333" t="s">
        <v>265</v>
      </c>
      <c r="E40" s="361">
        <f>신규_일위대가!F279</f>
        <v>40781</v>
      </c>
      <c r="F40" s="361">
        <f>신규_일위대가!H279</f>
        <v>31254</v>
      </c>
      <c r="G40" s="361">
        <f>신규_일위대가!J279</f>
        <v>0</v>
      </c>
      <c r="H40" s="361">
        <f t="shared" si="0"/>
        <v>72035</v>
      </c>
      <c r="I40" s="333" t="s">
        <v>1727</v>
      </c>
      <c r="J40" s="333" t="s">
        <v>378</v>
      </c>
      <c r="K40" s="333" t="s">
        <v>378</v>
      </c>
      <c r="L40" s="333" t="s">
        <v>378</v>
      </c>
      <c r="M40" s="333" t="s">
        <v>1728</v>
      </c>
      <c r="N40" s="329" t="s">
        <v>378</v>
      </c>
    </row>
    <row r="41" spans="1:14" ht="30" customHeight="1">
      <c r="A41" s="333" t="s">
        <v>1214</v>
      </c>
      <c r="B41" s="333" t="s">
        <v>312</v>
      </c>
      <c r="C41" s="333" t="s">
        <v>313</v>
      </c>
      <c r="D41" s="333" t="s">
        <v>300</v>
      </c>
      <c r="E41" s="361">
        <f>신규_일위대가!F285</f>
        <v>5007</v>
      </c>
      <c r="F41" s="361">
        <f>신규_일위대가!H285</f>
        <v>30549</v>
      </c>
      <c r="G41" s="361">
        <f>신규_일위대가!J285</f>
        <v>0</v>
      </c>
      <c r="H41" s="361">
        <f t="shared" si="0"/>
        <v>35556</v>
      </c>
      <c r="I41" s="333" t="s">
        <v>1729</v>
      </c>
      <c r="J41" s="333" t="s">
        <v>378</v>
      </c>
      <c r="K41" s="333" t="s">
        <v>378</v>
      </c>
      <c r="L41" s="333" t="s">
        <v>378</v>
      </c>
      <c r="M41" s="333" t="s">
        <v>1730</v>
      </c>
      <c r="N41" s="329" t="s">
        <v>378</v>
      </c>
    </row>
    <row r="42" spans="1:14" ht="30" customHeight="1">
      <c r="A42" s="333" t="s">
        <v>1216</v>
      </c>
      <c r="B42" s="333" t="s">
        <v>314</v>
      </c>
      <c r="C42" s="333" t="s">
        <v>315</v>
      </c>
      <c r="D42" s="333" t="s">
        <v>265</v>
      </c>
      <c r="E42" s="361">
        <f>신규_일위대가!F291</f>
        <v>972</v>
      </c>
      <c r="F42" s="361">
        <f>신규_일위대가!H291</f>
        <v>32429</v>
      </c>
      <c r="G42" s="361">
        <f>신규_일위대가!J291</f>
        <v>0</v>
      </c>
      <c r="H42" s="361">
        <f t="shared" si="0"/>
        <v>33401</v>
      </c>
      <c r="I42" s="333" t="s">
        <v>1731</v>
      </c>
      <c r="J42" s="333" t="s">
        <v>378</v>
      </c>
      <c r="K42" s="333" t="s">
        <v>378</v>
      </c>
      <c r="L42" s="333" t="s">
        <v>378</v>
      </c>
      <c r="M42" s="333" t="s">
        <v>1732</v>
      </c>
      <c r="N42" s="329" t="s">
        <v>378</v>
      </c>
    </row>
    <row r="43" spans="1:14" ht="30" customHeight="1">
      <c r="A43" s="333" t="s">
        <v>1218</v>
      </c>
      <c r="B43" s="333" t="s">
        <v>316</v>
      </c>
      <c r="C43" s="333" t="s">
        <v>317</v>
      </c>
      <c r="D43" s="333" t="s">
        <v>265</v>
      </c>
      <c r="E43" s="361">
        <f>신규_일위대가!F297</f>
        <v>1466</v>
      </c>
      <c r="F43" s="361">
        <f>신규_일위대가!H297</f>
        <v>48879</v>
      </c>
      <c r="G43" s="361">
        <f>신규_일위대가!J297</f>
        <v>0</v>
      </c>
      <c r="H43" s="361">
        <f t="shared" si="0"/>
        <v>50345</v>
      </c>
      <c r="I43" s="333" t="s">
        <v>1733</v>
      </c>
      <c r="J43" s="333" t="s">
        <v>378</v>
      </c>
      <c r="K43" s="333" t="s">
        <v>378</v>
      </c>
      <c r="L43" s="333" t="s">
        <v>378</v>
      </c>
      <c r="M43" s="333" t="s">
        <v>1734</v>
      </c>
      <c r="N43" s="329" t="s">
        <v>378</v>
      </c>
    </row>
    <row r="44" spans="1:14" ht="30" customHeight="1">
      <c r="A44" s="333" t="s">
        <v>1220</v>
      </c>
      <c r="B44" s="333" t="s">
        <v>318</v>
      </c>
      <c r="C44" s="333" t="s">
        <v>378</v>
      </c>
      <c r="D44" s="333" t="s">
        <v>280</v>
      </c>
      <c r="E44" s="361">
        <f>신규_일위대가!F305</f>
        <v>48217</v>
      </c>
      <c r="F44" s="361">
        <f>신규_일위대가!H305</f>
        <v>63909</v>
      </c>
      <c r="G44" s="361">
        <f>신규_일위대가!J305</f>
        <v>3703</v>
      </c>
      <c r="H44" s="361">
        <f t="shared" si="0"/>
        <v>115829</v>
      </c>
      <c r="I44" s="333" t="s">
        <v>1735</v>
      </c>
      <c r="J44" s="333" t="s">
        <v>378</v>
      </c>
      <c r="K44" s="333" t="s">
        <v>378</v>
      </c>
      <c r="L44" s="333" t="s">
        <v>378</v>
      </c>
      <c r="M44" s="333" t="s">
        <v>1736</v>
      </c>
      <c r="N44" s="329" t="s">
        <v>378</v>
      </c>
    </row>
    <row r="45" spans="1:14" ht="30" customHeight="1">
      <c r="A45" s="333" t="s">
        <v>1222</v>
      </c>
      <c r="B45" s="333" t="s">
        <v>319</v>
      </c>
      <c r="C45" s="333" t="s">
        <v>320</v>
      </c>
      <c r="D45" s="333" t="s">
        <v>321</v>
      </c>
      <c r="E45" s="361">
        <f>신규_일위대가!F314</f>
        <v>1380760</v>
      </c>
      <c r="F45" s="361">
        <f>신규_일위대가!H314</f>
        <v>369651</v>
      </c>
      <c r="G45" s="361">
        <f>신규_일위대가!J314</f>
        <v>0</v>
      </c>
      <c r="H45" s="361">
        <f t="shared" si="0"/>
        <v>1750411</v>
      </c>
      <c r="I45" s="333" t="s">
        <v>1737</v>
      </c>
      <c r="J45" s="333" t="s">
        <v>378</v>
      </c>
      <c r="K45" s="333" t="s">
        <v>378</v>
      </c>
      <c r="L45" s="333" t="s">
        <v>378</v>
      </c>
      <c r="M45" s="333" t="s">
        <v>1715</v>
      </c>
      <c r="N45" s="329" t="s">
        <v>378</v>
      </c>
    </row>
    <row r="46" spans="1:14" ht="30" customHeight="1">
      <c r="A46" s="333" t="s">
        <v>1224</v>
      </c>
      <c r="B46" s="333" t="s">
        <v>322</v>
      </c>
      <c r="C46" s="333" t="s">
        <v>320</v>
      </c>
      <c r="D46" s="333" t="s">
        <v>321</v>
      </c>
      <c r="E46" s="361">
        <f>신규_일위대가!F323</f>
        <v>1355677</v>
      </c>
      <c r="F46" s="361">
        <f>신규_일위대가!H323</f>
        <v>419001</v>
      </c>
      <c r="G46" s="361">
        <f>신규_일위대가!J323</f>
        <v>0</v>
      </c>
      <c r="H46" s="361">
        <f t="shared" si="0"/>
        <v>1774678</v>
      </c>
      <c r="I46" s="333" t="s">
        <v>1738</v>
      </c>
      <c r="J46" s="333" t="s">
        <v>378</v>
      </c>
      <c r="K46" s="333" t="s">
        <v>378</v>
      </c>
      <c r="L46" s="333" t="s">
        <v>378</v>
      </c>
      <c r="M46" s="333" t="s">
        <v>1715</v>
      </c>
      <c r="N46" s="329" t="s">
        <v>378</v>
      </c>
    </row>
    <row r="47" spans="1:14" ht="30" customHeight="1">
      <c r="A47" s="333" t="s">
        <v>1227</v>
      </c>
      <c r="B47" s="333" t="s">
        <v>325</v>
      </c>
      <c r="C47" s="333" t="s">
        <v>325</v>
      </c>
      <c r="D47" s="333" t="s">
        <v>212</v>
      </c>
      <c r="E47" s="361">
        <f>신규_일위대가!F329</f>
        <v>72386</v>
      </c>
      <c r="F47" s="361">
        <f>신규_일위대가!H329</f>
        <v>105831</v>
      </c>
      <c r="G47" s="361">
        <f>신규_일위대가!J329</f>
        <v>891</v>
      </c>
      <c r="H47" s="361">
        <f t="shared" si="0"/>
        <v>179108</v>
      </c>
      <c r="I47" s="333" t="s">
        <v>1739</v>
      </c>
      <c r="J47" s="333" t="s">
        <v>378</v>
      </c>
      <c r="K47" s="333" t="s">
        <v>378</v>
      </c>
      <c r="L47" s="333" t="s">
        <v>378</v>
      </c>
      <c r="M47" s="333" t="s">
        <v>1708</v>
      </c>
      <c r="N47" s="329" t="s">
        <v>378</v>
      </c>
    </row>
    <row r="48" spans="1:14" ht="30" customHeight="1">
      <c r="A48" s="333" t="s">
        <v>1229</v>
      </c>
      <c r="B48" s="333" t="s">
        <v>326</v>
      </c>
      <c r="C48" s="333" t="s">
        <v>378</v>
      </c>
      <c r="D48" s="333" t="s">
        <v>280</v>
      </c>
      <c r="E48" s="361">
        <f>신규_일위대가!F337</f>
        <v>76728</v>
      </c>
      <c r="F48" s="361">
        <f>신규_일위대가!H337</f>
        <v>63909</v>
      </c>
      <c r="G48" s="361">
        <f>신규_일위대가!J337</f>
        <v>3703</v>
      </c>
      <c r="H48" s="361">
        <f t="shared" si="0"/>
        <v>144340</v>
      </c>
      <c r="I48" s="333" t="s">
        <v>1740</v>
      </c>
      <c r="J48" s="333" t="s">
        <v>378</v>
      </c>
      <c r="K48" s="333" t="s">
        <v>378</v>
      </c>
      <c r="L48" s="333" t="s">
        <v>378</v>
      </c>
      <c r="M48" s="333" t="s">
        <v>1736</v>
      </c>
      <c r="N48" s="329" t="s">
        <v>378</v>
      </c>
    </row>
    <row r="49" spans="1:14" ht="30" customHeight="1">
      <c r="A49" s="333" t="s">
        <v>1231</v>
      </c>
      <c r="B49" s="333" t="s">
        <v>327</v>
      </c>
      <c r="C49" s="333" t="s">
        <v>328</v>
      </c>
      <c r="D49" s="333" t="s">
        <v>329</v>
      </c>
      <c r="E49" s="361">
        <f>신규_일위대가!F343</f>
        <v>1290</v>
      </c>
      <c r="F49" s="361">
        <f>신규_일위대가!H343</f>
        <v>43004</v>
      </c>
      <c r="G49" s="361">
        <f>신규_일위대가!J343</f>
        <v>0</v>
      </c>
      <c r="H49" s="361">
        <f t="shared" si="0"/>
        <v>44294</v>
      </c>
      <c r="I49" s="333" t="s">
        <v>1741</v>
      </c>
      <c r="J49" s="333" t="s">
        <v>378</v>
      </c>
      <c r="K49" s="333" t="s">
        <v>378</v>
      </c>
      <c r="L49" s="333" t="s">
        <v>378</v>
      </c>
      <c r="M49" s="333" t="s">
        <v>1742</v>
      </c>
      <c r="N49" s="329" t="s">
        <v>378</v>
      </c>
    </row>
    <row r="50" spans="1:14" ht="30" customHeight="1">
      <c r="A50" s="333" t="s">
        <v>1233</v>
      </c>
      <c r="B50" s="333" t="s">
        <v>330</v>
      </c>
      <c r="C50" s="333" t="s">
        <v>331</v>
      </c>
      <c r="D50" s="333" t="s">
        <v>332</v>
      </c>
      <c r="E50" s="361">
        <f>신규_일위대가!F350</f>
        <v>5913</v>
      </c>
      <c r="F50" s="361">
        <f>신규_일위대가!H350</f>
        <v>96750</v>
      </c>
      <c r="G50" s="361">
        <f>신규_일위대가!J350</f>
        <v>4736</v>
      </c>
      <c r="H50" s="361">
        <f t="shared" si="0"/>
        <v>107399</v>
      </c>
      <c r="I50" s="333" t="s">
        <v>1743</v>
      </c>
      <c r="J50" s="333" t="s">
        <v>378</v>
      </c>
      <c r="K50" s="333" t="s">
        <v>378</v>
      </c>
      <c r="L50" s="333" t="s">
        <v>378</v>
      </c>
      <c r="M50" s="333" t="s">
        <v>1744</v>
      </c>
      <c r="N50" s="329" t="s">
        <v>378</v>
      </c>
    </row>
    <row r="51" spans="1:14" ht="30" customHeight="1">
      <c r="A51" s="333" t="s">
        <v>1235</v>
      </c>
      <c r="B51" s="333" t="s">
        <v>333</v>
      </c>
      <c r="C51" s="333" t="s">
        <v>333</v>
      </c>
      <c r="D51" s="333" t="s">
        <v>291</v>
      </c>
      <c r="E51" s="361">
        <f>신규_일위대가!F357</f>
        <v>5913</v>
      </c>
      <c r="F51" s="361">
        <f>신규_일위대가!H357</f>
        <v>96750</v>
      </c>
      <c r="G51" s="361">
        <f>신규_일위대가!J357</f>
        <v>4736</v>
      </c>
      <c r="H51" s="361">
        <f t="shared" si="0"/>
        <v>107399</v>
      </c>
      <c r="I51" s="333" t="s">
        <v>1745</v>
      </c>
      <c r="J51" s="333" t="s">
        <v>378</v>
      </c>
      <c r="K51" s="333" t="s">
        <v>378</v>
      </c>
      <c r="L51" s="333" t="s">
        <v>378</v>
      </c>
      <c r="M51" s="333" t="s">
        <v>1744</v>
      </c>
      <c r="N51" s="329" t="s">
        <v>378</v>
      </c>
    </row>
    <row r="52" spans="1:14" ht="30" customHeight="1">
      <c r="A52" s="333" t="s">
        <v>1237</v>
      </c>
      <c r="B52" s="333" t="s">
        <v>334</v>
      </c>
      <c r="C52" s="333" t="s">
        <v>334</v>
      </c>
      <c r="D52" s="333" t="s">
        <v>291</v>
      </c>
      <c r="E52" s="361">
        <f>신규_일위대가!F363</f>
        <v>1706</v>
      </c>
      <c r="F52" s="361">
        <f>신규_일위대가!H363</f>
        <v>56869</v>
      </c>
      <c r="G52" s="361">
        <f>신규_일위대가!J363</f>
        <v>0</v>
      </c>
      <c r="H52" s="361">
        <f t="shared" si="0"/>
        <v>58575</v>
      </c>
      <c r="I52" s="333" t="s">
        <v>1746</v>
      </c>
      <c r="J52" s="333" t="s">
        <v>378</v>
      </c>
      <c r="K52" s="333" t="s">
        <v>378</v>
      </c>
      <c r="L52" s="333" t="s">
        <v>378</v>
      </c>
      <c r="M52" s="333" t="s">
        <v>1732</v>
      </c>
      <c r="N52" s="329" t="s">
        <v>378</v>
      </c>
    </row>
    <row r="53" spans="1:14" ht="30" customHeight="1">
      <c r="A53" s="333" t="s">
        <v>1239</v>
      </c>
      <c r="B53" s="333" t="s">
        <v>335</v>
      </c>
      <c r="C53" s="333" t="s">
        <v>336</v>
      </c>
      <c r="D53" s="333" t="s">
        <v>280</v>
      </c>
      <c r="E53" s="361">
        <f>신규_일위대가!F371</f>
        <v>48217</v>
      </c>
      <c r="F53" s="361">
        <f>신규_일위대가!H371</f>
        <v>63909</v>
      </c>
      <c r="G53" s="361">
        <f>신규_일위대가!J371</f>
        <v>3703</v>
      </c>
      <c r="H53" s="361">
        <f t="shared" si="0"/>
        <v>115829</v>
      </c>
      <c r="I53" s="333" t="s">
        <v>1747</v>
      </c>
      <c r="J53" s="333" t="s">
        <v>378</v>
      </c>
      <c r="K53" s="333" t="s">
        <v>378</v>
      </c>
      <c r="L53" s="333" t="s">
        <v>378</v>
      </c>
      <c r="M53" s="333" t="s">
        <v>1736</v>
      </c>
      <c r="N53" s="329" t="s">
        <v>378</v>
      </c>
    </row>
    <row r="54" spans="1:14" ht="30" customHeight="1">
      <c r="A54" s="333" t="s">
        <v>1241</v>
      </c>
      <c r="B54" s="333" t="s">
        <v>337</v>
      </c>
      <c r="C54" s="333" t="s">
        <v>338</v>
      </c>
      <c r="D54" s="333" t="s">
        <v>265</v>
      </c>
      <c r="E54" s="361">
        <f>신규_일위대가!F378</f>
        <v>15718</v>
      </c>
      <c r="F54" s="361">
        <f>신규_일위대가!H378</f>
        <v>36975</v>
      </c>
      <c r="G54" s="361">
        <f>신규_일위대가!J378</f>
        <v>0</v>
      </c>
      <c r="H54" s="361">
        <f t="shared" si="0"/>
        <v>52693</v>
      </c>
      <c r="I54" s="333" t="s">
        <v>1748</v>
      </c>
      <c r="J54" s="333" t="s">
        <v>378</v>
      </c>
      <c r="K54" s="333" t="s">
        <v>378</v>
      </c>
      <c r="L54" s="333" t="s">
        <v>378</v>
      </c>
      <c r="M54" s="333" t="s">
        <v>1678</v>
      </c>
      <c r="N54" s="329" t="s">
        <v>378</v>
      </c>
    </row>
    <row r="55" spans="1:14" ht="30" customHeight="1">
      <c r="A55" s="333" t="s">
        <v>1249</v>
      </c>
      <c r="B55" s="336" t="s">
        <v>1247</v>
      </c>
      <c r="C55" s="336" t="s">
        <v>345</v>
      </c>
      <c r="D55" s="336" t="s">
        <v>255</v>
      </c>
      <c r="E55" s="362">
        <v>1411</v>
      </c>
      <c r="F55" s="362">
        <f>신규_일위대가!H386</f>
        <v>25891</v>
      </c>
      <c r="G55" s="362">
        <f>신규_일위대가!J386</f>
        <v>0</v>
      </c>
      <c r="H55" s="362">
        <f t="shared" si="0"/>
        <v>27302</v>
      </c>
      <c r="I55" s="336" t="s">
        <v>1749</v>
      </c>
      <c r="J55" s="336" t="s">
        <v>378</v>
      </c>
      <c r="K55" s="336" t="s">
        <v>378</v>
      </c>
      <c r="L55" s="336" t="s">
        <v>378</v>
      </c>
      <c r="M55" s="336" t="s">
        <v>1674</v>
      </c>
      <c r="N55" s="329" t="s">
        <v>378</v>
      </c>
    </row>
    <row r="56" spans="1:14" ht="30" customHeight="1">
      <c r="A56" s="333" t="s">
        <v>1252</v>
      </c>
      <c r="B56" s="333" t="s">
        <v>422</v>
      </c>
      <c r="C56" s="333" t="s">
        <v>423</v>
      </c>
      <c r="D56" s="333" t="s">
        <v>255</v>
      </c>
      <c r="E56" s="361">
        <f>신규_일위대가!F394</f>
        <v>2371</v>
      </c>
      <c r="F56" s="361">
        <f>신규_일위대가!H394</f>
        <v>44649</v>
      </c>
      <c r="G56" s="361">
        <f>신규_일위대가!J394</f>
        <v>0</v>
      </c>
      <c r="H56" s="361">
        <f t="shared" si="0"/>
        <v>47020</v>
      </c>
      <c r="I56" s="333" t="s">
        <v>1750</v>
      </c>
      <c r="J56" s="333" t="s">
        <v>378</v>
      </c>
      <c r="K56" s="333" t="s">
        <v>378</v>
      </c>
      <c r="L56" s="333" t="s">
        <v>378</v>
      </c>
      <c r="M56" s="333" t="s">
        <v>1674</v>
      </c>
      <c r="N56" s="329" t="s">
        <v>378</v>
      </c>
    </row>
    <row r="57" spans="1:14" ht="30" customHeight="1">
      <c r="A57" s="333" t="s">
        <v>1255</v>
      </c>
      <c r="B57" s="336" t="s">
        <v>1247</v>
      </c>
      <c r="C57" s="336" t="s">
        <v>397</v>
      </c>
      <c r="D57" s="336" t="s">
        <v>255</v>
      </c>
      <c r="E57" s="362">
        <v>6707</v>
      </c>
      <c r="F57" s="362">
        <v>119101</v>
      </c>
      <c r="G57" s="362">
        <f>신규_일위대가!J402</f>
        <v>0</v>
      </c>
      <c r="H57" s="362">
        <f t="shared" si="0"/>
        <v>125808</v>
      </c>
      <c r="I57" s="336" t="s">
        <v>1751</v>
      </c>
      <c r="J57" s="336" t="s">
        <v>378</v>
      </c>
      <c r="K57" s="336" t="s">
        <v>378</v>
      </c>
      <c r="L57" s="336" t="s">
        <v>378</v>
      </c>
      <c r="M57" s="336" t="s">
        <v>1674</v>
      </c>
      <c r="N57" s="329" t="s">
        <v>378</v>
      </c>
    </row>
    <row r="58" spans="1:14" ht="30" customHeight="1">
      <c r="A58" s="333" t="s">
        <v>1261</v>
      </c>
      <c r="B58" s="333" t="s">
        <v>424</v>
      </c>
      <c r="C58" s="333" t="s">
        <v>425</v>
      </c>
      <c r="D58" s="333" t="s">
        <v>300</v>
      </c>
      <c r="E58" s="361">
        <f>신규_일위대가!F409</f>
        <v>9583</v>
      </c>
      <c r="F58" s="361">
        <f>신규_일위대가!H409</f>
        <v>2819</v>
      </c>
      <c r="G58" s="361">
        <f>신규_일위대가!J409</f>
        <v>0</v>
      </c>
      <c r="H58" s="361">
        <f t="shared" si="0"/>
        <v>12402</v>
      </c>
      <c r="I58" s="333" t="s">
        <v>1752</v>
      </c>
      <c r="J58" s="333" t="s">
        <v>378</v>
      </c>
      <c r="K58" s="333" t="s">
        <v>378</v>
      </c>
      <c r="L58" s="333" t="s">
        <v>378</v>
      </c>
      <c r="M58" s="333" t="s">
        <v>1678</v>
      </c>
      <c r="N58" s="329" t="s">
        <v>378</v>
      </c>
    </row>
    <row r="59" spans="1:14" ht="30" customHeight="1">
      <c r="A59" s="333" t="s">
        <v>1264</v>
      </c>
      <c r="B59" s="333" t="s">
        <v>302</v>
      </c>
      <c r="C59" s="333" t="s">
        <v>426</v>
      </c>
      <c r="D59" s="333" t="s">
        <v>300</v>
      </c>
      <c r="E59" s="361">
        <f>신규_일위대가!F416</f>
        <v>16796</v>
      </c>
      <c r="F59" s="361">
        <f>신규_일위대가!H416</f>
        <v>21044</v>
      </c>
      <c r="G59" s="361">
        <f>신규_일위대가!J416</f>
        <v>0</v>
      </c>
      <c r="H59" s="361">
        <f t="shared" si="0"/>
        <v>37840</v>
      </c>
      <c r="I59" s="333" t="s">
        <v>1753</v>
      </c>
      <c r="J59" s="333" t="s">
        <v>378</v>
      </c>
      <c r="K59" s="333" t="s">
        <v>378</v>
      </c>
      <c r="L59" s="333" t="s">
        <v>378</v>
      </c>
      <c r="M59" s="333" t="s">
        <v>1686</v>
      </c>
      <c r="N59" s="329" t="s">
        <v>378</v>
      </c>
    </row>
    <row r="60" spans="1:14" ht="30" customHeight="1">
      <c r="A60" s="333" t="s">
        <v>1270</v>
      </c>
      <c r="B60" s="333" t="s">
        <v>302</v>
      </c>
      <c r="C60" s="333" t="s">
        <v>427</v>
      </c>
      <c r="D60" s="333" t="s">
        <v>300</v>
      </c>
      <c r="E60" s="361">
        <f>신규_일위대가!F423</f>
        <v>17184</v>
      </c>
      <c r="F60" s="361">
        <f>신규_일위대가!H423</f>
        <v>19920</v>
      </c>
      <c r="G60" s="361">
        <f>신규_일위대가!J423</f>
        <v>0</v>
      </c>
      <c r="H60" s="361">
        <f t="shared" si="0"/>
        <v>37104</v>
      </c>
      <c r="I60" s="333" t="s">
        <v>1754</v>
      </c>
      <c r="J60" s="333" t="s">
        <v>378</v>
      </c>
      <c r="K60" s="333" t="s">
        <v>378</v>
      </c>
      <c r="L60" s="333" t="s">
        <v>378</v>
      </c>
      <c r="M60" s="333" t="s">
        <v>1686</v>
      </c>
      <c r="N60" s="329" t="s">
        <v>378</v>
      </c>
    </row>
    <row r="61" spans="1:14" ht="30" customHeight="1">
      <c r="A61" s="333" t="s">
        <v>1275</v>
      </c>
      <c r="B61" s="333" t="s">
        <v>370</v>
      </c>
      <c r="C61" s="333" t="s">
        <v>428</v>
      </c>
      <c r="D61" s="333" t="s">
        <v>265</v>
      </c>
      <c r="E61" s="361">
        <f>신규_일위대가!F429</f>
        <v>2521</v>
      </c>
      <c r="F61" s="361">
        <f>신규_일위대가!H429</f>
        <v>38309</v>
      </c>
      <c r="G61" s="361">
        <f>신규_일위대가!J429</f>
        <v>0</v>
      </c>
      <c r="H61" s="361">
        <f t="shared" si="0"/>
        <v>40830</v>
      </c>
      <c r="I61" s="333" t="s">
        <v>1755</v>
      </c>
      <c r="J61" s="333" t="s">
        <v>378</v>
      </c>
      <c r="K61" s="333" t="s">
        <v>378</v>
      </c>
      <c r="L61" s="333" t="s">
        <v>378</v>
      </c>
      <c r="M61" s="333" t="s">
        <v>1694</v>
      </c>
      <c r="N61" s="329" t="s">
        <v>378</v>
      </c>
    </row>
    <row r="62" spans="1:14" s="340" customFormat="1" ht="30" customHeight="1">
      <c r="A62" s="336" t="s">
        <v>1278</v>
      </c>
      <c r="B62" s="336" t="s">
        <v>370</v>
      </c>
      <c r="C62" s="336" t="s">
        <v>429</v>
      </c>
      <c r="D62" s="336" t="s">
        <v>265</v>
      </c>
      <c r="E62" s="362">
        <v>4253</v>
      </c>
      <c r="F62" s="362">
        <v>52169</v>
      </c>
      <c r="G62" s="362">
        <f>신규_일위대가!J435</f>
        <v>0</v>
      </c>
      <c r="H62" s="362">
        <f t="shared" si="0"/>
        <v>56422</v>
      </c>
      <c r="I62" s="336" t="s">
        <v>1756</v>
      </c>
      <c r="J62" s="336" t="s">
        <v>378</v>
      </c>
      <c r="K62" s="336" t="s">
        <v>378</v>
      </c>
      <c r="L62" s="336" t="s">
        <v>378</v>
      </c>
      <c r="M62" s="336" t="s">
        <v>1694</v>
      </c>
      <c r="N62" s="339" t="s">
        <v>378</v>
      </c>
    </row>
    <row r="63" spans="1:14" ht="30" customHeight="1">
      <c r="A63" s="333" t="s">
        <v>1281</v>
      </c>
      <c r="B63" s="333" t="s">
        <v>430</v>
      </c>
      <c r="C63" s="333" t="s">
        <v>431</v>
      </c>
      <c r="D63" s="333" t="s">
        <v>321</v>
      </c>
      <c r="E63" s="361">
        <f>신규_일위대가!F441</f>
        <v>8671</v>
      </c>
      <c r="F63" s="361">
        <f>신규_일위대가!H441</f>
        <v>289048</v>
      </c>
      <c r="G63" s="361">
        <f>신규_일위대가!J441</f>
        <v>0</v>
      </c>
      <c r="H63" s="361">
        <f t="shared" si="0"/>
        <v>297719</v>
      </c>
      <c r="I63" s="333" t="s">
        <v>1757</v>
      </c>
      <c r="J63" s="333" t="s">
        <v>378</v>
      </c>
      <c r="K63" s="333" t="s">
        <v>378</v>
      </c>
      <c r="L63" s="333" t="s">
        <v>378</v>
      </c>
      <c r="M63" s="333" t="s">
        <v>1712</v>
      </c>
      <c r="N63" s="329" t="s">
        <v>378</v>
      </c>
    </row>
    <row r="64" spans="1:14" ht="30" customHeight="1">
      <c r="A64" s="333" t="s">
        <v>1284</v>
      </c>
      <c r="B64" s="333" t="s">
        <v>430</v>
      </c>
      <c r="C64" s="333" t="s">
        <v>432</v>
      </c>
      <c r="D64" s="333" t="s">
        <v>321</v>
      </c>
      <c r="E64" s="361">
        <f>신규_일위대가!F447</f>
        <v>8671</v>
      </c>
      <c r="F64" s="361">
        <f>신규_일위대가!H447</f>
        <v>289048</v>
      </c>
      <c r="G64" s="361">
        <f>신규_일위대가!J447</f>
        <v>0</v>
      </c>
      <c r="H64" s="361">
        <f t="shared" si="0"/>
        <v>297719</v>
      </c>
      <c r="I64" s="333" t="s">
        <v>1758</v>
      </c>
      <c r="J64" s="333" t="s">
        <v>378</v>
      </c>
      <c r="K64" s="333" t="s">
        <v>378</v>
      </c>
      <c r="L64" s="333" t="s">
        <v>378</v>
      </c>
      <c r="M64" s="333" t="s">
        <v>1712</v>
      </c>
      <c r="N64" s="329" t="s">
        <v>378</v>
      </c>
    </row>
    <row r="65" spans="1:14" ht="30" customHeight="1">
      <c r="A65" s="333" t="s">
        <v>1287</v>
      </c>
      <c r="B65" s="333" t="s">
        <v>430</v>
      </c>
      <c r="C65" s="333" t="s">
        <v>433</v>
      </c>
      <c r="D65" s="333" t="s">
        <v>321</v>
      </c>
      <c r="E65" s="361">
        <f>신규_일위대가!F453</f>
        <v>8671</v>
      </c>
      <c r="F65" s="361">
        <f>신규_일위대가!H453</f>
        <v>289048</v>
      </c>
      <c r="G65" s="361">
        <f>신규_일위대가!J453</f>
        <v>0</v>
      </c>
      <c r="H65" s="361">
        <f t="shared" si="0"/>
        <v>297719</v>
      </c>
      <c r="I65" s="333" t="s">
        <v>1759</v>
      </c>
      <c r="J65" s="333" t="s">
        <v>378</v>
      </c>
      <c r="K65" s="333" t="s">
        <v>378</v>
      </c>
      <c r="L65" s="333" t="s">
        <v>378</v>
      </c>
      <c r="M65" s="333" t="s">
        <v>1712</v>
      </c>
      <c r="N65" s="329" t="s">
        <v>378</v>
      </c>
    </row>
    <row r="66" spans="1:14" ht="30" customHeight="1">
      <c r="A66" s="333" t="s">
        <v>1290</v>
      </c>
      <c r="B66" s="333" t="s">
        <v>430</v>
      </c>
      <c r="C66" s="333" t="s">
        <v>434</v>
      </c>
      <c r="D66" s="333" t="s">
        <v>321</v>
      </c>
      <c r="E66" s="361">
        <f>신규_일위대가!F459</f>
        <v>6697</v>
      </c>
      <c r="F66" s="361">
        <f>신규_일위대가!H459</f>
        <v>223248</v>
      </c>
      <c r="G66" s="361">
        <f>신규_일위대가!J459</f>
        <v>0</v>
      </c>
      <c r="H66" s="361">
        <f t="shared" si="0"/>
        <v>229945</v>
      </c>
      <c r="I66" s="333" t="s">
        <v>1760</v>
      </c>
      <c r="J66" s="333" t="s">
        <v>378</v>
      </c>
      <c r="K66" s="333" t="s">
        <v>378</v>
      </c>
      <c r="L66" s="333" t="s">
        <v>378</v>
      </c>
      <c r="M66" s="333" t="s">
        <v>1712</v>
      </c>
      <c r="N66" s="329" t="s">
        <v>378</v>
      </c>
    </row>
    <row r="67" spans="1:14" ht="30" customHeight="1">
      <c r="A67" s="333" t="s">
        <v>1293</v>
      </c>
      <c r="B67" s="333" t="s">
        <v>430</v>
      </c>
      <c r="C67" s="333" t="s">
        <v>435</v>
      </c>
      <c r="D67" s="333" t="s">
        <v>321</v>
      </c>
      <c r="E67" s="361">
        <f>신규_일위대가!F465</f>
        <v>8671</v>
      </c>
      <c r="F67" s="361">
        <f>신규_일위대가!H465</f>
        <v>289048</v>
      </c>
      <c r="G67" s="361">
        <f>신규_일위대가!J465</f>
        <v>0</v>
      </c>
      <c r="H67" s="361">
        <f t="shared" si="0"/>
        <v>297719</v>
      </c>
      <c r="I67" s="333" t="s">
        <v>1761</v>
      </c>
      <c r="J67" s="333" t="s">
        <v>378</v>
      </c>
      <c r="K67" s="333" t="s">
        <v>378</v>
      </c>
      <c r="L67" s="333" t="s">
        <v>378</v>
      </c>
      <c r="M67" s="333" t="s">
        <v>1712</v>
      </c>
      <c r="N67" s="329" t="s">
        <v>378</v>
      </c>
    </row>
    <row r="68" spans="1:14" ht="30" customHeight="1">
      <c r="A68" s="333" t="s">
        <v>1299</v>
      </c>
      <c r="B68" s="333" t="s">
        <v>477</v>
      </c>
      <c r="C68" s="333" t="s">
        <v>478</v>
      </c>
      <c r="D68" s="333" t="s">
        <v>255</v>
      </c>
      <c r="E68" s="361">
        <f>신규_일위대가!F473</f>
        <v>516</v>
      </c>
      <c r="F68" s="361">
        <f>신규_일위대가!H473</f>
        <v>9399</v>
      </c>
      <c r="G68" s="361">
        <f>신규_일위대가!J473</f>
        <v>0</v>
      </c>
      <c r="H68" s="361">
        <f t="shared" ref="H68:H99" si="1">E68+F68+G68</f>
        <v>9915</v>
      </c>
      <c r="I68" s="333" t="s">
        <v>1762</v>
      </c>
      <c r="J68" s="333" t="s">
        <v>378</v>
      </c>
      <c r="K68" s="333" t="s">
        <v>378</v>
      </c>
      <c r="L68" s="333" t="s">
        <v>378</v>
      </c>
      <c r="M68" s="333" t="s">
        <v>1674</v>
      </c>
      <c r="N68" s="329" t="s">
        <v>378</v>
      </c>
    </row>
    <row r="69" spans="1:14" ht="30" customHeight="1">
      <c r="A69" s="333" t="s">
        <v>1302</v>
      </c>
      <c r="B69" s="333" t="s">
        <v>448</v>
      </c>
      <c r="C69" s="333" t="s">
        <v>450</v>
      </c>
      <c r="D69" s="333" t="s">
        <v>265</v>
      </c>
      <c r="E69" s="361">
        <f>신규_일위대가!F480</f>
        <v>2477</v>
      </c>
      <c r="F69" s="361">
        <f>신규_일위대가!H480</f>
        <v>46999</v>
      </c>
      <c r="G69" s="361">
        <f>신규_일위대가!J480</f>
        <v>0</v>
      </c>
      <c r="H69" s="361">
        <f t="shared" si="1"/>
        <v>49476</v>
      </c>
      <c r="I69" s="333" t="s">
        <v>1763</v>
      </c>
      <c r="J69" s="333" t="s">
        <v>378</v>
      </c>
      <c r="K69" s="333" t="s">
        <v>378</v>
      </c>
      <c r="L69" s="333" t="s">
        <v>378</v>
      </c>
      <c r="M69" s="333" t="s">
        <v>1764</v>
      </c>
      <c r="N69" s="329" t="s">
        <v>378</v>
      </c>
    </row>
    <row r="70" spans="1:14" ht="30" customHeight="1">
      <c r="A70" s="333" t="s">
        <v>1305</v>
      </c>
      <c r="B70" s="336" t="s">
        <v>1765</v>
      </c>
      <c r="C70" s="336" t="s">
        <v>1766</v>
      </c>
      <c r="D70" s="336" t="s">
        <v>300</v>
      </c>
      <c r="E70" s="362">
        <v>764</v>
      </c>
      <c r="F70" s="362">
        <v>2589</v>
      </c>
      <c r="G70" s="362">
        <f>신규_일위대가!J486</f>
        <v>0</v>
      </c>
      <c r="H70" s="362">
        <f t="shared" si="1"/>
        <v>3353</v>
      </c>
      <c r="I70" s="336" t="s">
        <v>1767</v>
      </c>
      <c r="J70" s="336" t="s">
        <v>378</v>
      </c>
      <c r="K70" s="336" t="s">
        <v>378</v>
      </c>
      <c r="L70" s="336" t="s">
        <v>378</v>
      </c>
      <c r="M70" s="336" t="s">
        <v>1768</v>
      </c>
      <c r="N70" s="329" t="s">
        <v>378</v>
      </c>
    </row>
    <row r="71" spans="1:14" ht="30" customHeight="1">
      <c r="A71" s="333" t="s">
        <v>1309</v>
      </c>
      <c r="B71" s="333" t="s">
        <v>302</v>
      </c>
      <c r="C71" s="333" t="s">
        <v>516</v>
      </c>
      <c r="D71" s="333" t="s">
        <v>300</v>
      </c>
      <c r="E71" s="361">
        <f>신규_일위대가!F493</f>
        <v>3373</v>
      </c>
      <c r="F71" s="361">
        <f>신규_일위대가!H493</f>
        <v>7406</v>
      </c>
      <c r="G71" s="361">
        <f>신규_일위대가!J493</f>
        <v>0</v>
      </c>
      <c r="H71" s="361">
        <f t="shared" si="1"/>
        <v>10779</v>
      </c>
      <c r="I71" s="333" t="s">
        <v>1769</v>
      </c>
      <c r="J71" s="333" t="s">
        <v>378</v>
      </c>
      <c r="K71" s="333" t="s">
        <v>378</v>
      </c>
      <c r="L71" s="333" t="s">
        <v>378</v>
      </c>
      <c r="M71" s="333" t="s">
        <v>1688</v>
      </c>
      <c r="N71" s="329" t="s">
        <v>378</v>
      </c>
    </row>
    <row r="72" spans="1:14" s="340" customFormat="1" ht="30" customHeight="1">
      <c r="A72" s="336" t="s">
        <v>1312</v>
      </c>
      <c r="B72" s="336" t="s">
        <v>517</v>
      </c>
      <c r="C72" s="336" t="s">
        <v>518</v>
      </c>
      <c r="D72" s="336" t="s">
        <v>265</v>
      </c>
      <c r="E72" s="362">
        <v>1759</v>
      </c>
      <c r="F72" s="362">
        <v>20713</v>
      </c>
      <c r="G72" s="362">
        <f>신규_일위대가!J499</f>
        <v>0</v>
      </c>
      <c r="H72" s="362">
        <f t="shared" si="1"/>
        <v>22472</v>
      </c>
      <c r="I72" s="336" t="s">
        <v>1770</v>
      </c>
      <c r="J72" s="336" t="s">
        <v>378</v>
      </c>
      <c r="K72" s="336" t="s">
        <v>378</v>
      </c>
      <c r="L72" s="336" t="s">
        <v>378</v>
      </c>
      <c r="M72" s="336" t="s">
        <v>1771</v>
      </c>
      <c r="N72" s="339" t="s">
        <v>378</v>
      </c>
    </row>
    <row r="73" spans="1:14" s="340" customFormat="1" ht="30" customHeight="1">
      <c r="A73" s="336" t="s">
        <v>1315</v>
      </c>
      <c r="B73" s="336" t="s">
        <v>517</v>
      </c>
      <c r="C73" s="336" t="s">
        <v>519</v>
      </c>
      <c r="D73" s="336" t="s">
        <v>265</v>
      </c>
      <c r="E73" s="362">
        <v>2854</v>
      </c>
      <c r="F73" s="362">
        <v>20713</v>
      </c>
      <c r="G73" s="362">
        <f>신규_일위대가!J505</f>
        <v>0</v>
      </c>
      <c r="H73" s="362">
        <f t="shared" si="1"/>
        <v>23567</v>
      </c>
      <c r="I73" s="336" t="s">
        <v>1772</v>
      </c>
      <c r="J73" s="336" t="s">
        <v>378</v>
      </c>
      <c r="K73" s="336" t="s">
        <v>378</v>
      </c>
      <c r="L73" s="336" t="s">
        <v>378</v>
      </c>
      <c r="M73" s="336" t="s">
        <v>1771</v>
      </c>
      <c r="N73" s="339" t="s">
        <v>378</v>
      </c>
    </row>
    <row r="74" spans="1:14" ht="30" customHeight="1">
      <c r="A74" s="333" t="s">
        <v>1318</v>
      </c>
      <c r="B74" s="333" t="s">
        <v>520</v>
      </c>
      <c r="C74" s="333" t="s">
        <v>521</v>
      </c>
      <c r="D74" s="333" t="s">
        <v>265</v>
      </c>
      <c r="E74" s="361">
        <f>신규_일위대가!F511</f>
        <v>53352</v>
      </c>
      <c r="F74" s="361">
        <f>신규_일위대가!H511</f>
        <v>22324</v>
      </c>
      <c r="G74" s="361">
        <f>신규_일위대가!J511</f>
        <v>0</v>
      </c>
      <c r="H74" s="361">
        <f t="shared" si="1"/>
        <v>75676</v>
      </c>
      <c r="I74" s="333" t="s">
        <v>1773</v>
      </c>
      <c r="J74" s="333" t="s">
        <v>378</v>
      </c>
      <c r="K74" s="333" t="s">
        <v>378</v>
      </c>
      <c r="L74" s="333" t="s">
        <v>378</v>
      </c>
      <c r="M74" s="333" t="s">
        <v>1771</v>
      </c>
      <c r="N74" s="329" t="s">
        <v>378</v>
      </c>
    </row>
    <row r="75" spans="1:14" ht="30" customHeight="1">
      <c r="A75" s="333" t="s">
        <v>1324</v>
      </c>
      <c r="B75" s="336" t="s">
        <v>446</v>
      </c>
      <c r="C75" s="336" t="s">
        <v>479</v>
      </c>
      <c r="D75" s="336" t="s">
        <v>255</v>
      </c>
      <c r="E75" s="362">
        <v>649</v>
      </c>
      <c r="F75" s="362">
        <v>11392</v>
      </c>
      <c r="G75" s="362">
        <f>신규_일위대가!J519</f>
        <v>0</v>
      </c>
      <c r="H75" s="362">
        <f t="shared" si="1"/>
        <v>12041</v>
      </c>
      <c r="I75" s="336" t="s">
        <v>1774</v>
      </c>
      <c r="J75" s="336" t="s">
        <v>378</v>
      </c>
      <c r="K75" s="336" t="s">
        <v>378</v>
      </c>
      <c r="L75" s="336" t="s">
        <v>378</v>
      </c>
      <c r="M75" s="336" t="s">
        <v>1674</v>
      </c>
      <c r="N75" s="329" t="s">
        <v>378</v>
      </c>
    </row>
    <row r="76" spans="1:14" ht="30" customHeight="1">
      <c r="A76" s="333" t="s">
        <v>1329</v>
      </c>
      <c r="B76" s="336" t="s">
        <v>448</v>
      </c>
      <c r="C76" s="336" t="s">
        <v>481</v>
      </c>
      <c r="D76" s="336" t="s">
        <v>265</v>
      </c>
      <c r="E76" s="362">
        <f>신규_일위대가!F526</f>
        <v>1365</v>
      </c>
      <c r="F76" s="362">
        <f>신규_일위대가!H526</f>
        <v>31070</v>
      </c>
      <c r="G76" s="362">
        <f>신규_일위대가!J526</f>
        <v>0</v>
      </c>
      <c r="H76" s="362">
        <f t="shared" si="1"/>
        <v>32435</v>
      </c>
      <c r="I76" s="336" t="s">
        <v>1775</v>
      </c>
      <c r="J76" s="336" t="s">
        <v>378</v>
      </c>
      <c r="K76" s="336" t="s">
        <v>378</v>
      </c>
      <c r="L76" s="336" t="s">
        <v>378</v>
      </c>
      <c r="M76" s="336" t="s">
        <v>1764</v>
      </c>
      <c r="N76" s="329" t="s">
        <v>378</v>
      </c>
    </row>
    <row r="77" spans="1:14" ht="30" customHeight="1">
      <c r="A77" s="333" t="s">
        <v>1332</v>
      </c>
      <c r="B77" s="336" t="s">
        <v>448</v>
      </c>
      <c r="C77" s="336" t="s">
        <v>450</v>
      </c>
      <c r="D77" s="336" t="s">
        <v>265</v>
      </c>
      <c r="E77" s="362">
        <f>신규_일위대가!F533</f>
        <v>1592</v>
      </c>
      <c r="F77" s="362">
        <f>신규_일위대가!H533</f>
        <v>31070</v>
      </c>
      <c r="G77" s="362">
        <f>신규_일위대가!J533</f>
        <v>0</v>
      </c>
      <c r="H77" s="362">
        <f t="shared" si="1"/>
        <v>32662</v>
      </c>
      <c r="I77" s="336" t="s">
        <v>1776</v>
      </c>
      <c r="J77" s="336" t="s">
        <v>378</v>
      </c>
      <c r="K77" s="336" t="s">
        <v>378</v>
      </c>
      <c r="L77" s="336" t="s">
        <v>378</v>
      </c>
      <c r="M77" s="336" t="s">
        <v>1764</v>
      </c>
      <c r="N77" s="329" t="s">
        <v>378</v>
      </c>
    </row>
    <row r="78" spans="1:14" ht="30" customHeight="1">
      <c r="A78" s="333" t="s">
        <v>1335</v>
      </c>
      <c r="B78" s="336" t="s">
        <v>482</v>
      </c>
      <c r="C78" s="336" t="s">
        <v>452</v>
      </c>
      <c r="D78" s="336" t="s">
        <v>265</v>
      </c>
      <c r="E78" s="362">
        <f>신규_일위대가!F540</f>
        <v>1905</v>
      </c>
      <c r="F78" s="362">
        <f>신규_일위대가!H540</f>
        <v>51783</v>
      </c>
      <c r="G78" s="362">
        <f>신규_일위대가!J540</f>
        <v>0</v>
      </c>
      <c r="H78" s="362">
        <f t="shared" si="1"/>
        <v>53688</v>
      </c>
      <c r="I78" s="336" t="s">
        <v>1777</v>
      </c>
      <c r="J78" s="336" t="s">
        <v>378</v>
      </c>
      <c r="K78" s="336" t="s">
        <v>378</v>
      </c>
      <c r="L78" s="336" t="s">
        <v>378</v>
      </c>
      <c r="M78" s="336" t="s">
        <v>1764</v>
      </c>
      <c r="N78" s="329" t="s">
        <v>378</v>
      </c>
    </row>
    <row r="79" spans="1:14" ht="30" customHeight="1">
      <c r="A79" s="333" t="s">
        <v>1338</v>
      </c>
      <c r="B79" s="336" t="s">
        <v>1765</v>
      </c>
      <c r="C79" s="336" t="s">
        <v>1778</v>
      </c>
      <c r="D79" s="336" t="s">
        <v>300</v>
      </c>
      <c r="E79" s="362">
        <v>514</v>
      </c>
      <c r="F79" s="362">
        <v>2589</v>
      </c>
      <c r="G79" s="362">
        <f>신규_일위대가!J546</f>
        <v>0</v>
      </c>
      <c r="H79" s="362">
        <f t="shared" si="1"/>
        <v>3103</v>
      </c>
      <c r="I79" s="336" t="s">
        <v>1779</v>
      </c>
      <c r="J79" s="336" t="s">
        <v>378</v>
      </c>
      <c r="K79" s="336" t="s">
        <v>378</v>
      </c>
      <c r="L79" s="336" t="s">
        <v>378</v>
      </c>
      <c r="M79" s="336" t="s">
        <v>1768</v>
      </c>
      <c r="N79" s="329" t="s">
        <v>378</v>
      </c>
    </row>
    <row r="80" spans="1:14" s="340" customFormat="1" ht="30" customHeight="1">
      <c r="A80" s="336" t="s">
        <v>1341</v>
      </c>
      <c r="B80" s="336" t="s">
        <v>459</v>
      </c>
      <c r="C80" s="336" t="s">
        <v>485</v>
      </c>
      <c r="D80" s="336" t="s">
        <v>265</v>
      </c>
      <c r="E80" s="362">
        <v>2110</v>
      </c>
      <c r="F80" s="362">
        <v>22007</v>
      </c>
      <c r="G80" s="362">
        <f>신규_일위대가!J552</f>
        <v>0</v>
      </c>
      <c r="H80" s="362">
        <f t="shared" si="1"/>
        <v>24117</v>
      </c>
      <c r="I80" s="336" t="s">
        <v>1780</v>
      </c>
      <c r="J80" s="336" t="s">
        <v>378</v>
      </c>
      <c r="K80" s="336" t="s">
        <v>378</v>
      </c>
      <c r="L80" s="336" t="s">
        <v>378</v>
      </c>
      <c r="M80" s="336" t="s">
        <v>1781</v>
      </c>
      <c r="N80" s="339" t="s">
        <v>378</v>
      </c>
    </row>
    <row r="81" spans="1:14" s="340" customFormat="1" ht="30" customHeight="1">
      <c r="A81" s="336" t="s">
        <v>1344</v>
      </c>
      <c r="B81" s="336" t="s">
        <v>459</v>
      </c>
      <c r="C81" s="336" t="s">
        <v>486</v>
      </c>
      <c r="D81" s="336" t="s">
        <v>265</v>
      </c>
      <c r="E81" s="362">
        <v>2920</v>
      </c>
      <c r="F81" s="362">
        <v>22007</v>
      </c>
      <c r="G81" s="362">
        <f>신규_일위대가!J558</f>
        <v>0</v>
      </c>
      <c r="H81" s="362">
        <f t="shared" si="1"/>
        <v>24927</v>
      </c>
      <c r="I81" s="336" t="s">
        <v>1782</v>
      </c>
      <c r="J81" s="336" t="s">
        <v>378</v>
      </c>
      <c r="K81" s="336" t="s">
        <v>378</v>
      </c>
      <c r="L81" s="336" t="s">
        <v>378</v>
      </c>
      <c r="M81" s="336" t="s">
        <v>1781</v>
      </c>
      <c r="N81" s="339" t="s">
        <v>378</v>
      </c>
    </row>
    <row r="82" spans="1:14" s="340" customFormat="1" ht="30" customHeight="1">
      <c r="A82" s="336" t="s">
        <v>1347</v>
      </c>
      <c r="B82" s="336" t="s">
        <v>459</v>
      </c>
      <c r="C82" s="336" t="s">
        <v>487</v>
      </c>
      <c r="D82" s="336" t="s">
        <v>265</v>
      </c>
      <c r="E82" s="362">
        <v>3640</v>
      </c>
      <c r="F82" s="362">
        <v>22007</v>
      </c>
      <c r="G82" s="362">
        <f>신규_일위대가!J564</f>
        <v>0</v>
      </c>
      <c r="H82" s="362">
        <f t="shared" si="1"/>
        <v>25647</v>
      </c>
      <c r="I82" s="336" t="s">
        <v>1783</v>
      </c>
      <c r="J82" s="336" t="s">
        <v>378</v>
      </c>
      <c r="K82" s="336" t="s">
        <v>378</v>
      </c>
      <c r="L82" s="336" t="s">
        <v>378</v>
      </c>
      <c r="M82" s="336" t="s">
        <v>1781</v>
      </c>
      <c r="N82" s="339" t="s">
        <v>378</v>
      </c>
    </row>
    <row r="83" spans="1:14" ht="30" customHeight="1">
      <c r="A83" s="333" t="s">
        <v>1350</v>
      </c>
      <c r="B83" s="333" t="s">
        <v>459</v>
      </c>
      <c r="C83" s="333" t="s">
        <v>488</v>
      </c>
      <c r="D83" s="333" t="s">
        <v>265</v>
      </c>
      <c r="E83" s="361">
        <f>신규_일위대가!F570</f>
        <v>5833</v>
      </c>
      <c r="F83" s="361">
        <f>신규_일위대가!H570</f>
        <v>19974</v>
      </c>
      <c r="G83" s="361">
        <f>신규_일위대가!J570</f>
        <v>0</v>
      </c>
      <c r="H83" s="361">
        <f t="shared" si="1"/>
        <v>25807</v>
      </c>
      <c r="I83" s="333" t="s">
        <v>1784</v>
      </c>
      <c r="J83" s="333" t="s">
        <v>378</v>
      </c>
      <c r="K83" s="333" t="s">
        <v>378</v>
      </c>
      <c r="L83" s="333" t="s">
        <v>378</v>
      </c>
      <c r="M83" s="333" t="s">
        <v>1781</v>
      </c>
      <c r="N83" s="329" t="s">
        <v>378</v>
      </c>
    </row>
    <row r="84" spans="1:14" ht="30" customHeight="1">
      <c r="A84" s="333" t="s">
        <v>1353</v>
      </c>
      <c r="B84" s="333" t="s">
        <v>489</v>
      </c>
      <c r="C84" s="333" t="s">
        <v>490</v>
      </c>
      <c r="D84" s="333" t="s">
        <v>265</v>
      </c>
      <c r="E84" s="361">
        <f>신규_일위대가!F576</f>
        <v>9636</v>
      </c>
      <c r="F84" s="361">
        <f>신규_일위대가!H576</f>
        <v>26084</v>
      </c>
      <c r="G84" s="361">
        <f>신규_일위대가!J576</f>
        <v>0</v>
      </c>
      <c r="H84" s="361">
        <f t="shared" si="1"/>
        <v>35720</v>
      </c>
      <c r="I84" s="333" t="s">
        <v>1785</v>
      </c>
      <c r="J84" s="333" t="s">
        <v>378</v>
      </c>
      <c r="K84" s="333" t="s">
        <v>378</v>
      </c>
      <c r="L84" s="333" t="s">
        <v>378</v>
      </c>
      <c r="M84" s="333" t="s">
        <v>1732</v>
      </c>
      <c r="N84" s="329" t="s">
        <v>378</v>
      </c>
    </row>
    <row r="85" spans="1:14" ht="30" customHeight="1">
      <c r="A85" s="333" t="s">
        <v>1360</v>
      </c>
      <c r="B85" s="333" t="s">
        <v>493</v>
      </c>
      <c r="C85" s="333" t="s">
        <v>494</v>
      </c>
      <c r="D85" s="333" t="s">
        <v>265</v>
      </c>
      <c r="E85" s="361">
        <f>신규_일위대가!F582</f>
        <v>972</v>
      </c>
      <c r="F85" s="361">
        <f>신규_일위대가!H582</f>
        <v>32429</v>
      </c>
      <c r="G85" s="361">
        <f>신규_일위대가!J582</f>
        <v>0</v>
      </c>
      <c r="H85" s="361">
        <f t="shared" si="1"/>
        <v>33401</v>
      </c>
      <c r="I85" s="333" t="s">
        <v>1786</v>
      </c>
      <c r="J85" s="333" t="s">
        <v>378</v>
      </c>
      <c r="K85" s="333" t="s">
        <v>378</v>
      </c>
      <c r="L85" s="333" t="s">
        <v>378</v>
      </c>
      <c r="M85" s="333" t="s">
        <v>1732</v>
      </c>
      <c r="N85" s="329" t="s">
        <v>378</v>
      </c>
    </row>
    <row r="86" spans="1:14" ht="30" customHeight="1">
      <c r="A86" s="333" t="s">
        <v>1363</v>
      </c>
      <c r="B86" s="333" t="s">
        <v>495</v>
      </c>
      <c r="C86" s="333" t="s">
        <v>496</v>
      </c>
      <c r="D86" s="333" t="s">
        <v>265</v>
      </c>
      <c r="E86" s="361">
        <f>신규_일위대가!F588</f>
        <v>1755</v>
      </c>
      <c r="F86" s="361">
        <f>신규_일위대가!H588</f>
        <v>58514</v>
      </c>
      <c r="G86" s="361">
        <f>신규_일위대가!J588</f>
        <v>0</v>
      </c>
      <c r="H86" s="361">
        <f t="shared" si="1"/>
        <v>60269</v>
      </c>
      <c r="I86" s="333" t="s">
        <v>1787</v>
      </c>
      <c r="J86" s="333" t="s">
        <v>378</v>
      </c>
      <c r="K86" s="333" t="s">
        <v>378</v>
      </c>
      <c r="L86" s="333" t="s">
        <v>378</v>
      </c>
      <c r="M86" s="333" t="s">
        <v>1732</v>
      </c>
      <c r="N86" s="329" t="s">
        <v>378</v>
      </c>
    </row>
    <row r="87" spans="1:14" ht="30" customHeight="1">
      <c r="A87" s="333" t="s">
        <v>1366</v>
      </c>
      <c r="B87" s="333" t="s">
        <v>497</v>
      </c>
      <c r="C87" s="333" t="s">
        <v>498</v>
      </c>
      <c r="D87" s="333" t="s">
        <v>265</v>
      </c>
      <c r="E87" s="361">
        <f>신규_일위대가!F594</f>
        <v>1113</v>
      </c>
      <c r="F87" s="361">
        <f>신규_일위대가!H594</f>
        <v>37129</v>
      </c>
      <c r="G87" s="361">
        <f>신규_일위대가!J594</f>
        <v>0</v>
      </c>
      <c r="H87" s="361">
        <f t="shared" si="1"/>
        <v>38242</v>
      </c>
      <c r="I87" s="333" t="s">
        <v>1788</v>
      </c>
      <c r="J87" s="333" t="s">
        <v>378</v>
      </c>
      <c r="K87" s="333" t="s">
        <v>378</v>
      </c>
      <c r="L87" s="333" t="s">
        <v>378</v>
      </c>
      <c r="M87" s="333" t="s">
        <v>1732</v>
      </c>
      <c r="N87" s="329" t="s">
        <v>378</v>
      </c>
    </row>
    <row r="88" spans="1:14" s="340" customFormat="1" ht="30" customHeight="1">
      <c r="A88" s="336" t="s">
        <v>1369</v>
      </c>
      <c r="B88" s="336" t="s">
        <v>499</v>
      </c>
      <c r="C88" s="336" t="s">
        <v>500</v>
      </c>
      <c r="D88" s="336" t="s">
        <v>265</v>
      </c>
      <c r="E88" s="362">
        <v>1029</v>
      </c>
      <c r="F88" s="362">
        <v>51498</v>
      </c>
      <c r="G88" s="362">
        <f>신규_일위대가!J600</f>
        <v>0</v>
      </c>
      <c r="H88" s="362">
        <f t="shared" si="1"/>
        <v>52527</v>
      </c>
      <c r="I88" s="336" t="s">
        <v>1789</v>
      </c>
      <c r="J88" s="336" t="s">
        <v>378</v>
      </c>
      <c r="K88" s="336" t="s">
        <v>378</v>
      </c>
      <c r="L88" s="336" t="s">
        <v>378</v>
      </c>
      <c r="M88" s="336" t="s">
        <v>1732</v>
      </c>
      <c r="N88" s="339" t="s">
        <v>378</v>
      </c>
    </row>
    <row r="89" spans="1:14" ht="30" customHeight="1">
      <c r="A89" s="333" t="s">
        <v>1372</v>
      </c>
      <c r="B89" s="333" t="s">
        <v>501</v>
      </c>
      <c r="C89" s="333" t="s">
        <v>502</v>
      </c>
      <c r="D89" s="333" t="s">
        <v>265</v>
      </c>
      <c r="E89" s="361">
        <f>신규_일위대가!F606</f>
        <v>972</v>
      </c>
      <c r="F89" s="361">
        <f>신규_일위대가!H606</f>
        <v>32429</v>
      </c>
      <c r="G89" s="361">
        <f>신규_일위대가!J606</f>
        <v>0</v>
      </c>
      <c r="H89" s="361">
        <f t="shared" si="1"/>
        <v>33401</v>
      </c>
      <c r="I89" s="333" t="s">
        <v>1790</v>
      </c>
      <c r="J89" s="333" t="s">
        <v>378</v>
      </c>
      <c r="K89" s="333" t="s">
        <v>378</v>
      </c>
      <c r="L89" s="333" t="s">
        <v>378</v>
      </c>
      <c r="M89" s="333" t="s">
        <v>1732</v>
      </c>
      <c r="N89" s="329" t="s">
        <v>378</v>
      </c>
    </row>
    <row r="90" spans="1:14" ht="30" customHeight="1">
      <c r="A90" s="333" t="s">
        <v>1375</v>
      </c>
      <c r="B90" s="333" t="s">
        <v>503</v>
      </c>
      <c r="C90" s="333" t="s">
        <v>504</v>
      </c>
      <c r="D90" s="333" t="s">
        <v>265</v>
      </c>
      <c r="E90" s="361">
        <f>신규_일위대가!F612</f>
        <v>824</v>
      </c>
      <c r="F90" s="361">
        <f>신규_일위대가!H612</f>
        <v>27494</v>
      </c>
      <c r="G90" s="361">
        <f>신규_일위대가!J612</f>
        <v>0</v>
      </c>
      <c r="H90" s="361">
        <f t="shared" si="1"/>
        <v>28318</v>
      </c>
      <c r="I90" s="333" t="s">
        <v>1791</v>
      </c>
      <c r="J90" s="333" t="s">
        <v>378</v>
      </c>
      <c r="K90" s="333" t="s">
        <v>378</v>
      </c>
      <c r="L90" s="333" t="s">
        <v>378</v>
      </c>
      <c r="M90" s="333" t="s">
        <v>1732</v>
      </c>
      <c r="N90" s="329" t="s">
        <v>378</v>
      </c>
    </row>
    <row r="91" spans="1:14" ht="30" customHeight="1">
      <c r="A91" s="333" t="s">
        <v>1378</v>
      </c>
      <c r="B91" s="333" t="s">
        <v>505</v>
      </c>
      <c r="C91" s="333" t="s">
        <v>506</v>
      </c>
      <c r="D91" s="333" t="s">
        <v>265</v>
      </c>
      <c r="E91" s="361">
        <f>신규_일위대가!F618</f>
        <v>1092</v>
      </c>
      <c r="F91" s="361">
        <f>신규_일위대가!H618</f>
        <v>36424</v>
      </c>
      <c r="G91" s="361">
        <f>신규_일위대가!J618</f>
        <v>0</v>
      </c>
      <c r="H91" s="361">
        <f t="shared" si="1"/>
        <v>37516</v>
      </c>
      <c r="I91" s="333" t="s">
        <v>1792</v>
      </c>
      <c r="J91" s="333" t="s">
        <v>378</v>
      </c>
      <c r="K91" s="333" t="s">
        <v>378</v>
      </c>
      <c r="L91" s="333" t="s">
        <v>378</v>
      </c>
      <c r="M91" s="333" t="s">
        <v>1732</v>
      </c>
      <c r="N91" s="329" t="s">
        <v>378</v>
      </c>
    </row>
    <row r="92" spans="1:14" ht="30" customHeight="1">
      <c r="A92" s="333" t="s">
        <v>1381</v>
      </c>
      <c r="B92" s="333" t="s">
        <v>507</v>
      </c>
      <c r="C92" s="333" t="s">
        <v>508</v>
      </c>
      <c r="D92" s="333" t="s">
        <v>265</v>
      </c>
      <c r="E92" s="361">
        <f>신규_일위대가!F624</f>
        <v>824</v>
      </c>
      <c r="F92" s="361">
        <f>신규_일위대가!H624</f>
        <v>27494</v>
      </c>
      <c r="G92" s="361">
        <f>신규_일위대가!J624</f>
        <v>0</v>
      </c>
      <c r="H92" s="361">
        <f t="shared" si="1"/>
        <v>28318</v>
      </c>
      <c r="I92" s="333" t="s">
        <v>1793</v>
      </c>
      <c r="J92" s="333" t="s">
        <v>378</v>
      </c>
      <c r="K92" s="333" t="s">
        <v>378</v>
      </c>
      <c r="L92" s="333" t="s">
        <v>378</v>
      </c>
      <c r="M92" s="333" t="s">
        <v>1732</v>
      </c>
      <c r="N92" s="329" t="s">
        <v>378</v>
      </c>
    </row>
    <row r="93" spans="1:14" ht="30" customHeight="1">
      <c r="A93" s="333" t="s">
        <v>1384</v>
      </c>
      <c r="B93" s="333" t="s">
        <v>509</v>
      </c>
      <c r="C93" s="333" t="s">
        <v>510</v>
      </c>
      <c r="D93" s="333" t="s">
        <v>265</v>
      </c>
      <c r="E93" s="361">
        <f>신규_일위대가!F630</f>
        <v>824</v>
      </c>
      <c r="F93" s="361">
        <f>신규_일위대가!H630</f>
        <v>27494</v>
      </c>
      <c r="G93" s="361">
        <f>신규_일위대가!J630</f>
        <v>0</v>
      </c>
      <c r="H93" s="361">
        <f t="shared" si="1"/>
        <v>28318</v>
      </c>
      <c r="I93" s="333" t="s">
        <v>1794</v>
      </c>
      <c r="J93" s="333" t="s">
        <v>378</v>
      </c>
      <c r="K93" s="333" t="s">
        <v>378</v>
      </c>
      <c r="L93" s="333" t="s">
        <v>378</v>
      </c>
      <c r="M93" s="333" t="s">
        <v>1732</v>
      </c>
      <c r="N93" s="329" t="s">
        <v>378</v>
      </c>
    </row>
    <row r="94" spans="1:14" ht="30" customHeight="1">
      <c r="A94" s="333" t="s">
        <v>1391</v>
      </c>
      <c r="B94" s="333" t="s">
        <v>446</v>
      </c>
      <c r="C94" s="333" t="s">
        <v>527</v>
      </c>
      <c r="D94" s="333" t="s">
        <v>255</v>
      </c>
      <c r="E94" s="361">
        <f>신규_일위대가!F638</f>
        <v>13537</v>
      </c>
      <c r="F94" s="361">
        <f>신규_일위대가!H638</f>
        <v>38304</v>
      </c>
      <c r="G94" s="361">
        <f>신규_일위대가!J638</f>
        <v>0</v>
      </c>
      <c r="H94" s="361">
        <f t="shared" si="1"/>
        <v>51841</v>
      </c>
      <c r="I94" s="333" t="s">
        <v>1795</v>
      </c>
      <c r="J94" s="333" t="s">
        <v>378</v>
      </c>
      <c r="K94" s="333" t="s">
        <v>378</v>
      </c>
      <c r="L94" s="333" t="s">
        <v>378</v>
      </c>
      <c r="M94" s="333" t="s">
        <v>1674</v>
      </c>
      <c r="N94" s="329" t="s">
        <v>378</v>
      </c>
    </row>
    <row r="95" spans="1:14" ht="30" customHeight="1">
      <c r="A95" s="333" t="s">
        <v>1394</v>
      </c>
      <c r="B95" s="336" t="s">
        <v>446</v>
      </c>
      <c r="C95" s="336" t="s">
        <v>528</v>
      </c>
      <c r="D95" s="336" t="s">
        <v>255</v>
      </c>
      <c r="E95" s="362">
        <f>신규_일위대가!F646</f>
        <v>1879</v>
      </c>
      <c r="F95" s="362">
        <f>신규_일위대가!H646</f>
        <v>22525</v>
      </c>
      <c r="G95" s="362">
        <f>신규_일위대가!J646</f>
        <v>0</v>
      </c>
      <c r="H95" s="362">
        <f t="shared" si="1"/>
        <v>24404</v>
      </c>
      <c r="I95" s="336" t="s">
        <v>1796</v>
      </c>
      <c r="J95" s="336" t="s">
        <v>378</v>
      </c>
      <c r="K95" s="336" t="s">
        <v>378</v>
      </c>
      <c r="L95" s="336" t="s">
        <v>378</v>
      </c>
      <c r="M95" s="336" t="s">
        <v>1674</v>
      </c>
      <c r="N95" s="329" t="s">
        <v>378</v>
      </c>
    </row>
    <row r="96" spans="1:14" ht="30" customHeight="1">
      <c r="A96" s="333" t="s">
        <v>1404</v>
      </c>
      <c r="B96" s="333" t="s">
        <v>483</v>
      </c>
      <c r="C96" s="333" t="s">
        <v>531</v>
      </c>
      <c r="D96" s="333" t="s">
        <v>300</v>
      </c>
      <c r="E96" s="361">
        <f>신규_일위대가!F652</f>
        <v>751</v>
      </c>
      <c r="F96" s="361">
        <f>신규_일위대가!H652</f>
        <v>2349</v>
      </c>
      <c r="G96" s="361">
        <f>신규_일위대가!J652</f>
        <v>0</v>
      </c>
      <c r="H96" s="361">
        <f t="shared" si="1"/>
        <v>3100</v>
      </c>
      <c r="I96" s="333" t="s">
        <v>1797</v>
      </c>
      <c r="J96" s="333" t="s">
        <v>378</v>
      </c>
      <c r="K96" s="333" t="s">
        <v>378</v>
      </c>
      <c r="L96" s="333" t="s">
        <v>378</v>
      </c>
      <c r="M96" s="333" t="s">
        <v>1768</v>
      </c>
      <c r="N96" s="329" t="s">
        <v>378</v>
      </c>
    </row>
    <row r="97" spans="1:14" s="340" customFormat="1" ht="30" customHeight="1">
      <c r="A97" s="336" t="s">
        <v>1408</v>
      </c>
      <c r="B97" s="336" t="s">
        <v>298</v>
      </c>
      <c r="C97" s="336" t="s">
        <v>362</v>
      </c>
      <c r="D97" s="336" t="s">
        <v>300</v>
      </c>
      <c r="E97" s="362">
        <v>1976</v>
      </c>
      <c r="F97" s="362">
        <v>1812</v>
      </c>
      <c r="G97" s="362">
        <f>신규_일위대가!J659</f>
        <v>0</v>
      </c>
      <c r="H97" s="362">
        <f t="shared" si="1"/>
        <v>3788</v>
      </c>
      <c r="I97" s="336" t="s">
        <v>1798</v>
      </c>
      <c r="J97" s="336" t="s">
        <v>378</v>
      </c>
      <c r="K97" s="336" t="s">
        <v>378</v>
      </c>
      <c r="L97" s="336" t="s">
        <v>378</v>
      </c>
      <c r="M97" s="336" t="s">
        <v>1678</v>
      </c>
      <c r="N97" s="339" t="s">
        <v>378</v>
      </c>
    </row>
    <row r="98" spans="1:14" ht="30" customHeight="1">
      <c r="A98" s="333" t="s">
        <v>1799</v>
      </c>
      <c r="B98" s="333" t="s">
        <v>1800</v>
      </c>
      <c r="C98" s="333" t="s">
        <v>1801</v>
      </c>
      <c r="D98" s="333" t="s">
        <v>343</v>
      </c>
      <c r="E98" s="361">
        <f>신규_일위대가!F663</f>
        <v>411</v>
      </c>
      <c r="F98" s="361">
        <f>신규_일위대가!H663</f>
        <v>1034</v>
      </c>
      <c r="G98" s="361">
        <f>신규_일위대가!J663</f>
        <v>77</v>
      </c>
      <c r="H98" s="361">
        <f t="shared" si="1"/>
        <v>1522</v>
      </c>
      <c r="I98" s="333" t="s">
        <v>1802</v>
      </c>
      <c r="J98" s="333" t="s">
        <v>378</v>
      </c>
      <c r="K98" s="333" t="s">
        <v>378</v>
      </c>
      <c r="L98" s="333" t="s">
        <v>378</v>
      </c>
      <c r="M98" s="333" t="s">
        <v>1803</v>
      </c>
      <c r="N98" s="329" t="s">
        <v>378</v>
      </c>
    </row>
    <row r="99" spans="1:14" ht="30" customHeight="1">
      <c r="A99" s="333" t="s">
        <v>1804</v>
      </c>
      <c r="B99" s="333" t="s">
        <v>341</v>
      </c>
      <c r="C99" s="333" t="s">
        <v>1805</v>
      </c>
      <c r="D99" s="333" t="s">
        <v>343</v>
      </c>
      <c r="E99" s="361">
        <f>신규_일위대가!F667</f>
        <v>476</v>
      </c>
      <c r="F99" s="361">
        <f>신규_일위대가!H667</f>
        <v>5689</v>
      </c>
      <c r="G99" s="361">
        <f>신규_일위대가!J667</f>
        <v>74</v>
      </c>
      <c r="H99" s="361">
        <f t="shared" si="1"/>
        <v>6239</v>
      </c>
      <c r="I99" s="333" t="s">
        <v>1806</v>
      </c>
      <c r="J99" s="333" t="s">
        <v>378</v>
      </c>
      <c r="K99" s="333" t="s">
        <v>378</v>
      </c>
      <c r="L99" s="333" t="s">
        <v>378</v>
      </c>
      <c r="M99" s="333" t="s">
        <v>1807</v>
      </c>
      <c r="N99" s="329" t="s">
        <v>378</v>
      </c>
    </row>
    <row r="100" spans="1:14" ht="30" customHeight="1">
      <c r="A100" s="333" t="s">
        <v>1808</v>
      </c>
      <c r="B100" s="333" t="s">
        <v>1809</v>
      </c>
      <c r="C100" s="333" t="s">
        <v>1810</v>
      </c>
      <c r="D100" s="333" t="s">
        <v>1811</v>
      </c>
      <c r="E100" s="361">
        <f>신규_일위대가!F674</f>
        <v>19393</v>
      </c>
      <c r="F100" s="361">
        <f>신규_일위대가!H674</f>
        <v>49416</v>
      </c>
      <c r="G100" s="361">
        <f>신규_일위대가!J674</f>
        <v>4618</v>
      </c>
      <c r="H100" s="361">
        <f>E100+F100+G100</f>
        <v>73427</v>
      </c>
      <c r="I100" s="333" t="s">
        <v>1812</v>
      </c>
      <c r="J100" s="333" t="s">
        <v>378</v>
      </c>
      <c r="K100" s="333" t="s">
        <v>1813</v>
      </c>
      <c r="L100" s="333" t="s">
        <v>378</v>
      </c>
      <c r="M100" s="333" t="s">
        <v>1814</v>
      </c>
      <c r="N100" s="329" t="s">
        <v>1104</v>
      </c>
    </row>
    <row r="101" spans="1:14" ht="30" customHeight="1">
      <c r="A101" s="333" t="s">
        <v>1815</v>
      </c>
      <c r="B101" s="333" t="s">
        <v>1816</v>
      </c>
      <c r="C101" s="333" t="s">
        <v>1817</v>
      </c>
      <c r="D101" s="333" t="s">
        <v>1811</v>
      </c>
      <c r="E101" s="361">
        <f>신규_일위대가!F681</f>
        <v>21476</v>
      </c>
      <c r="F101" s="361">
        <f>신규_일위대가!H681</f>
        <v>55192</v>
      </c>
      <c r="G101" s="361">
        <f>신규_일위대가!J681</f>
        <v>4064</v>
      </c>
      <c r="H101" s="361">
        <f>E101+F101+G101</f>
        <v>80732</v>
      </c>
      <c r="I101" s="333" t="s">
        <v>1818</v>
      </c>
      <c r="J101" s="333" t="s">
        <v>378</v>
      </c>
      <c r="K101" s="333" t="s">
        <v>1813</v>
      </c>
      <c r="L101" s="333" t="s">
        <v>378</v>
      </c>
      <c r="M101" s="333" t="s">
        <v>1819</v>
      </c>
      <c r="N101" s="329" t="s">
        <v>1104</v>
      </c>
    </row>
    <row r="102" spans="1:14" ht="30" customHeight="1">
      <c r="A102" s="333" t="s">
        <v>1820</v>
      </c>
      <c r="B102" s="333" t="s">
        <v>1821</v>
      </c>
      <c r="C102" s="333" t="s">
        <v>1822</v>
      </c>
      <c r="D102" s="333" t="s">
        <v>1811</v>
      </c>
      <c r="E102" s="361">
        <f>신규_일위대가!F688</f>
        <v>1434</v>
      </c>
      <c r="F102" s="361">
        <f>신규_일위대가!H688</f>
        <v>39766</v>
      </c>
      <c r="G102" s="361">
        <f>신규_일위대가!J688</f>
        <v>154</v>
      </c>
      <c r="H102" s="361">
        <f>E102+F102+G102</f>
        <v>41354</v>
      </c>
      <c r="I102" s="333" t="s">
        <v>1823</v>
      </c>
      <c r="J102" s="333" t="s">
        <v>378</v>
      </c>
      <c r="K102" s="333" t="s">
        <v>1813</v>
      </c>
      <c r="L102" s="333" t="s">
        <v>378</v>
      </c>
      <c r="M102" s="333" t="s">
        <v>1824</v>
      </c>
      <c r="N102" s="329" t="s">
        <v>1104</v>
      </c>
    </row>
    <row r="103" spans="1:14" ht="30" customHeight="1">
      <c r="A103" s="333" t="s">
        <v>1825</v>
      </c>
      <c r="B103" s="333" t="s">
        <v>1826</v>
      </c>
      <c r="C103" s="333" t="s">
        <v>1827</v>
      </c>
      <c r="D103" s="333" t="s">
        <v>343</v>
      </c>
      <c r="E103" s="361">
        <f>신규_일위대가!F692</f>
        <v>0</v>
      </c>
      <c r="F103" s="361">
        <f>신규_일위대가!H692</f>
        <v>27814</v>
      </c>
      <c r="G103" s="361">
        <f>신규_일위대가!J692</f>
        <v>0</v>
      </c>
      <c r="H103" s="361">
        <f>E103+F103+G103</f>
        <v>27814</v>
      </c>
      <c r="I103" s="333" t="s">
        <v>1828</v>
      </c>
      <c r="J103" s="333" t="s">
        <v>378</v>
      </c>
      <c r="K103" s="333" t="s">
        <v>378</v>
      </c>
      <c r="L103" s="333" t="s">
        <v>378</v>
      </c>
      <c r="M103" s="333" t="s">
        <v>1829</v>
      </c>
      <c r="N103" s="329" t="s">
        <v>378</v>
      </c>
    </row>
    <row r="227" spans="2:2">
      <c r="B227" s="363"/>
    </row>
  </sheetData>
  <mergeCells count="2">
    <mergeCell ref="A1:M1"/>
    <mergeCell ref="A2:M2"/>
  </mergeCells>
  <phoneticPr fontId="1" type="noConversion"/>
  <pageMargins left="0.78740157480314954" right="0" top="0.39370078740157477" bottom="0.39370078740157477" header="0" footer="0"/>
  <pageSetup paperSize="9" scale="77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7C0C-3006-41E2-9A4B-48621AF2C0BB}">
  <dimension ref="A1:AE705"/>
  <sheetViews>
    <sheetView showZeros="0" view="pageBreakPreview" topLeftCell="D1" zoomScaleNormal="100" zoomScaleSheetLayoutView="100" workbookViewId="0">
      <selection sqref="A1:N1"/>
    </sheetView>
  </sheetViews>
  <sheetFormatPr defaultRowHeight="13.5"/>
  <cols>
    <col min="1" max="1" width="13" style="344" hidden="1" customWidth="1"/>
    <col min="2" max="2" width="12.125" style="344" hidden="1" customWidth="1"/>
    <col min="3" max="3" width="12.5" style="365" hidden="1" customWidth="1"/>
    <col min="4" max="4" width="27.375" style="344" customWidth="1"/>
    <col min="5" max="5" width="28.5" style="344" customWidth="1"/>
    <col min="6" max="6" width="4.75" style="366" customWidth="1"/>
    <col min="7" max="7" width="9.375" style="347" customWidth="1"/>
    <col min="8" max="8" width="13.375" style="347" customWidth="1"/>
    <col min="9" max="9" width="14" style="347" customWidth="1"/>
    <col min="10" max="10" width="7.5" style="347" customWidth="1"/>
    <col min="11" max="12" width="12.875" style="347" customWidth="1"/>
    <col min="13" max="13" width="7.125" style="347" customWidth="1"/>
    <col min="14" max="14" width="9.625" style="347" customWidth="1"/>
    <col min="15" max="15" width="10.25" style="347" hidden="1" customWidth="1"/>
    <col min="16" max="16" width="12.375" style="347" customWidth="1"/>
    <col min="17" max="17" width="13" style="344" customWidth="1"/>
    <col min="18" max="16384" width="9" style="347"/>
  </cols>
  <sheetData>
    <row r="1" spans="1:31" ht="23.25" customHeight="1">
      <c r="A1" s="364"/>
      <c r="B1" s="344" t="s">
        <v>1830</v>
      </c>
      <c r="D1" s="716" t="s">
        <v>1831</v>
      </c>
      <c r="E1" s="709"/>
      <c r="F1" s="709"/>
      <c r="G1" s="709"/>
      <c r="H1" s="709"/>
      <c r="I1" s="709"/>
      <c r="J1" s="709"/>
      <c r="K1" s="709"/>
      <c r="L1" s="709"/>
      <c r="M1" s="709"/>
      <c r="N1" s="709"/>
      <c r="W1" s="717" t="s">
        <v>568</v>
      </c>
      <c r="X1" s="717"/>
      <c r="Y1" s="717"/>
      <c r="Z1" s="366"/>
      <c r="AA1" s="366" t="s">
        <v>569</v>
      </c>
      <c r="AB1" s="366"/>
      <c r="AC1" s="366"/>
      <c r="AD1" s="366"/>
      <c r="AE1" s="366"/>
    </row>
    <row r="2" spans="1:31" s="352" customFormat="1" ht="23.25" customHeight="1">
      <c r="A2" s="710" t="s">
        <v>194</v>
      </c>
      <c r="B2" s="710" t="s">
        <v>1832</v>
      </c>
      <c r="C2" s="710" t="s">
        <v>570</v>
      </c>
      <c r="D2" s="707" t="s">
        <v>571</v>
      </c>
      <c r="E2" s="707" t="s">
        <v>572</v>
      </c>
      <c r="F2" s="711" t="s">
        <v>199</v>
      </c>
      <c r="G2" s="711" t="s">
        <v>200</v>
      </c>
      <c r="H2" s="711" t="s">
        <v>201</v>
      </c>
      <c r="I2" s="711"/>
      <c r="J2" s="711" t="s">
        <v>202</v>
      </c>
      <c r="K2" s="711"/>
      <c r="L2" s="711"/>
      <c r="M2" s="711" t="s">
        <v>203</v>
      </c>
      <c r="N2" s="711"/>
      <c r="O2" s="350"/>
      <c r="P2" s="711" t="s">
        <v>204</v>
      </c>
      <c r="Q2" s="707" t="s">
        <v>576</v>
      </c>
      <c r="W2" s="352" t="s">
        <v>577</v>
      </c>
      <c r="X2" s="352" t="s">
        <v>578</v>
      </c>
      <c r="Y2" s="352" t="s">
        <v>579</v>
      </c>
      <c r="Z2" s="352" t="s">
        <v>580</v>
      </c>
      <c r="AA2" s="367" t="s">
        <v>581</v>
      </c>
      <c r="AB2" s="367" t="s">
        <v>582</v>
      </c>
      <c r="AC2" s="367" t="s">
        <v>583</v>
      </c>
      <c r="AD2" s="367" t="s">
        <v>584</v>
      </c>
      <c r="AE2" s="367" t="s">
        <v>577</v>
      </c>
    </row>
    <row r="3" spans="1:31" s="352" customFormat="1" ht="23.25" customHeight="1">
      <c r="A3" s="710"/>
      <c r="B3" s="710"/>
      <c r="C3" s="710"/>
      <c r="D3" s="707"/>
      <c r="E3" s="707"/>
      <c r="F3" s="711"/>
      <c r="G3" s="711"/>
      <c r="H3" s="350" t="s">
        <v>206</v>
      </c>
      <c r="I3" s="350" t="s">
        <v>207</v>
      </c>
      <c r="J3" s="350" t="s">
        <v>200</v>
      </c>
      <c r="K3" s="350" t="s">
        <v>206</v>
      </c>
      <c r="L3" s="350" t="s">
        <v>207</v>
      </c>
      <c r="M3" s="350" t="s">
        <v>206</v>
      </c>
      <c r="N3" s="350" t="s">
        <v>207</v>
      </c>
      <c r="O3" s="350" t="s">
        <v>206</v>
      </c>
      <c r="P3" s="711"/>
      <c r="Q3" s="707"/>
      <c r="W3" s="347"/>
      <c r="X3" s="347"/>
      <c r="Y3" s="347"/>
      <c r="Z3" s="347"/>
      <c r="AA3" s="346"/>
      <c r="AB3" s="346"/>
      <c r="AC3" s="346"/>
      <c r="AD3" s="346">
        <v>1</v>
      </c>
      <c r="AE3" s="346">
        <v>1</v>
      </c>
    </row>
    <row r="4" spans="1:31" ht="23.25" customHeight="1">
      <c r="A4" s="344" t="s">
        <v>852</v>
      </c>
      <c r="B4" s="344" t="s">
        <v>1833</v>
      </c>
      <c r="C4" s="365" t="s">
        <v>1834</v>
      </c>
      <c r="D4" s="714" t="s">
        <v>1835</v>
      </c>
      <c r="E4" s="715"/>
      <c r="F4" s="355"/>
      <c r="G4" s="368"/>
      <c r="H4" s="368"/>
      <c r="I4" s="369"/>
      <c r="J4" s="368"/>
      <c r="K4" s="368"/>
      <c r="L4" s="369"/>
      <c r="M4" s="368"/>
      <c r="N4" s="369"/>
      <c r="O4" s="368"/>
      <c r="P4" s="368"/>
      <c r="Q4" s="354"/>
    </row>
    <row r="5" spans="1:31" ht="23.25" customHeight="1">
      <c r="A5" s="344" t="s">
        <v>1836</v>
      </c>
      <c r="B5" s="344" t="s">
        <v>1489</v>
      </c>
      <c r="C5" s="365" t="s">
        <v>1836</v>
      </c>
      <c r="D5" s="354" t="s">
        <v>399</v>
      </c>
      <c r="E5" s="354" t="s">
        <v>1837</v>
      </c>
      <c r="F5" s="355" t="s">
        <v>265</v>
      </c>
      <c r="G5" s="368">
        <v>1</v>
      </c>
      <c r="H5" s="368">
        <f>합산자재!H44</f>
        <v>301.0462</v>
      </c>
      <c r="I5" s="369">
        <f t="shared" ref="I5:I10" si="0">IF(G5*H5&lt;&gt;0, TRUNC(G5*H5, 1), "")</f>
        <v>301</v>
      </c>
      <c r="J5" s="368">
        <v>1</v>
      </c>
      <c r="K5" s="368">
        <f>합산자재!I44</f>
        <v>0</v>
      </c>
      <c r="L5" s="369" t="str">
        <f t="shared" ref="L5:L11" si="1">IF(G5*K5&lt;&gt;0, TRUNC(G5*K5, 1), "")</f>
        <v/>
      </c>
      <c r="M5" s="368">
        <f>합산자재!J44</f>
        <v>0</v>
      </c>
      <c r="N5" s="369" t="str">
        <f t="shared" ref="N5:N11" si="2">IF(G5*M5&lt;&gt;0, TRUNC(G5*M5, 1), "")</f>
        <v/>
      </c>
      <c r="O5" s="368">
        <f t="shared" ref="O5:O12" si="3">IF((H5+K5+M5)=0, "", (H5+K5+M5))</f>
        <v>301.0462</v>
      </c>
      <c r="P5" s="368">
        <f t="shared" ref="P5:P12" si="4">IF(SUM(I5,L5,N5)&lt;&gt;0,SUM(I5,L5,N5),"")</f>
        <v>301</v>
      </c>
      <c r="Q5" s="354"/>
    </row>
    <row r="6" spans="1:31" ht="23.25" customHeight="1">
      <c r="A6" s="344" t="s">
        <v>1838</v>
      </c>
      <c r="B6" s="344" t="s">
        <v>1489</v>
      </c>
      <c r="C6" s="365" t="s">
        <v>1838</v>
      </c>
      <c r="D6" s="354" t="s">
        <v>1839</v>
      </c>
      <c r="E6" s="354" t="s">
        <v>1840</v>
      </c>
      <c r="F6" s="355" t="s">
        <v>265</v>
      </c>
      <c r="G6" s="368">
        <v>1</v>
      </c>
      <c r="H6" s="368">
        <f>합산자재!H48</f>
        <v>900.4823100000001</v>
      </c>
      <c r="I6" s="369">
        <f t="shared" si="0"/>
        <v>900.4</v>
      </c>
      <c r="J6" s="368">
        <v>1</v>
      </c>
      <c r="K6" s="368">
        <f>합산자재!I48</f>
        <v>0</v>
      </c>
      <c r="L6" s="369" t="str">
        <f t="shared" si="1"/>
        <v/>
      </c>
      <c r="M6" s="368">
        <f>합산자재!J48</f>
        <v>0</v>
      </c>
      <c r="N6" s="369" t="str">
        <f t="shared" si="2"/>
        <v/>
      </c>
      <c r="O6" s="368">
        <f t="shared" si="3"/>
        <v>900.4823100000001</v>
      </c>
      <c r="P6" s="368">
        <f t="shared" si="4"/>
        <v>900.4</v>
      </c>
      <c r="Q6" s="354"/>
    </row>
    <row r="7" spans="1:31" ht="23.25" customHeight="1">
      <c r="A7" s="344" t="s">
        <v>1841</v>
      </c>
      <c r="B7" s="344" t="s">
        <v>1489</v>
      </c>
      <c r="C7" s="365" t="s">
        <v>1841</v>
      </c>
      <c r="D7" s="354" t="s">
        <v>1842</v>
      </c>
      <c r="E7" s="354" t="s">
        <v>1843</v>
      </c>
      <c r="F7" s="355" t="s">
        <v>265</v>
      </c>
      <c r="G7" s="368">
        <v>1</v>
      </c>
      <c r="H7" s="368">
        <f>합산자재!H47</f>
        <v>88.543000000000006</v>
      </c>
      <c r="I7" s="369">
        <f t="shared" si="0"/>
        <v>88.5</v>
      </c>
      <c r="J7" s="368">
        <v>1</v>
      </c>
      <c r="K7" s="368">
        <f>합산자재!I47</f>
        <v>0</v>
      </c>
      <c r="L7" s="369" t="str">
        <f t="shared" si="1"/>
        <v/>
      </c>
      <c r="M7" s="368">
        <f>합산자재!J47</f>
        <v>0</v>
      </c>
      <c r="N7" s="369" t="str">
        <f t="shared" si="2"/>
        <v/>
      </c>
      <c r="O7" s="368">
        <f t="shared" si="3"/>
        <v>88.543000000000006</v>
      </c>
      <c r="P7" s="368">
        <f t="shared" si="4"/>
        <v>88.5</v>
      </c>
      <c r="Q7" s="354"/>
    </row>
    <row r="8" spans="1:31" ht="23.25" customHeight="1">
      <c r="A8" s="344" t="s">
        <v>1844</v>
      </c>
      <c r="B8" s="344" t="s">
        <v>1489</v>
      </c>
      <c r="C8" s="365" t="s">
        <v>1844</v>
      </c>
      <c r="D8" s="354" t="s">
        <v>1845</v>
      </c>
      <c r="E8" s="354" t="s">
        <v>1846</v>
      </c>
      <c r="F8" s="355" t="s">
        <v>265</v>
      </c>
      <c r="G8" s="368">
        <v>2</v>
      </c>
      <c r="H8" s="368">
        <f>합산자재!H75</f>
        <v>22.135750000000002</v>
      </c>
      <c r="I8" s="369">
        <f t="shared" si="0"/>
        <v>44.2</v>
      </c>
      <c r="J8" s="368">
        <v>2</v>
      </c>
      <c r="K8" s="368">
        <f>합산자재!I75</f>
        <v>0</v>
      </c>
      <c r="L8" s="369" t="str">
        <f t="shared" si="1"/>
        <v/>
      </c>
      <c r="M8" s="368">
        <f>합산자재!J75</f>
        <v>0</v>
      </c>
      <c r="N8" s="369" t="str">
        <f t="shared" si="2"/>
        <v/>
      </c>
      <c r="O8" s="368">
        <f t="shared" si="3"/>
        <v>22.135750000000002</v>
      </c>
      <c r="P8" s="368">
        <f t="shared" si="4"/>
        <v>44.2</v>
      </c>
      <c r="Q8" s="354"/>
    </row>
    <row r="9" spans="1:31" ht="23.25" customHeight="1">
      <c r="A9" s="344" t="s">
        <v>1847</v>
      </c>
      <c r="B9" s="344" t="s">
        <v>1489</v>
      </c>
      <c r="C9" s="365" t="s">
        <v>1847</v>
      </c>
      <c r="D9" s="354" t="s">
        <v>1848</v>
      </c>
      <c r="E9" s="354" t="s">
        <v>1849</v>
      </c>
      <c r="F9" s="355" t="s">
        <v>291</v>
      </c>
      <c r="G9" s="368">
        <v>2</v>
      </c>
      <c r="H9" s="368">
        <f>합산자재!H76</f>
        <v>7.9688700000000008</v>
      </c>
      <c r="I9" s="369">
        <f t="shared" si="0"/>
        <v>15.9</v>
      </c>
      <c r="J9" s="368">
        <v>2</v>
      </c>
      <c r="K9" s="368">
        <f>합산자재!I76</f>
        <v>0</v>
      </c>
      <c r="L9" s="369" t="str">
        <f t="shared" si="1"/>
        <v/>
      </c>
      <c r="M9" s="368">
        <f>합산자재!J76</f>
        <v>0</v>
      </c>
      <c r="N9" s="369" t="str">
        <f t="shared" si="2"/>
        <v/>
      </c>
      <c r="O9" s="368">
        <f t="shared" si="3"/>
        <v>7.9688700000000008</v>
      </c>
      <c r="P9" s="368">
        <f t="shared" si="4"/>
        <v>15.9</v>
      </c>
      <c r="Q9" s="354"/>
    </row>
    <row r="10" spans="1:31" ht="23.25" customHeight="1">
      <c r="A10" s="344" t="s">
        <v>1850</v>
      </c>
      <c r="B10" s="344" t="s">
        <v>1489</v>
      </c>
      <c r="C10" s="365" t="s">
        <v>1850</v>
      </c>
      <c r="D10" s="354" t="s">
        <v>1664</v>
      </c>
      <c r="E10" s="354" t="s">
        <v>1851</v>
      </c>
      <c r="F10" s="355" t="s">
        <v>1852</v>
      </c>
      <c r="G10" s="368">
        <f>일위노임!G6</f>
        <v>3.5999999999999997E-2</v>
      </c>
      <c r="H10" s="368">
        <f>합산자재!H120</f>
        <v>0</v>
      </c>
      <c r="I10" s="369" t="str">
        <f t="shared" si="0"/>
        <v/>
      </c>
      <c r="J10" s="368">
        <v>3.5999999999999997E-2</v>
      </c>
      <c r="K10" s="368">
        <f>합산자재!I120</f>
        <v>229252.87931000002</v>
      </c>
      <c r="L10" s="369">
        <f t="shared" si="1"/>
        <v>8253.1</v>
      </c>
      <c r="M10" s="368">
        <f>합산자재!J120</f>
        <v>0</v>
      </c>
      <c r="N10" s="369" t="str">
        <f t="shared" si="2"/>
        <v/>
      </c>
      <c r="O10" s="368">
        <f t="shared" si="3"/>
        <v>229252.87931000002</v>
      </c>
      <c r="P10" s="368">
        <f t="shared" si="4"/>
        <v>8253.1</v>
      </c>
      <c r="Q10" s="354"/>
      <c r="AE10" s="347">
        <f>L10</f>
        <v>8253.1</v>
      </c>
    </row>
    <row r="11" spans="1:31" ht="23.25" customHeight="1">
      <c r="A11" s="344" t="s">
        <v>1853</v>
      </c>
      <c r="B11" s="344" t="s">
        <v>1489</v>
      </c>
      <c r="C11" s="365" t="s">
        <v>1853</v>
      </c>
      <c r="D11" s="354" t="s">
        <v>1854</v>
      </c>
      <c r="E11" s="354" t="s">
        <v>1855</v>
      </c>
      <c r="F11" s="355" t="s">
        <v>212</v>
      </c>
      <c r="G11" s="368">
        <v>1</v>
      </c>
      <c r="H11" s="368">
        <f>IF(TRUNC((AD12+AC12)/$AE$3,1)*$AE$3-AD12 &lt;0, AC12, TRUNC((AD12+AC12)/$AE$3,1)*$AE$3-AD12)</f>
        <v>165</v>
      </c>
      <c r="I11" s="369">
        <f>H11</f>
        <v>165</v>
      </c>
      <c r="J11" s="368">
        <v>1</v>
      </c>
      <c r="K11" s="368"/>
      <c r="L11" s="369" t="str">
        <f t="shared" si="1"/>
        <v/>
      </c>
      <c r="M11" s="368"/>
      <c r="N11" s="369" t="str">
        <f t="shared" si="2"/>
        <v/>
      </c>
      <c r="O11" s="368">
        <f t="shared" si="3"/>
        <v>165</v>
      </c>
      <c r="P11" s="368">
        <f t="shared" si="4"/>
        <v>165</v>
      </c>
      <c r="Q11" s="354"/>
    </row>
    <row r="12" spans="1:31" ht="23.25" customHeight="1">
      <c r="B12" s="344" t="s">
        <v>715</v>
      </c>
      <c r="D12" s="354" t="s">
        <v>216</v>
      </c>
      <c r="E12" s="354"/>
      <c r="F12" s="355"/>
      <c r="G12" s="368"/>
      <c r="H12" s="368"/>
      <c r="I12" s="369">
        <f>TRUNC(SUM(I4:I11))</f>
        <v>1515</v>
      </c>
      <c r="J12" s="368"/>
      <c r="K12" s="368"/>
      <c r="L12" s="369">
        <f>TRUNC(SUM(L4:L11))</f>
        <v>8253</v>
      </c>
      <c r="M12" s="368"/>
      <c r="N12" s="369">
        <f>TRUNC(SUM(N4:N11))</f>
        <v>0</v>
      </c>
      <c r="O12" s="368" t="str">
        <f t="shared" si="3"/>
        <v/>
      </c>
      <c r="P12" s="368">
        <f t="shared" si="4"/>
        <v>9768</v>
      </c>
      <c r="Q12" s="354"/>
      <c r="AC12" s="347">
        <f>TRUNC(AE12*옵션!$B$36/100,1)</f>
        <v>165</v>
      </c>
      <c r="AD12" s="347">
        <f>TRUNC(SUM(L4:L10))</f>
        <v>8253</v>
      </c>
      <c r="AE12" s="347">
        <f>TRUNC(SUM(AE4:AE11))</f>
        <v>8253</v>
      </c>
    </row>
    <row r="13" spans="1:31" ht="23.25" customHeight="1">
      <c r="D13" s="354"/>
      <c r="E13" s="354"/>
      <c r="F13" s="355"/>
      <c r="G13" s="368"/>
      <c r="H13" s="368"/>
      <c r="I13" s="369"/>
      <c r="J13" s="368"/>
      <c r="K13" s="368"/>
      <c r="L13" s="369"/>
      <c r="M13" s="368"/>
      <c r="N13" s="369"/>
      <c r="O13" s="368"/>
      <c r="P13" s="368"/>
      <c r="Q13" s="354"/>
    </row>
    <row r="14" spans="1:31" ht="23.25" customHeight="1">
      <c r="A14" s="344" t="s">
        <v>810</v>
      </c>
      <c r="B14" s="344" t="s">
        <v>1833</v>
      </c>
      <c r="C14" s="365" t="s">
        <v>1856</v>
      </c>
      <c r="D14" s="714" t="s">
        <v>1857</v>
      </c>
      <c r="E14" s="715"/>
      <c r="F14" s="355"/>
      <c r="G14" s="368"/>
      <c r="H14" s="368"/>
      <c r="I14" s="369"/>
      <c r="J14" s="368"/>
      <c r="K14" s="368"/>
      <c r="L14" s="369"/>
      <c r="M14" s="368"/>
      <c r="N14" s="369"/>
      <c r="O14" s="368"/>
      <c r="P14" s="368"/>
      <c r="Q14" s="354"/>
    </row>
    <row r="15" spans="1:31" ht="23.25" customHeight="1">
      <c r="A15" s="344" t="s">
        <v>1858</v>
      </c>
      <c r="B15" s="344" t="s">
        <v>1492</v>
      </c>
      <c r="C15" s="365" t="s">
        <v>1858</v>
      </c>
      <c r="D15" s="354" t="s">
        <v>399</v>
      </c>
      <c r="E15" s="354" t="s">
        <v>1859</v>
      </c>
      <c r="F15" s="355" t="s">
        <v>265</v>
      </c>
      <c r="G15" s="368">
        <v>1</v>
      </c>
      <c r="H15" s="368">
        <f>합산자재!H45</f>
        <v>334.69254000000001</v>
      </c>
      <c r="I15" s="369">
        <f t="shared" ref="I15:I20" si="5">IF(G15*H15&lt;&gt;0, TRUNC(G15*H15, 1), "")</f>
        <v>334.6</v>
      </c>
      <c r="J15" s="368">
        <v>1</v>
      </c>
      <c r="K15" s="368">
        <f>합산자재!I45</f>
        <v>0</v>
      </c>
      <c r="L15" s="369" t="str">
        <f t="shared" ref="L15:L21" si="6">IF(G15*K15&lt;&gt;0, TRUNC(G15*K15, 1), "")</f>
        <v/>
      </c>
      <c r="M15" s="368">
        <f>합산자재!J45</f>
        <v>0</v>
      </c>
      <c r="N15" s="369" t="str">
        <f t="shared" ref="N15:N21" si="7">IF(G15*M15&lt;&gt;0, TRUNC(G15*M15, 1), "")</f>
        <v/>
      </c>
      <c r="O15" s="368">
        <f t="shared" ref="O15:O22" si="8">IF((H15+K15+M15)=0, "", (H15+K15+M15))</f>
        <v>334.69254000000001</v>
      </c>
      <c r="P15" s="368">
        <f t="shared" ref="P15:P22" si="9">IF(SUM(I15,L15,N15)&lt;&gt;0,SUM(I15,L15,N15),"")</f>
        <v>334.6</v>
      </c>
      <c r="Q15" s="354"/>
    </row>
    <row r="16" spans="1:31" ht="23.25" customHeight="1">
      <c r="A16" s="344" t="s">
        <v>1838</v>
      </c>
      <c r="B16" s="344" t="s">
        <v>1492</v>
      </c>
      <c r="C16" s="365" t="s">
        <v>1838</v>
      </c>
      <c r="D16" s="354" t="s">
        <v>1839</v>
      </c>
      <c r="E16" s="354" t="s">
        <v>1840</v>
      </c>
      <c r="F16" s="355" t="s">
        <v>265</v>
      </c>
      <c r="G16" s="368">
        <v>1</v>
      </c>
      <c r="H16" s="368">
        <f>합산자재!H48</f>
        <v>900.4823100000001</v>
      </c>
      <c r="I16" s="369">
        <f t="shared" si="5"/>
        <v>900.4</v>
      </c>
      <c r="J16" s="368">
        <v>1</v>
      </c>
      <c r="K16" s="368">
        <f>합산자재!I48</f>
        <v>0</v>
      </c>
      <c r="L16" s="369" t="str">
        <f t="shared" si="6"/>
        <v/>
      </c>
      <c r="M16" s="368">
        <f>합산자재!J48</f>
        <v>0</v>
      </c>
      <c r="N16" s="369" t="str">
        <f t="shared" si="7"/>
        <v/>
      </c>
      <c r="O16" s="368">
        <f t="shared" si="8"/>
        <v>900.4823100000001</v>
      </c>
      <c r="P16" s="368">
        <f t="shared" si="9"/>
        <v>900.4</v>
      </c>
      <c r="Q16" s="354"/>
    </row>
    <row r="17" spans="1:31" ht="23.25" customHeight="1">
      <c r="A17" s="344" t="s">
        <v>1841</v>
      </c>
      <c r="B17" s="344" t="s">
        <v>1492</v>
      </c>
      <c r="C17" s="365" t="s">
        <v>1841</v>
      </c>
      <c r="D17" s="354" t="s">
        <v>1842</v>
      </c>
      <c r="E17" s="354" t="s">
        <v>1843</v>
      </c>
      <c r="F17" s="355" t="s">
        <v>265</v>
      </c>
      <c r="G17" s="368">
        <v>1</v>
      </c>
      <c r="H17" s="368">
        <f>합산자재!H47</f>
        <v>88.543000000000006</v>
      </c>
      <c r="I17" s="369">
        <f t="shared" si="5"/>
        <v>88.5</v>
      </c>
      <c r="J17" s="368">
        <v>1</v>
      </c>
      <c r="K17" s="368">
        <f>합산자재!I47</f>
        <v>0</v>
      </c>
      <c r="L17" s="369" t="str">
        <f t="shared" si="6"/>
        <v/>
      </c>
      <c r="M17" s="368">
        <f>합산자재!J47</f>
        <v>0</v>
      </c>
      <c r="N17" s="369" t="str">
        <f t="shared" si="7"/>
        <v/>
      </c>
      <c r="O17" s="368">
        <f t="shared" si="8"/>
        <v>88.543000000000006</v>
      </c>
      <c r="P17" s="368">
        <f t="shared" si="9"/>
        <v>88.5</v>
      </c>
      <c r="Q17" s="354"/>
    </row>
    <row r="18" spans="1:31" ht="23.25" customHeight="1">
      <c r="A18" s="344" t="s">
        <v>1844</v>
      </c>
      <c r="B18" s="344" t="s">
        <v>1492</v>
      </c>
      <c r="C18" s="365" t="s">
        <v>1844</v>
      </c>
      <c r="D18" s="354" t="s">
        <v>1845</v>
      </c>
      <c r="E18" s="354" t="s">
        <v>1846</v>
      </c>
      <c r="F18" s="355" t="s">
        <v>265</v>
      </c>
      <c r="G18" s="368">
        <v>2</v>
      </c>
      <c r="H18" s="368">
        <f>합산자재!H75</f>
        <v>22.135750000000002</v>
      </c>
      <c r="I18" s="369">
        <f t="shared" si="5"/>
        <v>44.2</v>
      </c>
      <c r="J18" s="368">
        <v>2</v>
      </c>
      <c r="K18" s="368">
        <f>합산자재!I75</f>
        <v>0</v>
      </c>
      <c r="L18" s="369" t="str">
        <f t="shared" si="6"/>
        <v/>
      </c>
      <c r="M18" s="368">
        <f>합산자재!J75</f>
        <v>0</v>
      </c>
      <c r="N18" s="369" t="str">
        <f t="shared" si="7"/>
        <v/>
      </c>
      <c r="O18" s="368">
        <f t="shared" si="8"/>
        <v>22.135750000000002</v>
      </c>
      <c r="P18" s="368">
        <f t="shared" si="9"/>
        <v>44.2</v>
      </c>
      <c r="Q18" s="354"/>
    </row>
    <row r="19" spans="1:31" ht="23.25" customHeight="1">
      <c r="A19" s="344" t="s">
        <v>1847</v>
      </c>
      <c r="B19" s="344" t="s">
        <v>1492</v>
      </c>
      <c r="C19" s="365" t="s">
        <v>1847</v>
      </c>
      <c r="D19" s="354" t="s">
        <v>1848</v>
      </c>
      <c r="E19" s="354" t="s">
        <v>1849</v>
      </c>
      <c r="F19" s="355" t="s">
        <v>291</v>
      </c>
      <c r="G19" s="368">
        <v>2</v>
      </c>
      <c r="H19" s="368">
        <f>합산자재!H76</f>
        <v>7.9688700000000008</v>
      </c>
      <c r="I19" s="369">
        <f t="shared" si="5"/>
        <v>15.9</v>
      </c>
      <c r="J19" s="368">
        <v>2</v>
      </c>
      <c r="K19" s="368">
        <f>합산자재!I76</f>
        <v>0</v>
      </c>
      <c r="L19" s="369" t="str">
        <f t="shared" si="6"/>
        <v/>
      </c>
      <c r="M19" s="368">
        <f>합산자재!J76</f>
        <v>0</v>
      </c>
      <c r="N19" s="369" t="str">
        <f t="shared" si="7"/>
        <v/>
      </c>
      <c r="O19" s="368">
        <f t="shared" si="8"/>
        <v>7.9688700000000008</v>
      </c>
      <c r="P19" s="368">
        <f t="shared" si="9"/>
        <v>15.9</v>
      </c>
      <c r="Q19" s="354"/>
    </row>
    <row r="20" spans="1:31" ht="23.25" customHeight="1">
      <c r="A20" s="344" t="s">
        <v>1850</v>
      </c>
      <c r="B20" s="344" t="s">
        <v>1492</v>
      </c>
      <c r="C20" s="365" t="s">
        <v>1850</v>
      </c>
      <c r="D20" s="354" t="s">
        <v>1664</v>
      </c>
      <c r="E20" s="354" t="s">
        <v>1851</v>
      </c>
      <c r="F20" s="355" t="s">
        <v>1852</v>
      </c>
      <c r="G20" s="368">
        <f>일위노임!G9</f>
        <v>3.5999999999999997E-2</v>
      </c>
      <c r="H20" s="368">
        <f>합산자재!H120</f>
        <v>0</v>
      </c>
      <c r="I20" s="369" t="str">
        <f t="shared" si="5"/>
        <v/>
      </c>
      <c r="J20" s="368">
        <v>3.5999999999999997E-2</v>
      </c>
      <c r="K20" s="368">
        <f>합산자재!I120</f>
        <v>229252.87931000002</v>
      </c>
      <c r="L20" s="369">
        <f t="shared" si="6"/>
        <v>8253.1</v>
      </c>
      <c r="M20" s="368">
        <f>합산자재!J120</f>
        <v>0</v>
      </c>
      <c r="N20" s="369" t="str">
        <f t="shared" si="7"/>
        <v/>
      </c>
      <c r="O20" s="368">
        <f t="shared" si="8"/>
        <v>229252.87931000002</v>
      </c>
      <c r="P20" s="368">
        <f t="shared" si="9"/>
        <v>8253.1</v>
      </c>
      <c r="Q20" s="354"/>
      <c r="AE20" s="347">
        <f>L20</f>
        <v>8253.1</v>
      </c>
    </row>
    <row r="21" spans="1:31" ht="23.25" customHeight="1">
      <c r="A21" s="344" t="s">
        <v>1853</v>
      </c>
      <c r="B21" s="344" t="s">
        <v>1492</v>
      </c>
      <c r="C21" s="365" t="s">
        <v>1853</v>
      </c>
      <c r="D21" s="354" t="s">
        <v>1854</v>
      </c>
      <c r="E21" s="354" t="s">
        <v>1855</v>
      </c>
      <c r="F21" s="355" t="s">
        <v>212</v>
      </c>
      <c r="G21" s="368">
        <v>1</v>
      </c>
      <c r="H21" s="368">
        <f>IF(TRUNC((AD22+AC22)/$AE$3,1)*$AE$3-AD22 &lt;0, AC22, TRUNC((AD22+AC22)/$AE$3,1)*$AE$3-AD22)</f>
        <v>165</v>
      </c>
      <c r="I21" s="369">
        <f>H21</f>
        <v>165</v>
      </c>
      <c r="J21" s="368">
        <v>1</v>
      </c>
      <c r="K21" s="368"/>
      <c r="L21" s="369" t="str">
        <f t="shared" si="6"/>
        <v/>
      </c>
      <c r="M21" s="368"/>
      <c r="N21" s="369" t="str">
        <f t="shared" si="7"/>
        <v/>
      </c>
      <c r="O21" s="368">
        <f t="shared" si="8"/>
        <v>165</v>
      </c>
      <c r="P21" s="368">
        <f t="shared" si="9"/>
        <v>165</v>
      </c>
      <c r="Q21" s="354"/>
    </row>
    <row r="22" spans="1:31" ht="23.25" customHeight="1">
      <c r="B22" s="344" t="s">
        <v>715</v>
      </c>
      <c r="D22" s="354" t="s">
        <v>216</v>
      </c>
      <c r="E22" s="354"/>
      <c r="F22" s="355"/>
      <c r="G22" s="368"/>
      <c r="H22" s="368"/>
      <c r="I22" s="369">
        <f>TRUNC(SUM(I14:I21))</f>
        <v>1548</v>
      </c>
      <c r="J22" s="368"/>
      <c r="K22" s="368"/>
      <c r="L22" s="369">
        <f>TRUNC(SUM(L14:L21))</f>
        <v>8253</v>
      </c>
      <c r="M22" s="368"/>
      <c r="N22" s="369">
        <f>TRUNC(SUM(N14:N21))</f>
        <v>0</v>
      </c>
      <c r="O22" s="368" t="str">
        <f t="shared" si="8"/>
        <v/>
      </c>
      <c r="P22" s="368">
        <f t="shared" si="9"/>
        <v>9801</v>
      </c>
      <c r="Q22" s="354"/>
      <c r="AC22" s="347">
        <f>TRUNC(AE22*옵션!$B$36/100,1)</f>
        <v>165</v>
      </c>
      <c r="AD22" s="347">
        <f>TRUNC(SUM(L14:L20))</f>
        <v>8253</v>
      </c>
      <c r="AE22" s="347">
        <f>TRUNC(SUM(AE14:AE21))</f>
        <v>8253</v>
      </c>
    </row>
    <row r="23" spans="1:31" ht="23.25" customHeight="1">
      <c r="D23" s="354"/>
      <c r="E23" s="354"/>
      <c r="F23" s="355"/>
      <c r="G23" s="368"/>
      <c r="H23" s="368"/>
      <c r="I23" s="369"/>
      <c r="J23" s="368"/>
      <c r="K23" s="368"/>
      <c r="L23" s="369"/>
      <c r="M23" s="368"/>
      <c r="N23" s="369"/>
      <c r="O23" s="368"/>
      <c r="P23" s="368"/>
      <c r="Q23" s="354"/>
    </row>
    <row r="24" spans="1:31" ht="23.25" customHeight="1">
      <c r="A24" s="344" t="s">
        <v>814</v>
      </c>
      <c r="B24" s="344" t="s">
        <v>1833</v>
      </c>
      <c r="C24" s="365" t="s">
        <v>1860</v>
      </c>
      <c r="D24" s="714" t="s">
        <v>1861</v>
      </c>
      <c r="E24" s="715"/>
      <c r="F24" s="355"/>
      <c r="G24" s="368"/>
      <c r="H24" s="368"/>
      <c r="I24" s="369"/>
      <c r="J24" s="368"/>
      <c r="K24" s="368"/>
      <c r="L24" s="369"/>
      <c r="M24" s="368"/>
      <c r="N24" s="369"/>
      <c r="O24" s="368"/>
      <c r="P24" s="368"/>
      <c r="Q24" s="354"/>
    </row>
    <row r="25" spans="1:31" ht="23.25" customHeight="1">
      <c r="A25" s="344" t="s">
        <v>1862</v>
      </c>
      <c r="B25" s="344" t="s">
        <v>1495</v>
      </c>
      <c r="C25" s="365" t="s">
        <v>1862</v>
      </c>
      <c r="D25" s="354" t="s">
        <v>399</v>
      </c>
      <c r="E25" s="354" t="s">
        <v>1863</v>
      </c>
      <c r="F25" s="355" t="s">
        <v>265</v>
      </c>
      <c r="G25" s="368">
        <v>1</v>
      </c>
      <c r="H25" s="368">
        <f>합산자재!H46</f>
        <v>1120.9543800000001</v>
      </c>
      <c r="I25" s="369">
        <f t="shared" ref="I25:I30" si="10">IF(G25*H25&lt;&gt;0, TRUNC(G25*H25, 1), "")</f>
        <v>1120.9000000000001</v>
      </c>
      <c r="J25" s="368">
        <v>1</v>
      </c>
      <c r="K25" s="368">
        <f>합산자재!I46</f>
        <v>0</v>
      </c>
      <c r="L25" s="369" t="str">
        <f t="shared" ref="L25:L31" si="11">IF(G25*K25&lt;&gt;0, TRUNC(G25*K25, 1), "")</f>
        <v/>
      </c>
      <c r="M25" s="368">
        <f>합산자재!J46</f>
        <v>0</v>
      </c>
      <c r="N25" s="369" t="str">
        <f t="shared" ref="N25:N31" si="12">IF(G25*M25&lt;&gt;0, TRUNC(G25*M25, 1), "")</f>
        <v/>
      </c>
      <c r="O25" s="368">
        <f t="shared" ref="O25:O32" si="13">IF((H25+K25+M25)=0, "", (H25+K25+M25))</f>
        <v>1120.9543800000001</v>
      </c>
      <c r="P25" s="368">
        <f t="shared" ref="P25:P32" si="14">IF(SUM(I25,L25,N25)&lt;&gt;0,SUM(I25,L25,N25),"")</f>
        <v>1120.9000000000001</v>
      </c>
      <c r="Q25" s="354"/>
    </row>
    <row r="26" spans="1:31" ht="23.25" customHeight="1">
      <c r="A26" s="344" t="s">
        <v>1838</v>
      </c>
      <c r="B26" s="344" t="s">
        <v>1495</v>
      </c>
      <c r="C26" s="365" t="s">
        <v>1838</v>
      </c>
      <c r="D26" s="354" t="s">
        <v>1839</v>
      </c>
      <c r="E26" s="354" t="s">
        <v>1840</v>
      </c>
      <c r="F26" s="355" t="s">
        <v>265</v>
      </c>
      <c r="G26" s="368">
        <v>1</v>
      </c>
      <c r="H26" s="368">
        <f>합산자재!H48</f>
        <v>900.4823100000001</v>
      </c>
      <c r="I26" s="369">
        <f t="shared" si="10"/>
        <v>900.4</v>
      </c>
      <c r="J26" s="368">
        <v>1</v>
      </c>
      <c r="K26" s="368">
        <f>합산자재!I48</f>
        <v>0</v>
      </c>
      <c r="L26" s="369" t="str">
        <f t="shared" si="11"/>
        <v/>
      </c>
      <c r="M26" s="368">
        <f>합산자재!J48</f>
        <v>0</v>
      </c>
      <c r="N26" s="369" t="str">
        <f t="shared" si="12"/>
        <v/>
      </c>
      <c r="O26" s="368">
        <f t="shared" si="13"/>
        <v>900.4823100000001</v>
      </c>
      <c r="P26" s="368">
        <f t="shared" si="14"/>
        <v>900.4</v>
      </c>
      <c r="Q26" s="354"/>
    </row>
    <row r="27" spans="1:31" ht="23.25" customHeight="1">
      <c r="A27" s="344" t="s">
        <v>1841</v>
      </c>
      <c r="B27" s="344" t="s">
        <v>1495</v>
      </c>
      <c r="C27" s="365" t="s">
        <v>1841</v>
      </c>
      <c r="D27" s="354" t="s">
        <v>1842</v>
      </c>
      <c r="E27" s="354" t="s">
        <v>1843</v>
      </c>
      <c r="F27" s="355" t="s">
        <v>265</v>
      </c>
      <c r="G27" s="368">
        <v>1</v>
      </c>
      <c r="H27" s="368">
        <f>합산자재!H47</f>
        <v>88.543000000000006</v>
      </c>
      <c r="I27" s="369">
        <f t="shared" si="10"/>
        <v>88.5</v>
      </c>
      <c r="J27" s="368">
        <v>1</v>
      </c>
      <c r="K27" s="368">
        <f>합산자재!I47</f>
        <v>0</v>
      </c>
      <c r="L27" s="369" t="str">
        <f t="shared" si="11"/>
        <v/>
      </c>
      <c r="M27" s="368">
        <f>합산자재!J47</f>
        <v>0</v>
      </c>
      <c r="N27" s="369" t="str">
        <f t="shared" si="12"/>
        <v/>
      </c>
      <c r="O27" s="368">
        <f t="shared" si="13"/>
        <v>88.543000000000006</v>
      </c>
      <c r="P27" s="368">
        <f t="shared" si="14"/>
        <v>88.5</v>
      </c>
      <c r="Q27" s="354"/>
    </row>
    <row r="28" spans="1:31" ht="23.25" customHeight="1">
      <c r="A28" s="344" t="s">
        <v>1844</v>
      </c>
      <c r="B28" s="344" t="s">
        <v>1495</v>
      </c>
      <c r="C28" s="365" t="s">
        <v>1844</v>
      </c>
      <c r="D28" s="354" t="s">
        <v>1845</v>
      </c>
      <c r="E28" s="354" t="s">
        <v>1846</v>
      </c>
      <c r="F28" s="355" t="s">
        <v>265</v>
      </c>
      <c r="G28" s="368">
        <v>2</v>
      </c>
      <c r="H28" s="368">
        <f>합산자재!H75</f>
        <v>22.135750000000002</v>
      </c>
      <c r="I28" s="369">
        <f t="shared" si="10"/>
        <v>44.2</v>
      </c>
      <c r="J28" s="368">
        <v>2</v>
      </c>
      <c r="K28" s="368">
        <f>합산자재!I75</f>
        <v>0</v>
      </c>
      <c r="L28" s="369" t="str">
        <f t="shared" si="11"/>
        <v/>
      </c>
      <c r="M28" s="368">
        <f>합산자재!J75</f>
        <v>0</v>
      </c>
      <c r="N28" s="369" t="str">
        <f t="shared" si="12"/>
        <v/>
      </c>
      <c r="O28" s="368">
        <f t="shared" si="13"/>
        <v>22.135750000000002</v>
      </c>
      <c r="P28" s="368">
        <f t="shared" si="14"/>
        <v>44.2</v>
      </c>
      <c r="Q28" s="354"/>
    </row>
    <row r="29" spans="1:31" ht="23.25" customHeight="1">
      <c r="A29" s="344" t="s">
        <v>1847</v>
      </c>
      <c r="B29" s="344" t="s">
        <v>1495</v>
      </c>
      <c r="C29" s="365" t="s">
        <v>1847</v>
      </c>
      <c r="D29" s="354" t="s">
        <v>1848</v>
      </c>
      <c r="E29" s="354" t="s">
        <v>1849</v>
      </c>
      <c r="F29" s="355" t="s">
        <v>291</v>
      </c>
      <c r="G29" s="368">
        <v>2</v>
      </c>
      <c r="H29" s="368">
        <f>합산자재!H76</f>
        <v>7.9688700000000008</v>
      </c>
      <c r="I29" s="369">
        <f t="shared" si="10"/>
        <v>15.9</v>
      </c>
      <c r="J29" s="368">
        <v>2</v>
      </c>
      <c r="K29" s="368">
        <f>합산자재!I76</f>
        <v>0</v>
      </c>
      <c r="L29" s="369" t="str">
        <f t="shared" si="11"/>
        <v/>
      </c>
      <c r="M29" s="368">
        <f>합산자재!J76</f>
        <v>0</v>
      </c>
      <c r="N29" s="369" t="str">
        <f t="shared" si="12"/>
        <v/>
      </c>
      <c r="O29" s="368">
        <f t="shared" si="13"/>
        <v>7.9688700000000008</v>
      </c>
      <c r="P29" s="368">
        <f t="shared" si="14"/>
        <v>15.9</v>
      </c>
      <c r="Q29" s="354"/>
    </row>
    <row r="30" spans="1:31" ht="23.25" customHeight="1">
      <c r="A30" s="344" t="s">
        <v>1850</v>
      </c>
      <c r="B30" s="344" t="s">
        <v>1495</v>
      </c>
      <c r="C30" s="365" t="s">
        <v>1850</v>
      </c>
      <c r="D30" s="354" t="s">
        <v>1664</v>
      </c>
      <c r="E30" s="354" t="s">
        <v>1851</v>
      </c>
      <c r="F30" s="355" t="s">
        <v>1852</v>
      </c>
      <c r="G30" s="368">
        <f>일위노임!G12</f>
        <v>3.5999999999999997E-2</v>
      </c>
      <c r="H30" s="368">
        <f>합산자재!H120</f>
        <v>0</v>
      </c>
      <c r="I30" s="369" t="str">
        <f t="shared" si="10"/>
        <v/>
      </c>
      <c r="J30" s="368">
        <v>3.5999999999999997E-2</v>
      </c>
      <c r="K30" s="368">
        <f>합산자재!I120</f>
        <v>229252.87931000002</v>
      </c>
      <c r="L30" s="369">
        <f t="shared" si="11"/>
        <v>8253.1</v>
      </c>
      <c r="M30" s="368">
        <f>합산자재!J120</f>
        <v>0</v>
      </c>
      <c r="N30" s="369" t="str">
        <f t="shared" si="12"/>
        <v/>
      </c>
      <c r="O30" s="368">
        <f t="shared" si="13"/>
        <v>229252.87931000002</v>
      </c>
      <c r="P30" s="368">
        <f t="shared" si="14"/>
        <v>8253.1</v>
      </c>
      <c r="Q30" s="354"/>
      <c r="AE30" s="347">
        <f>L30</f>
        <v>8253.1</v>
      </c>
    </row>
    <row r="31" spans="1:31" ht="23.25" customHeight="1">
      <c r="A31" s="344" t="s">
        <v>1853</v>
      </c>
      <c r="B31" s="344" t="s">
        <v>1495</v>
      </c>
      <c r="C31" s="365" t="s">
        <v>1853</v>
      </c>
      <c r="D31" s="354" t="s">
        <v>1854</v>
      </c>
      <c r="E31" s="354" t="s">
        <v>1855</v>
      </c>
      <c r="F31" s="355" t="s">
        <v>212</v>
      </c>
      <c r="G31" s="368">
        <v>1</v>
      </c>
      <c r="H31" s="368">
        <f>IF(TRUNC((AD32+AC32)/$AE$3,1)*$AE$3-AD32 &lt;0, AC32, TRUNC((AD32+AC32)/$AE$3,1)*$AE$3-AD32)</f>
        <v>165</v>
      </c>
      <c r="I31" s="369">
        <f>H31</f>
        <v>165</v>
      </c>
      <c r="J31" s="368">
        <v>1</v>
      </c>
      <c r="K31" s="368"/>
      <c r="L31" s="369" t="str">
        <f t="shared" si="11"/>
        <v/>
      </c>
      <c r="M31" s="368"/>
      <c r="N31" s="369" t="str">
        <f t="shared" si="12"/>
        <v/>
      </c>
      <c r="O31" s="368">
        <f t="shared" si="13"/>
        <v>165</v>
      </c>
      <c r="P31" s="368">
        <f t="shared" si="14"/>
        <v>165</v>
      </c>
      <c r="Q31" s="354"/>
    </row>
    <row r="32" spans="1:31" ht="23.25" customHeight="1">
      <c r="B32" s="344" t="s">
        <v>715</v>
      </c>
      <c r="D32" s="354" t="s">
        <v>216</v>
      </c>
      <c r="E32" s="354"/>
      <c r="F32" s="355"/>
      <c r="G32" s="368"/>
      <c r="H32" s="368"/>
      <c r="I32" s="369">
        <f>TRUNC(SUM(I24:I31))</f>
        <v>2334</v>
      </c>
      <c r="J32" s="368"/>
      <c r="K32" s="368"/>
      <c r="L32" s="369">
        <f>TRUNC(SUM(L24:L31))</f>
        <v>8253</v>
      </c>
      <c r="M32" s="368"/>
      <c r="N32" s="369">
        <f>TRUNC(SUM(N24:N31))</f>
        <v>0</v>
      </c>
      <c r="O32" s="368" t="str">
        <f t="shared" si="13"/>
        <v/>
      </c>
      <c r="P32" s="368">
        <f t="shared" si="14"/>
        <v>10587</v>
      </c>
      <c r="Q32" s="354"/>
      <c r="AC32" s="347">
        <f>TRUNC(AE32*옵션!$B$36/100,1)</f>
        <v>165</v>
      </c>
      <c r="AD32" s="347">
        <f>TRUNC(SUM(L24:L30))</f>
        <v>8253</v>
      </c>
      <c r="AE32" s="347">
        <f>TRUNC(SUM(AE24:AE31))</f>
        <v>8253</v>
      </c>
    </row>
    <row r="33" spans="1:31" ht="23.25" customHeight="1">
      <c r="D33" s="354"/>
      <c r="E33" s="354"/>
      <c r="F33" s="355"/>
      <c r="G33" s="368"/>
      <c r="H33" s="368"/>
      <c r="I33" s="369"/>
      <c r="J33" s="368"/>
      <c r="K33" s="368"/>
      <c r="L33" s="369"/>
      <c r="M33" s="368"/>
      <c r="N33" s="369"/>
      <c r="O33" s="368"/>
      <c r="P33" s="368"/>
      <c r="Q33" s="354"/>
    </row>
    <row r="34" spans="1:31" ht="23.25" customHeight="1">
      <c r="A34" s="344" t="s">
        <v>749</v>
      </c>
      <c r="B34" s="344" t="s">
        <v>1833</v>
      </c>
      <c r="C34" s="365" t="s">
        <v>1864</v>
      </c>
      <c r="D34" s="714" t="s">
        <v>1865</v>
      </c>
      <c r="E34" s="715"/>
      <c r="F34" s="355"/>
      <c r="G34" s="368"/>
      <c r="H34" s="368"/>
      <c r="I34" s="369"/>
      <c r="J34" s="368"/>
      <c r="K34" s="368"/>
      <c r="L34" s="369"/>
      <c r="M34" s="368"/>
      <c r="N34" s="369"/>
      <c r="O34" s="368"/>
      <c r="P34" s="368"/>
      <c r="Q34" s="354"/>
    </row>
    <row r="35" spans="1:31" ht="23.25" customHeight="1">
      <c r="A35" s="344" t="s">
        <v>1866</v>
      </c>
      <c r="B35" s="344" t="s">
        <v>1497</v>
      </c>
      <c r="C35" s="365" t="s">
        <v>1866</v>
      </c>
      <c r="D35" s="354" t="s">
        <v>1867</v>
      </c>
      <c r="E35" s="354" t="s">
        <v>1868</v>
      </c>
      <c r="F35" s="355" t="s">
        <v>262</v>
      </c>
      <c r="G35" s="368">
        <v>1</v>
      </c>
      <c r="H35" s="368">
        <f>합산자재!H103</f>
        <v>327609.10000000003</v>
      </c>
      <c r="I35" s="369">
        <f t="shared" ref="I35:I41" si="15">IF(G35*H35&lt;&gt;0, TRUNC(G35*H35, 1), "")</f>
        <v>327609.09999999998</v>
      </c>
      <c r="J35" s="368">
        <v>1</v>
      </c>
      <c r="K35" s="368">
        <f>합산자재!I103</f>
        <v>0</v>
      </c>
      <c r="L35" s="369" t="str">
        <f t="shared" ref="L35:L46" si="16">IF(G35*K35&lt;&gt;0, TRUNC(G35*K35, 1), "")</f>
        <v/>
      </c>
      <c r="M35" s="368">
        <f>합산자재!J103</f>
        <v>0</v>
      </c>
      <c r="N35" s="369" t="str">
        <f t="shared" ref="N35:N46" si="17">IF(G35*M35&lt;&gt;0, TRUNC(G35*M35, 1), "")</f>
        <v/>
      </c>
      <c r="O35" s="368">
        <f t="shared" ref="O35:O47" si="18">IF((H35+K35+M35)=0, "", (H35+K35+M35))</f>
        <v>327609.10000000003</v>
      </c>
      <c r="P35" s="368">
        <f t="shared" ref="P35:P47" si="19">IF(SUM(I35,L35,N35)&lt;&gt;0,SUM(I35,L35,N35),"")</f>
        <v>327609.09999999998</v>
      </c>
      <c r="Q35" s="354"/>
    </row>
    <row r="36" spans="1:31" ht="23.25" customHeight="1">
      <c r="A36" s="344" t="s">
        <v>1869</v>
      </c>
      <c r="B36" s="344" t="s">
        <v>1497</v>
      </c>
      <c r="C36" s="365" t="s">
        <v>1869</v>
      </c>
      <c r="D36" s="354" t="s">
        <v>1870</v>
      </c>
      <c r="E36" s="354" t="s">
        <v>357</v>
      </c>
      <c r="F36" s="355" t="s">
        <v>262</v>
      </c>
      <c r="G36" s="368">
        <v>1</v>
      </c>
      <c r="H36" s="368">
        <f>합산자재!H74</f>
        <v>194794.6</v>
      </c>
      <c r="I36" s="369">
        <f t="shared" si="15"/>
        <v>194794.6</v>
      </c>
      <c r="J36" s="368">
        <v>1</v>
      </c>
      <c r="K36" s="368">
        <f>합산자재!I74</f>
        <v>0</v>
      </c>
      <c r="L36" s="369" t="str">
        <f t="shared" si="16"/>
        <v/>
      </c>
      <c r="M36" s="368">
        <f>합산자재!J74</f>
        <v>0</v>
      </c>
      <c r="N36" s="369" t="str">
        <f t="shared" si="17"/>
        <v/>
      </c>
      <c r="O36" s="368">
        <f t="shared" si="18"/>
        <v>194794.6</v>
      </c>
      <c r="P36" s="368">
        <f t="shared" si="19"/>
        <v>194794.6</v>
      </c>
      <c r="Q36" s="354"/>
    </row>
    <row r="37" spans="1:31" ht="23.25" customHeight="1">
      <c r="A37" s="344" t="s">
        <v>1871</v>
      </c>
      <c r="B37" s="344" t="s">
        <v>1497</v>
      </c>
      <c r="C37" s="365" t="s">
        <v>1871</v>
      </c>
      <c r="D37" s="354" t="s">
        <v>337</v>
      </c>
      <c r="E37" s="354" t="s">
        <v>1872</v>
      </c>
      <c r="F37" s="355" t="s">
        <v>265</v>
      </c>
      <c r="G37" s="368">
        <v>1</v>
      </c>
      <c r="H37" s="368">
        <f>합산자재!H64</f>
        <v>2789.9899300000002</v>
      </c>
      <c r="I37" s="369">
        <f t="shared" si="15"/>
        <v>2789.9</v>
      </c>
      <c r="J37" s="368">
        <v>1</v>
      </c>
      <c r="K37" s="368">
        <f>합산자재!I64</f>
        <v>0</v>
      </c>
      <c r="L37" s="369" t="str">
        <f t="shared" si="16"/>
        <v/>
      </c>
      <c r="M37" s="368">
        <f>합산자재!J64</f>
        <v>0</v>
      </c>
      <c r="N37" s="369" t="str">
        <f t="shared" si="17"/>
        <v/>
      </c>
      <c r="O37" s="368">
        <f t="shared" si="18"/>
        <v>2789.9899300000002</v>
      </c>
      <c r="P37" s="368">
        <f t="shared" si="19"/>
        <v>2789.9</v>
      </c>
      <c r="Q37" s="354"/>
    </row>
    <row r="38" spans="1:31" ht="23.25" customHeight="1">
      <c r="A38" s="344" t="s">
        <v>1873</v>
      </c>
      <c r="B38" s="344" t="s">
        <v>1497</v>
      </c>
      <c r="C38" s="365" t="s">
        <v>1873</v>
      </c>
      <c r="D38" s="354" t="s">
        <v>268</v>
      </c>
      <c r="E38" s="354" t="s">
        <v>1874</v>
      </c>
      <c r="F38" s="355" t="s">
        <v>255</v>
      </c>
      <c r="G38" s="368">
        <v>5</v>
      </c>
      <c r="H38" s="368">
        <f>합산자재!H52</f>
        <v>4699.8624399999999</v>
      </c>
      <c r="I38" s="369">
        <f t="shared" si="15"/>
        <v>23499.3</v>
      </c>
      <c r="J38" s="368">
        <v>5</v>
      </c>
      <c r="K38" s="368">
        <f>합산자재!I52</f>
        <v>0</v>
      </c>
      <c r="L38" s="369" t="str">
        <f t="shared" si="16"/>
        <v/>
      </c>
      <c r="M38" s="368">
        <f>합산자재!J52</f>
        <v>0</v>
      </c>
      <c r="N38" s="369" t="str">
        <f t="shared" si="17"/>
        <v/>
      </c>
      <c r="O38" s="368">
        <f t="shared" si="18"/>
        <v>4699.8624399999999</v>
      </c>
      <c r="P38" s="368">
        <f t="shared" si="19"/>
        <v>23499.3</v>
      </c>
      <c r="Q38" s="354"/>
      <c r="AC38" s="347">
        <f>G38*H38</f>
        <v>23499.3122</v>
      </c>
    </row>
    <row r="39" spans="1:31" ht="23.25" customHeight="1">
      <c r="A39" s="344" t="s">
        <v>1875</v>
      </c>
      <c r="B39" s="344" t="s">
        <v>1497</v>
      </c>
      <c r="C39" s="365" t="s">
        <v>1875</v>
      </c>
      <c r="D39" s="354" t="s">
        <v>285</v>
      </c>
      <c r="E39" s="354" t="s">
        <v>286</v>
      </c>
      <c r="F39" s="355" t="s">
        <v>287</v>
      </c>
      <c r="G39" s="368">
        <v>6.48</v>
      </c>
      <c r="H39" s="368">
        <f>합산자재!H114</f>
        <v>333.80711000000002</v>
      </c>
      <c r="I39" s="369">
        <f t="shared" si="15"/>
        <v>2163</v>
      </c>
      <c r="J39" s="368">
        <v>6.48</v>
      </c>
      <c r="K39" s="368">
        <f>합산자재!I114</f>
        <v>804.8558700000001</v>
      </c>
      <c r="L39" s="369">
        <f t="shared" si="16"/>
        <v>5215.3999999999996</v>
      </c>
      <c r="M39" s="368">
        <f>합산자재!J114</f>
        <v>418.80839000000003</v>
      </c>
      <c r="N39" s="369">
        <f t="shared" si="17"/>
        <v>2713.8</v>
      </c>
      <c r="O39" s="368">
        <f t="shared" si="18"/>
        <v>1557.4713700000002</v>
      </c>
      <c r="P39" s="368">
        <f t="shared" si="19"/>
        <v>10092.200000000001</v>
      </c>
      <c r="Q39" s="354" t="s">
        <v>1876</v>
      </c>
      <c r="R39" s="347" t="s">
        <v>1877</v>
      </c>
    </row>
    <row r="40" spans="1:31" ht="23.25" customHeight="1">
      <c r="A40" s="344" t="s">
        <v>1878</v>
      </c>
      <c r="B40" s="344" t="s">
        <v>1497</v>
      </c>
      <c r="C40" s="365" t="s">
        <v>1878</v>
      </c>
      <c r="D40" s="354" t="s">
        <v>288</v>
      </c>
      <c r="E40" s="354" t="s">
        <v>286</v>
      </c>
      <c r="F40" s="355" t="s">
        <v>287</v>
      </c>
      <c r="G40" s="368">
        <v>3.3439999999999999</v>
      </c>
      <c r="H40" s="368">
        <f>합산자재!H115</f>
        <v>333.80711000000002</v>
      </c>
      <c r="I40" s="369">
        <f t="shared" si="15"/>
        <v>1116.2</v>
      </c>
      <c r="J40" s="368">
        <v>3.3439999999999999</v>
      </c>
      <c r="K40" s="368">
        <f>합산자재!I115</f>
        <v>804.8558700000001</v>
      </c>
      <c r="L40" s="369">
        <f t="shared" si="16"/>
        <v>2691.4</v>
      </c>
      <c r="M40" s="368">
        <f>합산자재!J115</f>
        <v>418.80839000000003</v>
      </c>
      <c r="N40" s="369">
        <f t="shared" si="17"/>
        <v>1400.4</v>
      </c>
      <c r="O40" s="368">
        <f t="shared" si="18"/>
        <v>1557.4713700000002</v>
      </c>
      <c r="P40" s="368">
        <f t="shared" si="19"/>
        <v>5208</v>
      </c>
      <c r="Q40" s="354" t="s">
        <v>1876</v>
      </c>
      <c r="R40" s="347" t="s">
        <v>1877</v>
      </c>
    </row>
    <row r="41" spans="1:31" ht="23.25" customHeight="1">
      <c r="A41" s="344" t="s">
        <v>1879</v>
      </c>
      <c r="B41" s="344" t="s">
        <v>1497</v>
      </c>
      <c r="C41" s="365" t="s">
        <v>1879</v>
      </c>
      <c r="D41" s="354" t="s">
        <v>1880</v>
      </c>
      <c r="E41" s="354" t="s">
        <v>1881</v>
      </c>
      <c r="F41" s="355" t="s">
        <v>1882</v>
      </c>
      <c r="G41" s="368">
        <v>136.80000000000001</v>
      </c>
      <c r="H41" s="368">
        <f>합산자재!H116</f>
        <v>240.83696</v>
      </c>
      <c r="I41" s="369">
        <f t="shared" si="15"/>
        <v>32946.400000000001</v>
      </c>
      <c r="J41" s="368">
        <v>136.80000000000001</v>
      </c>
      <c r="K41" s="368">
        <f>합산자재!I116</f>
        <v>512.66397000000006</v>
      </c>
      <c r="L41" s="369">
        <f t="shared" si="16"/>
        <v>70132.399999999994</v>
      </c>
      <c r="M41" s="368">
        <f>합산자재!J116</f>
        <v>302.81706000000003</v>
      </c>
      <c r="N41" s="369">
        <f t="shared" si="17"/>
        <v>41425.300000000003</v>
      </c>
      <c r="O41" s="368">
        <f t="shared" si="18"/>
        <v>1056.31799</v>
      </c>
      <c r="P41" s="368">
        <f t="shared" si="19"/>
        <v>144504.09999999998</v>
      </c>
      <c r="Q41" s="354" t="s">
        <v>1883</v>
      </c>
      <c r="R41" s="347" t="s">
        <v>1884</v>
      </c>
    </row>
    <row r="42" spans="1:31" ht="23.25" customHeight="1">
      <c r="A42" s="344" t="s">
        <v>1885</v>
      </c>
      <c r="B42" s="344" t="s">
        <v>1497</v>
      </c>
      <c r="C42" s="365" t="s">
        <v>1885</v>
      </c>
      <c r="D42" s="354" t="s">
        <v>1886</v>
      </c>
      <c r="E42" s="354" t="s">
        <v>1887</v>
      </c>
      <c r="F42" s="355" t="s">
        <v>212</v>
      </c>
      <c r="G42" s="368">
        <v>1</v>
      </c>
      <c r="H42" s="368">
        <f>IF(TRUNC((AD42+AC42)/$AD$3,1)*$AD$3-AD42 &lt;0, AC42, TRUNC((AD42+AC42)/$AD$3,1)*$AD$3-AD42)</f>
        <v>469.90000000002328</v>
      </c>
      <c r="I42" s="369">
        <f>H42</f>
        <v>469.90000000002328</v>
      </c>
      <c r="J42" s="368">
        <v>1</v>
      </c>
      <c r="K42" s="368"/>
      <c r="L42" s="369" t="str">
        <f t="shared" si="16"/>
        <v/>
      </c>
      <c r="M42" s="368"/>
      <c r="N42" s="369" t="str">
        <f t="shared" si="17"/>
        <v/>
      </c>
      <c r="O42" s="368">
        <f t="shared" si="18"/>
        <v>469.90000000002328</v>
      </c>
      <c r="P42" s="368">
        <f t="shared" si="19"/>
        <v>469.90000000002328</v>
      </c>
      <c r="Q42" s="354"/>
      <c r="AC42" s="347">
        <f>TRUNC(TRUNC(SUM(AC34:AC41))*옵션!$B$33/100,1)</f>
        <v>469.9</v>
      </c>
      <c r="AD42" s="347">
        <f>TRUNC(SUM(I34:I41))+TRUNC(SUM(N34:N41))</f>
        <v>630457</v>
      </c>
    </row>
    <row r="43" spans="1:31" ht="23.25" customHeight="1">
      <c r="A43" s="344" t="s">
        <v>1850</v>
      </c>
      <c r="B43" s="344" t="s">
        <v>1497</v>
      </c>
      <c r="C43" s="365" t="s">
        <v>1850</v>
      </c>
      <c r="D43" s="354" t="s">
        <v>1664</v>
      </c>
      <c r="E43" s="354" t="s">
        <v>1851</v>
      </c>
      <c r="F43" s="355" t="s">
        <v>1852</v>
      </c>
      <c r="G43" s="368">
        <f>일위노임!G19</f>
        <v>0.17</v>
      </c>
      <c r="H43" s="368">
        <f>합산자재!H120</f>
        <v>0</v>
      </c>
      <c r="I43" s="369" t="str">
        <f>IF(G43*H43&lt;&gt;0, TRUNC(G43*H43, 1), "")</f>
        <v/>
      </c>
      <c r="J43" s="368">
        <v>0.17</v>
      </c>
      <c r="K43" s="368">
        <f>합산자재!I120</f>
        <v>229252.87931000002</v>
      </c>
      <c r="L43" s="369">
        <f t="shared" si="16"/>
        <v>38972.9</v>
      </c>
      <c r="M43" s="368">
        <f>합산자재!J120</f>
        <v>0</v>
      </c>
      <c r="N43" s="369" t="str">
        <f t="shared" si="17"/>
        <v/>
      </c>
      <c r="O43" s="368">
        <f t="shared" si="18"/>
        <v>229252.87931000002</v>
      </c>
      <c r="P43" s="368">
        <f t="shared" si="19"/>
        <v>38972.9</v>
      </c>
      <c r="Q43" s="354"/>
      <c r="AE43" s="347">
        <f>L43</f>
        <v>38972.9</v>
      </c>
    </row>
    <row r="44" spans="1:31" ht="23.25" customHeight="1">
      <c r="A44" s="344" t="s">
        <v>1888</v>
      </c>
      <c r="B44" s="344" t="s">
        <v>1497</v>
      </c>
      <c r="C44" s="365" t="s">
        <v>1888</v>
      </c>
      <c r="D44" s="354" t="s">
        <v>1664</v>
      </c>
      <c r="E44" s="354" t="s">
        <v>1889</v>
      </c>
      <c r="F44" s="355" t="s">
        <v>1852</v>
      </c>
      <c r="G44" s="368">
        <f>일위노임!G20</f>
        <v>0.44</v>
      </c>
      <c r="H44" s="368">
        <f>합산자재!H125</f>
        <v>0</v>
      </c>
      <c r="I44" s="369" t="str">
        <f>IF(G44*H44&lt;&gt;0, TRUNC(G44*H44, 1), "")</f>
        <v/>
      </c>
      <c r="J44" s="368">
        <v>0.44</v>
      </c>
      <c r="K44" s="368">
        <f>합산자재!I125</f>
        <v>131495.20930000002</v>
      </c>
      <c r="L44" s="369">
        <f t="shared" si="16"/>
        <v>57857.8</v>
      </c>
      <c r="M44" s="368">
        <f>합산자재!J125</f>
        <v>0</v>
      </c>
      <c r="N44" s="369" t="str">
        <f t="shared" si="17"/>
        <v/>
      </c>
      <c r="O44" s="368">
        <f t="shared" si="18"/>
        <v>131495.20930000002</v>
      </c>
      <c r="P44" s="368">
        <f t="shared" si="19"/>
        <v>57857.8</v>
      </c>
      <c r="Q44" s="354"/>
      <c r="AE44" s="347">
        <f>L44</f>
        <v>57857.8</v>
      </c>
    </row>
    <row r="45" spans="1:31" ht="23.25" customHeight="1">
      <c r="A45" s="344" t="s">
        <v>1890</v>
      </c>
      <c r="B45" s="344" t="s">
        <v>1497</v>
      </c>
      <c r="C45" s="365" t="s">
        <v>1890</v>
      </c>
      <c r="D45" s="354" t="s">
        <v>1664</v>
      </c>
      <c r="E45" s="354" t="s">
        <v>1891</v>
      </c>
      <c r="F45" s="355" t="s">
        <v>1852</v>
      </c>
      <c r="G45" s="368">
        <f>일위노임!G21</f>
        <v>1.63</v>
      </c>
      <c r="H45" s="368">
        <f>합산자재!H126</f>
        <v>0</v>
      </c>
      <c r="I45" s="369" t="str">
        <f>IF(G45*H45&lt;&gt;0, TRUNC(G45*H45, 1), "")</f>
        <v/>
      </c>
      <c r="J45" s="368">
        <v>1.63</v>
      </c>
      <c r="K45" s="368">
        <f>합산자재!I126</f>
        <v>165960.57205000002</v>
      </c>
      <c r="L45" s="369">
        <f t="shared" si="16"/>
        <v>270515.7</v>
      </c>
      <c r="M45" s="368">
        <f>합산자재!J126</f>
        <v>0</v>
      </c>
      <c r="N45" s="369" t="str">
        <f t="shared" si="17"/>
        <v/>
      </c>
      <c r="O45" s="368">
        <f t="shared" si="18"/>
        <v>165960.57205000002</v>
      </c>
      <c r="P45" s="368">
        <f t="shared" si="19"/>
        <v>270515.7</v>
      </c>
      <c r="Q45" s="354"/>
      <c r="AE45" s="347">
        <f>L45</f>
        <v>270515.7</v>
      </c>
    </row>
    <row r="46" spans="1:31" ht="23.25" customHeight="1">
      <c r="A46" s="344" t="s">
        <v>1853</v>
      </c>
      <c r="B46" s="344" t="s">
        <v>1497</v>
      </c>
      <c r="C46" s="365" t="s">
        <v>1853</v>
      </c>
      <c r="D46" s="354" t="s">
        <v>1854</v>
      </c>
      <c r="E46" s="354" t="s">
        <v>1855</v>
      </c>
      <c r="F46" s="355" t="s">
        <v>212</v>
      </c>
      <c r="G46" s="368">
        <v>1</v>
      </c>
      <c r="H46" s="368">
        <f>IF(TRUNC((AD47+AC47)/$AE$3,1)*$AE$3-AD47 &lt;0, AC47, TRUNC((AD47+AC47)/$AE$3,1)*$AE$3-AD47)</f>
        <v>7346.9000000000233</v>
      </c>
      <c r="I46" s="369">
        <f>H46</f>
        <v>7346.9000000000233</v>
      </c>
      <c r="J46" s="368">
        <v>1</v>
      </c>
      <c r="K46" s="368"/>
      <c r="L46" s="369" t="str">
        <f t="shared" si="16"/>
        <v/>
      </c>
      <c r="M46" s="368"/>
      <c r="N46" s="369" t="str">
        <f t="shared" si="17"/>
        <v/>
      </c>
      <c r="O46" s="368">
        <f t="shared" si="18"/>
        <v>7346.9000000000233</v>
      </c>
      <c r="P46" s="368">
        <f t="shared" si="19"/>
        <v>7346.9000000000233</v>
      </c>
      <c r="Q46" s="354"/>
    </row>
    <row r="47" spans="1:31" ht="23.25" customHeight="1">
      <c r="B47" s="344" t="s">
        <v>715</v>
      </c>
      <c r="D47" s="354" t="s">
        <v>216</v>
      </c>
      <c r="E47" s="354"/>
      <c r="F47" s="355"/>
      <c r="G47" s="368"/>
      <c r="H47" s="368"/>
      <c r="I47" s="369">
        <f>TRUNC(SUM(I34:I46))</f>
        <v>592735</v>
      </c>
      <c r="J47" s="368"/>
      <c r="K47" s="368"/>
      <c r="L47" s="369">
        <f>TRUNC(SUM(L34:L46))</f>
        <v>445385</v>
      </c>
      <c r="M47" s="368"/>
      <c r="N47" s="369">
        <f>TRUNC(SUM(N34:N46))</f>
        <v>45539</v>
      </c>
      <c r="O47" s="368" t="str">
        <f t="shared" si="18"/>
        <v/>
      </c>
      <c r="P47" s="368">
        <f t="shared" si="19"/>
        <v>1083659</v>
      </c>
      <c r="Q47" s="354"/>
      <c r="AC47" s="347">
        <f>TRUNC(AE47*옵션!$B$36/100,1)</f>
        <v>7346.9</v>
      </c>
      <c r="AD47" s="347">
        <f>TRUNC(SUM(L34:L45))</f>
        <v>445385</v>
      </c>
      <c r="AE47" s="347">
        <f>TRUNC(SUM(AE34:AE46))</f>
        <v>367346</v>
      </c>
    </row>
    <row r="48" spans="1:31" ht="23.25" customHeight="1">
      <c r="D48" s="354"/>
      <c r="E48" s="354"/>
      <c r="F48" s="355"/>
      <c r="G48" s="368"/>
      <c r="H48" s="368"/>
      <c r="I48" s="369"/>
      <c r="J48" s="368"/>
      <c r="K48" s="368"/>
      <c r="L48" s="369"/>
      <c r="M48" s="368"/>
      <c r="N48" s="369"/>
      <c r="O48" s="368"/>
      <c r="P48" s="368"/>
      <c r="Q48" s="354"/>
    </row>
    <row r="49" spans="1:31" ht="23.25" customHeight="1">
      <c r="A49" s="344" t="s">
        <v>817</v>
      </c>
      <c r="B49" s="344" t="s">
        <v>1833</v>
      </c>
      <c r="C49" s="365" t="s">
        <v>1892</v>
      </c>
      <c r="D49" s="714" t="s">
        <v>1893</v>
      </c>
      <c r="E49" s="715"/>
      <c r="F49" s="355"/>
      <c r="G49" s="368"/>
      <c r="H49" s="368"/>
      <c r="I49" s="369"/>
      <c r="J49" s="368"/>
      <c r="K49" s="368"/>
      <c r="L49" s="369"/>
      <c r="M49" s="368"/>
      <c r="N49" s="369"/>
      <c r="O49" s="368"/>
      <c r="P49" s="368"/>
      <c r="Q49" s="354"/>
    </row>
    <row r="50" spans="1:31" ht="23.25" customHeight="1">
      <c r="A50" s="344" t="s">
        <v>1894</v>
      </c>
      <c r="B50" s="344" t="s">
        <v>1499</v>
      </c>
      <c r="C50" s="365" t="s">
        <v>1894</v>
      </c>
      <c r="D50" s="354" t="s">
        <v>337</v>
      </c>
      <c r="E50" s="354" t="s">
        <v>1895</v>
      </c>
      <c r="F50" s="355" t="s">
        <v>265</v>
      </c>
      <c r="G50" s="368">
        <v>3</v>
      </c>
      <c r="H50" s="368">
        <f>합산자재!H65</f>
        <v>4223.5011000000004</v>
      </c>
      <c r="I50" s="369">
        <f t="shared" ref="I50:I56" si="20">IF(G50*H50&lt;&gt;0, TRUNC(G50*H50, 1), "")</f>
        <v>12670.5</v>
      </c>
      <c r="J50" s="368">
        <v>3</v>
      </c>
      <c r="K50" s="368">
        <f>합산자재!I65</f>
        <v>0</v>
      </c>
      <c r="L50" s="369" t="str">
        <f t="shared" ref="L50:L57" si="21">IF(G50*K50&lt;&gt;0, TRUNC(G50*K50, 1), "")</f>
        <v/>
      </c>
      <c r="M50" s="368">
        <f>합산자재!J65</f>
        <v>0</v>
      </c>
      <c r="N50" s="369" t="str">
        <f t="shared" ref="N50:N57" si="22">IF(G50*M50&lt;&gt;0, TRUNC(G50*M50, 1), "")</f>
        <v/>
      </c>
      <c r="O50" s="368">
        <f t="shared" ref="O50:O58" si="23">IF((H50+K50+M50)=0, "", (H50+K50+M50))</f>
        <v>4223.5011000000004</v>
      </c>
      <c r="P50" s="368">
        <f t="shared" ref="P50:P58" si="24">IF(SUM(I50,L50,N50)&lt;&gt;0,SUM(I50,L50,N50),"")</f>
        <v>12670.5</v>
      </c>
      <c r="Q50" s="354"/>
    </row>
    <row r="51" spans="1:31" ht="23.25" customHeight="1">
      <c r="A51" s="344" t="s">
        <v>1896</v>
      </c>
      <c r="B51" s="344" t="s">
        <v>1499</v>
      </c>
      <c r="C51" s="365" t="s">
        <v>1896</v>
      </c>
      <c r="D51" s="354" t="s">
        <v>1897</v>
      </c>
      <c r="E51" s="354" t="s">
        <v>1898</v>
      </c>
      <c r="F51" s="355" t="s">
        <v>265</v>
      </c>
      <c r="G51" s="368">
        <v>3</v>
      </c>
      <c r="H51" s="368">
        <f>합산자재!H66</f>
        <v>696.83341000000007</v>
      </c>
      <c r="I51" s="369">
        <f t="shared" si="20"/>
        <v>2090.5</v>
      </c>
      <c r="J51" s="368">
        <v>3</v>
      </c>
      <c r="K51" s="368">
        <f>합산자재!I66</f>
        <v>0</v>
      </c>
      <c r="L51" s="369" t="str">
        <f t="shared" si="21"/>
        <v/>
      </c>
      <c r="M51" s="368">
        <f>합산자재!J66</f>
        <v>0</v>
      </c>
      <c r="N51" s="369" t="str">
        <f t="shared" si="22"/>
        <v/>
      </c>
      <c r="O51" s="368">
        <f t="shared" si="23"/>
        <v>696.83341000000007</v>
      </c>
      <c r="P51" s="368">
        <f t="shared" si="24"/>
        <v>2090.5</v>
      </c>
      <c r="Q51" s="354"/>
    </row>
    <row r="52" spans="1:31" ht="23.25" customHeight="1">
      <c r="A52" s="344" t="s">
        <v>1875</v>
      </c>
      <c r="B52" s="344" t="s">
        <v>1499</v>
      </c>
      <c r="C52" s="365" t="s">
        <v>1875</v>
      </c>
      <c r="D52" s="354" t="s">
        <v>285</v>
      </c>
      <c r="E52" s="354" t="s">
        <v>286</v>
      </c>
      <c r="F52" s="355" t="s">
        <v>287</v>
      </c>
      <c r="G52" s="368">
        <v>3</v>
      </c>
      <c r="H52" s="368">
        <f>합산자재!H114</f>
        <v>333.80711000000002</v>
      </c>
      <c r="I52" s="369">
        <f t="shared" si="20"/>
        <v>1001.4</v>
      </c>
      <c r="J52" s="368">
        <v>3</v>
      </c>
      <c r="K52" s="368">
        <f>합산자재!I114</f>
        <v>804.8558700000001</v>
      </c>
      <c r="L52" s="369">
        <f t="shared" si="21"/>
        <v>2414.5</v>
      </c>
      <c r="M52" s="368">
        <f>합산자재!J114</f>
        <v>418.80839000000003</v>
      </c>
      <c r="N52" s="369">
        <f t="shared" si="22"/>
        <v>1256.4000000000001</v>
      </c>
      <c r="O52" s="368">
        <f t="shared" si="23"/>
        <v>1557.4713700000002</v>
      </c>
      <c r="P52" s="368">
        <f t="shared" si="24"/>
        <v>4672.3</v>
      </c>
      <c r="Q52" s="354" t="s">
        <v>1876</v>
      </c>
      <c r="R52" s="347" t="s">
        <v>1877</v>
      </c>
    </row>
    <row r="53" spans="1:31" ht="23.25" customHeight="1">
      <c r="A53" s="344" t="s">
        <v>1878</v>
      </c>
      <c r="B53" s="344" t="s">
        <v>1499</v>
      </c>
      <c r="C53" s="365" t="s">
        <v>1878</v>
      </c>
      <c r="D53" s="354" t="s">
        <v>288</v>
      </c>
      <c r="E53" s="354" t="s">
        <v>286</v>
      </c>
      <c r="F53" s="355" t="s">
        <v>287</v>
      </c>
      <c r="G53" s="368">
        <v>3</v>
      </c>
      <c r="H53" s="368">
        <f>합산자재!H115</f>
        <v>333.80711000000002</v>
      </c>
      <c r="I53" s="369">
        <f t="shared" si="20"/>
        <v>1001.4</v>
      </c>
      <c r="J53" s="368">
        <v>3</v>
      </c>
      <c r="K53" s="368">
        <f>합산자재!I115</f>
        <v>804.8558700000001</v>
      </c>
      <c r="L53" s="369">
        <f t="shared" si="21"/>
        <v>2414.5</v>
      </c>
      <c r="M53" s="368">
        <f>합산자재!J115</f>
        <v>418.80839000000003</v>
      </c>
      <c r="N53" s="369">
        <f t="shared" si="22"/>
        <v>1256.4000000000001</v>
      </c>
      <c r="O53" s="368">
        <f t="shared" si="23"/>
        <v>1557.4713700000002</v>
      </c>
      <c r="P53" s="368">
        <f t="shared" si="24"/>
        <v>4672.3</v>
      </c>
      <c r="Q53" s="354" t="s">
        <v>1876</v>
      </c>
      <c r="R53" s="347" t="s">
        <v>1877</v>
      </c>
    </row>
    <row r="54" spans="1:31" ht="23.25" customHeight="1">
      <c r="A54" s="344" t="s">
        <v>1899</v>
      </c>
      <c r="B54" s="344" t="s">
        <v>1499</v>
      </c>
      <c r="C54" s="365" t="s">
        <v>1899</v>
      </c>
      <c r="D54" s="354" t="s">
        <v>1900</v>
      </c>
      <c r="E54" s="354" t="s">
        <v>1901</v>
      </c>
      <c r="F54" s="355" t="s">
        <v>265</v>
      </c>
      <c r="G54" s="368">
        <v>3</v>
      </c>
      <c r="H54" s="368">
        <f>합산자재!H67</f>
        <v>9297.0150000000012</v>
      </c>
      <c r="I54" s="369">
        <f t="shared" si="20"/>
        <v>27891</v>
      </c>
      <c r="J54" s="368">
        <v>3</v>
      </c>
      <c r="K54" s="368">
        <f>합산자재!I67</f>
        <v>0</v>
      </c>
      <c r="L54" s="369" t="str">
        <f t="shared" si="21"/>
        <v/>
      </c>
      <c r="M54" s="368">
        <f>합산자재!J67</f>
        <v>0</v>
      </c>
      <c r="N54" s="369" t="str">
        <f t="shared" si="22"/>
        <v/>
      </c>
      <c r="O54" s="368">
        <f t="shared" si="23"/>
        <v>9297.0150000000012</v>
      </c>
      <c r="P54" s="368">
        <f t="shared" si="24"/>
        <v>27891</v>
      </c>
      <c r="Q54" s="354"/>
    </row>
    <row r="55" spans="1:31" ht="23.25" customHeight="1">
      <c r="A55" s="344" t="s">
        <v>1850</v>
      </c>
      <c r="B55" s="344" t="s">
        <v>1499</v>
      </c>
      <c r="C55" s="365" t="s">
        <v>1850</v>
      </c>
      <c r="D55" s="354" t="s">
        <v>1664</v>
      </c>
      <c r="E55" s="354" t="s">
        <v>1851</v>
      </c>
      <c r="F55" s="355" t="s">
        <v>1852</v>
      </c>
      <c r="G55" s="368">
        <f>일위노임!G25</f>
        <v>0.33</v>
      </c>
      <c r="H55" s="368">
        <f>합산자재!H120</f>
        <v>0</v>
      </c>
      <c r="I55" s="369" t="str">
        <f t="shared" si="20"/>
        <v/>
      </c>
      <c r="J55" s="368">
        <v>0.33</v>
      </c>
      <c r="K55" s="368">
        <f>합산자재!I120</f>
        <v>229252.87931000002</v>
      </c>
      <c r="L55" s="369">
        <f t="shared" si="21"/>
        <v>75653.399999999994</v>
      </c>
      <c r="M55" s="368">
        <f>합산자재!J120</f>
        <v>0</v>
      </c>
      <c r="N55" s="369" t="str">
        <f t="shared" si="22"/>
        <v/>
      </c>
      <c r="O55" s="368">
        <f t="shared" si="23"/>
        <v>229252.87931000002</v>
      </c>
      <c r="P55" s="368">
        <f t="shared" si="24"/>
        <v>75653.399999999994</v>
      </c>
      <c r="Q55" s="354"/>
      <c r="AE55" s="347">
        <f>L55</f>
        <v>75653.399999999994</v>
      </c>
    </row>
    <row r="56" spans="1:31" ht="23.25" customHeight="1">
      <c r="A56" s="344" t="s">
        <v>1888</v>
      </c>
      <c r="B56" s="344" t="s">
        <v>1499</v>
      </c>
      <c r="C56" s="365" t="s">
        <v>1888</v>
      </c>
      <c r="D56" s="354" t="s">
        <v>1664</v>
      </c>
      <c r="E56" s="354" t="s">
        <v>1889</v>
      </c>
      <c r="F56" s="355" t="s">
        <v>1852</v>
      </c>
      <c r="G56" s="368">
        <f>일위노임!G26</f>
        <v>0.24</v>
      </c>
      <c r="H56" s="368">
        <f>합산자재!H125</f>
        <v>0</v>
      </c>
      <c r="I56" s="369" t="str">
        <f t="shared" si="20"/>
        <v/>
      </c>
      <c r="J56" s="368">
        <v>0.24</v>
      </c>
      <c r="K56" s="368">
        <f>합산자재!I125</f>
        <v>131495.20930000002</v>
      </c>
      <c r="L56" s="369">
        <f t="shared" si="21"/>
        <v>31558.799999999999</v>
      </c>
      <c r="M56" s="368">
        <f>합산자재!J125</f>
        <v>0</v>
      </c>
      <c r="N56" s="369" t="str">
        <f t="shared" si="22"/>
        <v/>
      </c>
      <c r="O56" s="368">
        <f t="shared" si="23"/>
        <v>131495.20930000002</v>
      </c>
      <c r="P56" s="368">
        <f t="shared" si="24"/>
        <v>31558.799999999999</v>
      </c>
      <c r="Q56" s="354"/>
      <c r="AE56" s="347">
        <f>L56</f>
        <v>31558.799999999999</v>
      </c>
    </row>
    <row r="57" spans="1:31" ht="23.25" customHeight="1">
      <c r="A57" s="344" t="s">
        <v>1853</v>
      </c>
      <c r="B57" s="344" t="s">
        <v>1499</v>
      </c>
      <c r="C57" s="365" t="s">
        <v>1853</v>
      </c>
      <c r="D57" s="354" t="s">
        <v>1854</v>
      </c>
      <c r="E57" s="354" t="s">
        <v>1855</v>
      </c>
      <c r="F57" s="355" t="s">
        <v>212</v>
      </c>
      <c r="G57" s="368">
        <v>1</v>
      </c>
      <c r="H57" s="368">
        <f>IF(TRUNC((AD58+AC58)/$AE$3,1)*$AE$3-AD58 &lt;0, AC58, TRUNC((AD58+AC58)/$AE$3,1)*$AE$3-AD58)</f>
        <v>2144.1999999999971</v>
      </c>
      <c r="I57" s="369">
        <f>H57</f>
        <v>2144.1999999999971</v>
      </c>
      <c r="J57" s="368">
        <v>1</v>
      </c>
      <c r="K57" s="368"/>
      <c r="L57" s="369" t="str">
        <f t="shared" si="21"/>
        <v/>
      </c>
      <c r="M57" s="368"/>
      <c r="N57" s="369" t="str">
        <f t="shared" si="22"/>
        <v/>
      </c>
      <c r="O57" s="368">
        <f t="shared" si="23"/>
        <v>2144.1999999999971</v>
      </c>
      <c r="P57" s="368">
        <f t="shared" si="24"/>
        <v>2144.1999999999971</v>
      </c>
      <c r="Q57" s="354"/>
    </row>
    <row r="58" spans="1:31" ht="23.25" customHeight="1">
      <c r="B58" s="344" t="s">
        <v>715</v>
      </c>
      <c r="D58" s="354" t="s">
        <v>216</v>
      </c>
      <c r="E58" s="354"/>
      <c r="F58" s="355"/>
      <c r="G58" s="368"/>
      <c r="H58" s="368"/>
      <c r="I58" s="369">
        <f>TRUNC(SUM(I49:I57))</f>
        <v>46799</v>
      </c>
      <c r="J58" s="368"/>
      <c r="K58" s="368"/>
      <c r="L58" s="369">
        <f>TRUNC(SUM(L49:L57))</f>
        <v>112041</v>
      </c>
      <c r="M58" s="368"/>
      <c r="N58" s="369">
        <f>TRUNC(SUM(N49:N57))</f>
        <v>2512</v>
      </c>
      <c r="O58" s="368" t="str">
        <f t="shared" si="23"/>
        <v/>
      </c>
      <c r="P58" s="368">
        <f t="shared" si="24"/>
        <v>161352</v>
      </c>
      <c r="Q58" s="354"/>
      <c r="AC58" s="347">
        <f>TRUNC(AE58*옵션!$B$36/100,1)</f>
        <v>2144.1999999999998</v>
      </c>
      <c r="AD58" s="347">
        <f>TRUNC(SUM(L49:L56))</f>
        <v>112041</v>
      </c>
      <c r="AE58" s="347">
        <f>TRUNC(SUM(AE49:AE57))</f>
        <v>107212</v>
      </c>
    </row>
    <row r="59" spans="1:31" ht="23.25" customHeight="1">
      <c r="D59" s="354"/>
      <c r="E59" s="354"/>
      <c r="F59" s="355"/>
      <c r="G59" s="368"/>
      <c r="H59" s="368"/>
      <c r="I59" s="369"/>
      <c r="J59" s="368"/>
      <c r="K59" s="368"/>
      <c r="L59" s="369"/>
      <c r="M59" s="368"/>
      <c r="N59" s="369"/>
      <c r="O59" s="368"/>
      <c r="P59" s="368"/>
      <c r="Q59" s="354"/>
    </row>
    <row r="60" spans="1:31" ht="23.25" customHeight="1">
      <c r="A60" s="344" t="s">
        <v>656</v>
      </c>
      <c r="B60" s="344" t="s">
        <v>1833</v>
      </c>
      <c r="C60" s="365" t="s">
        <v>1902</v>
      </c>
      <c r="D60" s="714" t="s">
        <v>1903</v>
      </c>
      <c r="E60" s="715"/>
      <c r="F60" s="355"/>
      <c r="G60" s="368"/>
      <c r="H60" s="368"/>
      <c r="I60" s="369"/>
      <c r="J60" s="368"/>
      <c r="K60" s="368"/>
      <c r="L60" s="369"/>
      <c r="M60" s="368"/>
      <c r="N60" s="369"/>
      <c r="O60" s="368"/>
      <c r="P60" s="368"/>
      <c r="Q60" s="354"/>
    </row>
    <row r="61" spans="1:31" ht="23.25" customHeight="1">
      <c r="A61" s="344" t="s">
        <v>1904</v>
      </c>
      <c r="B61" s="344" t="s">
        <v>1500</v>
      </c>
      <c r="C61" s="365" t="s">
        <v>1904</v>
      </c>
      <c r="D61" s="354" t="s">
        <v>1905</v>
      </c>
      <c r="E61" s="354" t="s">
        <v>1906</v>
      </c>
      <c r="F61" s="355" t="s">
        <v>265</v>
      </c>
      <c r="G61" s="368">
        <v>1</v>
      </c>
      <c r="H61" s="368">
        <f>합산자재!H63</f>
        <v>125819.603</v>
      </c>
      <c r="I61" s="369">
        <f>IF(G61*H61&lt;&gt;0, TRUNC(G61*H61, 1), "")</f>
        <v>125819.6</v>
      </c>
      <c r="J61" s="368">
        <v>1</v>
      </c>
      <c r="K61" s="368">
        <f>합산자재!I63</f>
        <v>0</v>
      </c>
      <c r="L61" s="369" t="str">
        <f t="shared" ref="L61:L66" si="25">IF(G61*K61&lt;&gt;0, TRUNC(G61*K61, 1), "")</f>
        <v/>
      </c>
      <c r="M61" s="368">
        <f>합산자재!J63</f>
        <v>0</v>
      </c>
      <c r="N61" s="369" t="str">
        <f t="shared" ref="N61:N66" si="26">IF(G61*M61&lt;&gt;0, TRUNC(G61*M61, 1), "")</f>
        <v/>
      </c>
      <c r="O61" s="368">
        <f t="shared" ref="O61:O67" si="27">IF((H61+K61+M61)=0, "", (H61+K61+M61))</f>
        <v>125819.603</v>
      </c>
      <c r="P61" s="368">
        <f t="shared" ref="P61:P67" si="28">IF(SUM(I61,L61,N61)&lt;&gt;0,SUM(I61,L61,N61),"")</f>
        <v>125819.6</v>
      </c>
      <c r="Q61" s="354"/>
    </row>
    <row r="62" spans="1:31" ht="23.25" customHeight="1">
      <c r="A62" s="344" t="s">
        <v>1907</v>
      </c>
      <c r="B62" s="344" t="s">
        <v>1500</v>
      </c>
      <c r="C62" s="365" t="s">
        <v>1907</v>
      </c>
      <c r="D62" s="354" t="s">
        <v>1908</v>
      </c>
      <c r="E62" s="354" t="s">
        <v>1909</v>
      </c>
      <c r="F62" s="355" t="s">
        <v>1882</v>
      </c>
      <c r="G62" s="368">
        <v>25.8</v>
      </c>
      <c r="H62" s="368">
        <f>합산자재!H118</f>
        <v>69.948970000000003</v>
      </c>
      <c r="I62" s="369">
        <f>IF(G62*H62&lt;&gt;0, TRUNC(G62*H62, 1), "")</f>
        <v>1804.6</v>
      </c>
      <c r="J62" s="368">
        <v>25.8</v>
      </c>
      <c r="K62" s="368">
        <f>합산자재!I118</f>
        <v>379.84947</v>
      </c>
      <c r="L62" s="369">
        <f t="shared" si="25"/>
        <v>9800.1</v>
      </c>
      <c r="M62" s="368">
        <f>합산자재!J118</f>
        <v>185.05487000000002</v>
      </c>
      <c r="N62" s="369">
        <f t="shared" si="26"/>
        <v>4774.3999999999996</v>
      </c>
      <c r="O62" s="368">
        <f t="shared" si="27"/>
        <v>634.85331000000008</v>
      </c>
      <c r="P62" s="368">
        <f t="shared" si="28"/>
        <v>16379.1</v>
      </c>
      <c r="Q62" s="354"/>
      <c r="R62" s="347" t="s">
        <v>1884</v>
      </c>
    </row>
    <row r="63" spans="1:31" ht="23.25" customHeight="1">
      <c r="A63" s="344" t="s">
        <v>1910</v>
      </c>
      <c r="B63" s="344" t="s">
        <v>1500</v>
      </c>
      <c r="C63" s="365" t="s">
        <v>1910</v>
      </c>
      <c r="D63" s="354" t="s">
        <v>1821</v>
      </c>
      <c r="E63" s="354" t="s">
        <v>1911</v>
      </c>
      <c r="F63" s="355" t="s">
        <v>1882</v>
      </c>
      <c r="G63" s="368">
        <v>6.1920000000000002</v>
      </c>
      <c r="H63" s="368">
        <f>합산자재!H119</f>
        <v>16.823170000000001</v>
      </c>
      <c r="I63" s="369">
        <f>IF(G63*H63&lt;&gt;0, TRUNC(G63*H63, 1), "")</f>
        <v>104.1</v>
      </c>
      <c r="J63" s="368">
        <v>6.1920000000000002</v>
      </c>
      <c r="K63" s="368">
        <f>합산자재!I119</f>
        <v>326.72367000000003</v>
      </c>
      <c r="L63" s="369">
        <f t="shared" si="25"/>
        <v>2023</v>
      </c>
      <c r="M63" s="368">
        <f>합산자재!J119</f>
        <v>7.0834400000000004</v>
      </c>
      <c r="N63" s="369">
        <f t="shared" si="26"/>
        <v>43.8</v>
      </c>
      <c r="O63" s="368">
        <f t="shared" si="27"/>
        <v>350.63028000000003</v>
      </c>
      <c r="P63" s="368">
        <f t="shared" si="28"/>
        <v>2170.9</v>
      </c>
      <c r="Q63" s="354" t="s">
        <v>1912</v>
      </c>
      <c r="R63" s="347" t="s">
        <v>1884</v>
      </c>
    </row>
    <row r="64" spans="1:31" ht="23.25" customHeight="1">
      <c r="A64" s="344" t="s">
        <v>1850</v>
      </c>
      <c r="B64" s="344" t="s">
        <v>1500</v>
      </c>
      <c r="C64" s="365" t="s">
        <v>1850</v>
      </c>
      <c r="D64" s="354" t="s">
        <v>1664</v>
      </c>
      <c r="E64" s="354" t="s">
        <v>1851</v>
      </c>
      <c r="F64" s="355" t="s">
        <v>1852</v>
      </c>
      <c r="G64" s="368">
        <f>일위노임!G30</f>
        <v>0.08</v>
      </c>
      <c r="H64" s="368">
        <f>합산자재!H120</f>
        <v>0</v>
      </c>
      <c r="I64" s="369" t="str">
        <f>IF(G64*H64&lt;&gt;0, TRUNC(G64*H64, 1), "")</f>
        <v/>
      </c>
      <c r="J64" s="368">
        <v>0.08</v>
      </c>
      <c r="K64" s="368">
        <f>합산자재!I120</f>
        <v>229252.87931000002</v>
      </c>
      <c r="L64" s="369">
        <f t="shared" si="25"/>
        <v>18340.2</v>
      </c>
      <c r="M64" s="368">
        <f>합산자재!J120</f>
        <v>0</v>
      </c>
      <c r="N64" s="369" t="str">
        <f t="shared" si="26"/>
        <v/>
      </c>
      <c r="O64" s="368">
        <f t="shared" si="27"/>
        <v>229252.87931000002</v>
      </c>
      <c r="P64" s="368">
        <f t="shared" si="28"/>
        <v>18340.2</v>
      </c>
      <c r="Q64" s="354"/>
      <c r="AE64" s="347">
        <f>L64</f>
        <v>18340.2</v>
      </c>
    </row>
    <row r="65" spans="1:31" ht="23.25" customHeight="1">
      <c r="A65" s="344" t="s">
        <v>1888</v>
      </c>
      <c r="B65" s="344" t="s">
        <v>1500</v>
      </c>
      <c r="C65" s="365" t="s">
        <v>1888</v>
      </c>
      <c r="D65" s="354" t="s">
        <v>1664</v>
      </c>
      <c r="E65" s="354" t="s">
        <v>1889</v>
      </c>
      <c r="F65" s="355" t="s">
        <v>1852</v>
      </c>
      <c r="G65" s="368">
        <f>일위노임!G31</f>
        <v>0.19</v>
      </c>
      <c r="H65" s="368">
        <f>합산자재!H125</f>
        <v>0</v>
      </c>
      <c r="I65" s="369" t="str">
        <f>IF(G65*H65&lt;&gt;0, TRUNC(G65*H65, 1), "")</f>
        <v/>
      </c>
      <c r="J65" s="368">
        <v>0.19</v>
      </c>
      <c r="K65" s="368">
        <f>합산자재!I125</f>
        <v>131495.20930000002</v>
      </c>
      <c r="L65" s="369">
        <f t="shared" si="25"/>
        <v>24984</v>
      </c>
      <c r="M65" s="368">
        <f>합산자재!J125</f>
        <v>0</v>
      </c>
      <c r="N65" s="369" t="str">
        <f t="shared" si="26"/>
        <v/>
      </c>
      <c r="O65" s="368">
        <f t="shared" si="27"/>
        <v>131495.20930000002</v>
      </c>
      <c r="P65" s="368">
        <f t="shared" si="28"/>
        <v>24984</v>
      </c>
      <c r="Q65" s="354"/>
      <c r="AE65" s="347">
        <f>L65</f>
        <v>24984</v>
      </c>
    </row>
    <row r="66" spans="1:31" ht="23.25" customHeight="1">
      <c r="A66" s="344" t="s">
        <v>1853</v>
      </c>
      <c r="B66" s="344" t="s">
        <v>1500</v>
      </c>
      <c r="C66" s="365" t="s">
        <v>1853</v>
      </c>
      <c r="D66" s="354" t="s">
        <v>1854</v>
      </c>
      <c r="E66" s="354" t="s">
        <v>1855</v>
      </c>
      <c r="F66" s="355" t="s">
        <v>212</v>
      </c>
      <c r="G66" s="368">
        <v>1</v>
      </c>
      <c r="H66" s="368">
        <f>IF(TRUNC((AD67+AC67)/$AE$3,1)*$AE$3-AD67 &lt;0, AC67, TRUNC((AD67+AC67)/$AE$3,1)*$AE$3-AD67)</f>
        <v>866.40000000000146</v>
      </c>
      <c r="I66" s="369">
        <f>H66</f>
        <v>866.40000000000146</v>
      </c>
      <c r="J66" s="368">
        <v>1</v>
      </c>
      <c r="K66" s="368"/>
      <c r="L66" s="369" t="str">
        <f t="shared" si="25"/>
        <v/>
      </c>
      <c r="M66" s="368"/>
      <c r="N66" s="369" t="str">
        <f t="shared" si="26"/>
        <v/>
      </c>
      <c r="O66" s="368">
        <f t="shared" si="27"/>
        <v>866.40000000000146</v>
      </c>
      <c r="P66" s="368">
        <f t="shared" si="28"/>
        <v>866.40000000000146</v>
      </c>
      <c r="Q66" s="354"/>
    </row>
    <row r="67" spans="1:31" ht="23.25" customHeight="1">
      <c r="B67" s="344" t="s">
        <v>715</v>
      </c>
      <c r="D67" s="354" t="s">
        <v>216</v>
      </c>
      <c r="E67" s="354"/>
      <c r="F67" s="355"/>
      <c r="G67" s="368"/>
      <c r="H67" s="368"/>
      <c r="I67" s="369">
        <f>TRUNC(SUM(I60:I66))</f>
        <v>128594</v>
      </c>
      <c r="J67" s="368"/>
      <c r="K67" s="368"/>
      <c r="L67" s="369">
        <f>TRUNC(SUM(L60:L66))</f>
        <v>55147</v>
      </c>
      <c r="M67" s="368"/>
      <c r="N67" s="369">
        <f>TRUNC(SUM(N60:N66))</f>
        <v>4818</v>
      </c>
      <c r="O67" s="368" t="str">
        <f t="shared" si="27"/>
        <v/>
      </c>
      <c r="P67" s="368">
        <f t="shared" si="28"/>
        <v>188559</v>
      </c>
      <c r="Q67" s="354"/>
      <c r="AC67" s="347">
        <f>TRUNC(AE67*옵션!$B$36/100,1)</f>
        <v>866.4</v>
      </c>
      <c r="AD67" s="347">
        <f>TRUNC(SUM(L60:L65))</f>
        <v>55147</v>
      </c>
      <c r="AE67" s="347">
        <f>TRUNC(SUM(AE60:AE66))</f>
        <v>43324</v>
      </c>
    </row>
    <row r="68" spans="1:31" ht="23.25" customHeight="1">
      <c r="D68" s="354"/>
      <c r="E68" s="354"/>
      <c r="F68" s="355"/>
      <c r="G68" s="368"/>
      <c r="H68" s="368"/>
      <c r="I68" s="369"/>
      <c r="J68" s="368"/>
      <c r="K68" s="368"/>
      <c r="L68" s="369"/>
      <c r="M68" s="368"/>
      <c r="N68" s="369"/>
      <c r="O68" s="368"/>
      <c r="P68" s="368"/>
      <c r="Q68" s="354"/>
    </row>
    <row r="69" spans="1:31" ht="23.25" customHeight="1">
      <c r="A69" s="344" t="s">
        <v>662</v>
      </c>
      <c r="B69" s="344" t="s">
        <v>1833</v>
      </c>
      <c r="C69" s="365" t="s">
        <v>1913</v>
      </c>
      <c r="D69" s="714" t="s">
        <v>1914</v>
      </c>
      <c r="E69" s="715"/>
      <c r="F69" s="355"/>
      <c r="G69" s="368"/>
      <c r="H69" s="368"/>
      <c r="I69" s="369"/>
      <c r="J69" s="368"/>
      <c r="K69" s="368"/>
      <c r="L69" s="369"/>
      <c r="M69" s="368"/>
      <c r="N69" s="369"/>
      <c r="O69" s="368"/>
      <c r="P69" s="368"/>
      <c r="Q69" s="354"/>
    </row>
    <row r="70" spans="1:31" ht="23.25" customHeight="1">
      <c r="A70" s="344" t="s">
        <v>1915</v>
      </c>
      <c r="B70" s="344" t="s">
        <v>1502</v>
      </c>
      <c r="C70" s="365" t="s">
        <v>1915</v>
      </c>
      <c r="D70" s="354" t="s">
        <v>1880</v>
      </c>
      <c r="E70" s="354" t="s">
        <v>1916</v>
      </c>
      <c r="F70" s="355" t="s">
        <v>1882</v>
      </c>
      <c r="G70" s="368">
        <v>33</v>
      </c>
      <c r="H70" s="368">
        <f>합산자재!H117</f>
        <v>208.07605000000001</v>
      </c>
      <c r="I70" s="369">
        <f>IF(G70*H70&lt;&gt;0, TRUNC(G70*H70, 1), "")</f>
        <v>6866.5</v>
      </c>
      <c r="J70" s="368">
        <v>33</v>
      </c>
      <c r="K70" s="368">
        <f>합산자재!I117</f>
        <v>585.26922999999999</v>
      </c>
      <c r="L70" s="369">
        <f>IF(G70*K70&lt;&gt;0, TRUNC(G70*K70, 1), "")</f>
        <v>19313.8</v>
      </c>
      <c r="M70" s="368">
        <f>합산자재!J117</f>
        <v>757.04265000000009</v>
      </c>
      <c r="N70" s="369">
        <f>IF(G70*M70&lt;&gt;0, TRUNC(G70*M70, 1), "")</f>
        <v>24982.400000000001</v>
      </c>
      <c r="O70" s="368">
        <f>IF((H70+K70+M70)=0, "", (H70+K70+M70))</f>
        <v>1550.3879300000001</v>
      </c>
      <c r="P70" s="368">
        <f>IF(SUM(I70,L70,N70)&lt;&gt;0,SUM(I70,L70,N70),"")</f>
        <v>51162.7</v>
      </c>
      <c r="Q70" s="354" t="s">
        <v>1917</v>
      </c>
      <c r="R70" s="347" t="s">
        <v>1884</v>
      </c>
    </row>
    <row r="71" spans="1:31" ht="23.25" customHeight="1">
      <c r="A71" s="344" t="s">
        <v>1850</v>
      </c>
      <c r="B71" s="344" t="s">
        <v>1502</v>
      </c>
      <c r="C71" s="365" t="s">
        <v>1850</v>
      </c>
      <c r="D71" s="354" t="s">
        <v>1664</v>
      </c>
      <c r="E71" s="354" t="s">
        <v>1851</v>
      </c>
      <c r="F71" s="355" t="s">
        <v>1852</v>
      </c>
      <c r="G71" s="368">
        <f>일위노임!G34</f>
        <v>0.31</v>
      </c>
      <c r="H71" s="368">
        <f>합산자재!H120</f>
        <v>0</v>
      </c>
      <c r="I71" s="369" t="str">
        <f>IF(G71*H71&lt;&gt;0, TRUNC(G71*H71, 1), "")</f>
        <v/>
      </c>
      <c r="J71" s="368">
        <v>0.31</v>
      </c>
      <c r="K71" s="368">
        <f>합산자재!I120</f>
        <v>229252.87931000002</v>
      </c>
      <c r="L71" s="369">
        <f>IF(G71*K71&lt;&gt;0, TRUNC(G71*K71, 1), "")</f>
        <v>71068.3</v>
      </c>
      <c r="M71" s="368">
        <f>합산자재!J120</f>
        <v>0</v>
      </c>
      <c r="N71" s="369" t="str">
        <f>IF(G71*M71&lt;&gt;0, TRUNC(G71*M71, 1), "")</f>
        <v/>
      </c>
      <c r="O71" s="368">
        <f>IF((H71+K71+M71)=0, "", (H71+K71+M71))</f>
        <v>229252.87931000002</v>
      </c>
      <c r="P71" s="368">
        <f>IF(SUM(I71,L71,N71)&lt;&gt;0,SUM(I71,L71,N71),"")</f>
        <v>71068.3</v>
      </c>
      <c r="Q71" s="354"/>
      <c r="AE71" s="347">
        <f>L71</f>
        <v>71068.3</v>
      </c>
    </row>
    <row r="72" spans="1:31" ht="23.25" customHeight="1">
      <c r="A72" s="344" t="s">
        <v>1853</v>
      </c>
      <c r="B72" s="344" t="s">
        <v>1502</v>
      </c>
      <c r="C72" s="365" t="s">
        <v>1853</v>
      </c>
      <c r="D72" s="354" t="s">
        <v>1854</v>
      </c>
      <c r="E72" s="354" t="s">
        <v>1855</v>
      </c>
      <c r="F72" s="355" t="s">
        <v>212</v>
      </c>
      <c r="G72" s="368">
        <v>1</v>
      </c>
      <c r="H72" s="368">
        <f>IF(TRUNC((AD73+AC73)/$AE$3,1)*$AE$3-AD73 &lt;0, AC73, TRUNC((AD73+AC73)/$AE$3,1)*$AE$3-AD73)</f>
        <v>1421.3000000000029</v>
      </c>
      <c r="I72" s="369">
        <f>H72</f>
        <v>1421.3000000000029</v>
      </c>
      <c r="J72" s="368">
        <v>1</v>
      </c>
      <c r="K72" s="368"/>
      <c r="L72" s="369" t="str">
        <f>IF(G72*K72&lt;&gt;0, TRUNC(G72*K72, 1), "")</f>
        <v/>
      </c>
      <c r="M72" s="368"/>
      <c r="N72" s="369" t="str">
        <f>IF(G72*M72&lt;&gt;0, TRUNC(G72*M72, 1), "")</f>
        <v/>
      </c>
      <c r="O72" s="368">
        <f>IF((H72+K72+M72)=0, "", (H72+K72+M72))</f>
        <v>1421.3000000000029</v>
      </c>
      <c r="P72" s="368">
        <f>IF(SUM(I72,L72,N72)&lt;&gt;0,SUM(I72,L72,N72),"")</f>
        <v>1421.3000000000029</v>
      </c>
      <c r="Q72" s="354"/>
    </row>
    <row r="73" spans="1:31" ht="23.25" customHeight="1">
      <c r="B73" s="344" t="s">
        <v>715</v>
      </c>
      <c r="D73" s="354" t="s">
        <v>216</v>
      </c>
      <c r="E73" s="354"/>
      <c r="F73" s="355"/>
      <c r="G73" s="368"/>
      <c r="H73" s="368"/>
      <c r="I73" s="369">
        <f>TRUNC(SUM(I69:I72))</f>
        <v>8287</v>
      </c>
      <c r="J73" s="368"/>
      <c r="K73" s="368"/>
      <c r="L73" s="369">
        <f>TRUNC(SUM(L69:L72))</f>
        <v>90382</v>
      </c>
      <c r="M73" s="368"/>
      <c r="N73" s="369">
        <f>TRUNC(SUM(N69:N72))</f>
        <v>24982</v>
      </c>
      <c r="O73" s="368" t="str">
        <f>IF((H73+K73+M73)=0, "", (H73+K73+M73))</f>
        <v/>
      </c>
      <c r="P73" s="368">
        <f>IF(SUM(I73,L73,N73)&lt;&gt;0,SUM(I73,L73,N73),"")</f>
        <v>123651</v>
      </c>
      <c r="Q73" s="354"/>
      <c r="AC73" s="347">
        <f>TRUNC(AE73*옵션!$B$36/100,1)</f>
        <v>1421.3</v>
      </c>
      <c r="AD73" s="347">
        <f>TRUNC(SUM(L69:L71))</f>
        <v>90382</v>
      </c>
      <c r="AE73" s="347">
        <f>TRUNC(SUM(AE69:AE72))</f>
        <v>71068</v>
      </c>
    </row>
    <row r="74" spans="1:31" ht="23.25" customHeight="1">
      <c r="D74" s="354"/>
      <c r="E74" s="354"/>
      <c r="F74" s="355"/>
      <c r="G74" s="368"/>
      <c r="H74" s="368"/>
      <c r="I74" s="369"/>
      <c r="J74" s="368"/>
      <c r="K74" s="368"/>
      <c r="L74" s="369"/>
      <c r="M74" s="368"/>
      <c r="N74" s="369"/>
      <c r="O74" s="368"/>
      <c r="P74" s="368"/>
      <c r="Q74" s="354"/>
    </row>
    <row r="75" spans="1:31" ht="23.25" customHeight="1">
      <c r="A75" s="344" t="s">
        <v>666</v>
      </c>
      <c r="B75" s="344" t="s">
        <v>1833</v>
      </c>
      <c r="C75" s="365" t="s">
        <v>1918</v>
      </c>
      <c r="D75" s="714" t="s">
        <v>1919</v>
      </c>
      <c r="E75" s="715"/>
      <c r="F75" s="355"/>
      <c r="G75" s="368"/>
      <c r="H75" s="368"/>
      <c r="I75" s="369"/>
      <c r="J75" s="368"/>
      <c r="K75" s="368"/>
      <c r="L75" s="369"/>
      <c r="M75" s="368"/>
      <c r="N75" s="369"/>
      <c r="O75" s="368"/>
      <c r="P75" s="368"/>
      <c r="Q75" s="354"/>
    </row>
    <row r="76" spans="1:31" ht="23.25" customHeight="1">
      <c r="A76" s="344" t="s">
        <v>1920</v>
      </c>
      <c r="B76" s="344" t="s">
        <v>1504</v>
      </c>
      <c r="C76" s="365" t="s">
        <v>1920</v>
      </c>
      <c r="D76" s="354" t="s">
        <v>1921</v>
      </c>
      <c r="E76" s="354" t="s">
        <v>284</v>
      </c>
      <c r="F76" s="355" t="s">
        <v>265</v>
      </c>
      <c r="G76" s="368">
        <v>1</v>
      </c>
      <c r="H76" s="368">
        <f>합산자재!H108</f>
        <v>88543</v>
      </c>
      <c r="I76" s="369">
        <f>IF(G76*H76&lt;&gt;0, TRUNC(G76*H76, 1), "")</f>
        <v>88543</v>
      </c>
      <c r="J76" s="368">
        <v>1</v>
      </c>
      <c r="K76" s="368">
        <f>합산자재!I108</f>
        <v>0</v>
      </c>
      <c r="L76" s="369" t="str">
        <f t="shared" ref="L76:L81" si="29">IF(G76*K76&lt;&gt;0, TRUNC(G76*K76, 1), "")</f>
        <v/>
      </c>
      <c r="M76" s="368">
        <f>합산자재!J108</f>
        <v>0</v>
      </c>
      <c r="N76" s="369" t="str">
        <f t="shared" ref="N76:N81" si="30">IF(G76*M76&lt;&gt;0, TRUNC(G76*M76, 1), "")</f>
        <v/>
      </c>
      <c r="O76" s="368">
        <f t="shared" ref="O76:O82" si="31">IF((H76+K76+M76)=0, "", (H76+K76+M76))</f>
        <v>88543</v>
      </c>
      <c r="P76" s="368">
        <f t="shared" ref="P76:P82" si="32">IF(SUM(I76,L76,N76)&lt;&gt;0,SUM(I76,L76,N76),"")</f>
        <v>88543</v>
      </c>
      <c r="Q76" s="354"/>
    </row>
    <row r="77" spans="1:31" ht="23.25" customHeight="1">
      <c r="A77" s="344" t="s">
        <v>1907</v>
      </c>
      <c r="B77" s="344" t="s">
        <v>1504</v>
      </c>
      <c r="C77" s="365" t="s">
        <v>1907</v>
      </c>
      <c r="D77" s="354" t="s">
        <v>1908</v>
      </c>
      <c r="E77" s="354" t="s">
        <v>1909</v>
      </c>
      <c r="F77" s="355" t="s">
        <v>1882</v>
      </c>
      <c r="G77" s="368">
        <v>25.8</v>
      </c>
      <c r="H77" s="368">
        <f>합산자재!H118</f>
        <v>69.948970000000003</v>
      </c>
      <c r="I77" s="369">
        <f>IF(G77*H77&lt;&gt;0, TRUNC(G77*H77, 1), "")</f>
        <v>1804.6</v>
      </c>
      <c r="J77" s="368">
        <v>25.8</v>
      </c>
      <c r="K77" s="368">
        <f>합산자재!I118</f>
        <v>379.84947</v>
      </c>
      <c r="L77" s="369">
        <f t="shared" si="29"/>
        <v>9800.1</v>
      </c>
      <c r="M77" s="368">
        <f>합산자재!J118</f>
        <v>185.05487000000002</v>
      </c>
      <c r="N77" s="369">
        <f t="shared" si="30"/>
        <v>4774.3999999999996</v>
      </c>
      <c r="O77" s="368">
        <f t="shared" si="31"/>
        <v>634.85331000000008</v>
      </c>
      <c r="P77" s="368">
        <f t="shared" si="32"/>
        <v>16379.1</v>
      </c>
      <c r="Q77" s="354"/>
      <c r="R77" s="347" t="s">
        <v>1884</v>
      </c>
    </row>
    <row r="78" spans="1:31" ht="23.25" customHeight="1">
      <c r="A78" s="344" t="s">
        <v>1910</v>
      </c>
      <c r="B78" s="344" t="s">
        <v>1504</v>
      </c>
      <c r="C78" s="365" t="s">
        <v>1910</v>
      </c>
      <c r="D78" s="354" t="s">
        <v>1821</v>
      </c>
      <c r="E78" s="354" t="s">
        <v>1911</v>
      </c>
      <c r="F78" s="355" t="s">
        <v>1882</v>
      </c>
      <c r="G78" s="368">
        <v>6.1920000000000002</v>
      </c>
      <c r="H78" s="368">
        <f>합산자재!H119</f>
        <v>16.823170000000001</v>
      </c>
      <c r="I78" s="369">
        <f>IF(G78*H78&lt;&gt;0, TRUNC(G78*H78, 1), "")</f>
        <v>104.1</v>
      </c>
      <c r="J78" s="368">
        <v>6.1920000000000002</v>
      </c>
      <c r="K78" s="368">
        <f>합산자재!I119</f>
        <v>326.72367000000003</v>
      </c>
      <c r="L78" s="369">
        <f t="shared" si="29"/>
        <v>2023</v>
      </c>
      <c r="M78" s="368">
        <f>합산자재!J119</f>
        <v>7.0834400000000004</v>
      </c>
      <c r="N78" s="369">
        <f t="shared" si="30"/>
        <v>43.8</v>
      </c>
      <c r="O78" s="368">
        <f t="shared" si="31"/>
        <v>350.63028000000003</v>
      </c>
      <c r="P78" s="368">
        <f t="shared" si="32"/>
        <v>2170.9</v>
      </c>
      <c r="Q78" s="354" t="s">
        <v>1912</v>
      </c>
      <c r="R78" s="347" t="s">
        <v>1884</v>
      </c>
    </row>
    <row r="79" spans="1:31" ht="23.25" customHeight="1">
      <c r="A79" s="344" t="s">
        <v>1850</v>
      </c>
      <c r="B79" s="344" t="s">
        <v>1504</v>
      </c>
      <c r="C79" s="365" t="s">
        <v>1850</v>
      </c>
      <c r="D79" s="354" t="s">
        <v>1664</v>
      </c>
      <c r="E79" s="354" t="s">
        <v>1851</v>
      </c>
      <c r="F79" s="355" t="s">
        <v>1852</v>
      </c>
      <c r="G79" s="368">
        <f>일위노임!G38</f>
        <v>0.04</v>
      </c>
      <c r="H79" s="368">
        <f>합산자재!H120</f>
        <v>0</v>
      </c>
      <c r="I79" s="369" t="str">
        <f>IF(G79*H79&lt;&gt;0, TRUNC(G79*H79, 1), "")</f>
        <v/>
      </c>
      <c r="J79" s="368">
        <v>0.04</v>
      </c>
      <c r="K79" s="368">
        <f>합산자재!I120</f>
        <v>229252.87931000002</v>
      </c>
      <c r="L79" s="369">
        <f t="shared" si="29"/>
        <v>9170.1</v>
      </c>
      <c r="M79" s="368">
        <f>합산자재!J120</f>
        <v>0</v>
      </c>
      <c r="N79" s="369" t="str">
        <f t="shared" si="30"/>
        <v/>
      </c>
      <c r="O79" s="368">
        <f t="shared" si="31"/>
        <v>229252.87931000002</v>
      </c>
      <c r="P79" s="368">
        <f t="shared" si="32"/>
        <v>9170.1</v>
      </c>
      <c r="Q79" s="354"/>
      <c r="AE79" s="347">
        <f>L79</f>
        <v>9170.1</v>
      </c>
    </row>
    <row r="80" spans="1:31" ht="23.25" customHeight="1">
      <c r="A80" s="344" t="s">
        <v>1888</v>
      </c>
      <c r="B80" s="344" t="s">
        <v>1504</v>
      </c>
      <c r="C80" s="365" t="s">
        <v>1888</v>
      </c>
      <c r="D80" s="354" t="s">
        <v>1664</v>
      </c>
      <c r="E80" s="354" t="s">
        <v>1889</v>
      </c>
      <c r="F80" s="355" t="s">
        <v>1852</v>
      </c>
      <c r="G80" s="368">
        <f>일위노임!G39</f>
        <v>9.5000000000000001E-2</v>
      </c>
      <c r="H80" s="368">
        <f>합산자재!H125</f>
        <v>0</v>
      </c>
      <c r="I80" s="369" t="str">
        <f>IF(G80*H80&lt;&gt;0, TRUNC(G80*H80, 1), "")</f>
        <v/>
      </c>
      <c r="J80" s="368">
        <v>9.5000000000000001E-2</v>
      </c>
      <c r="K80" s="368">
        <f>합산자재!I125</f>
        <v>131495.20930000002</v>
      </c>
      <c r="L80" s="369">
        <f t="shared" si="29"/>
        <v>12492</v>
      </c>
      <c r="M80" s="368">
        <f>합산자재!J125</f>
        <v>0</v>
      </c>
      <c r="N80" s="369" t="str">
        <f t="shared" si="30"/>
        <v/>
      </c>
      <c r="O80" s="368">
        <f t="shared" si="31"/>
        <v>131495.20930000002</v>
      </c>
      <c r="P80" s="368">
        <f t="shared" si="32"/>
        <v>12492</v>
      </c>
      <c r="Q80" s="354"/>
      <c r="AE80" s="347">
        <f>L80</f>
        <v>12492</v>
      </c>
    </row>
    <row r="81" spans="1:31" ht="23.25" customHeight="1">
      <c r="A81" s="344" t="s">
        <v>1853</v>
      </c>
      <c r="B81" s="344" t="s">
        <v>1504</v>
      </c>
      <c r="C81" s="365" t="s">
        <v>1853</v>
      </c>
      <c r="D81" s="354" t="s">
        <v>1854</v>
      </c>
      <c r="E81" s="354" t="s">
        <v>1855</v>
      </c>
      <c r="F81" s="355" t="s">
        <v>212</v>
      </c>
      <c r="G81" s="368">
        <v>1</v>
      </c>
      <c r="H81" s="368">
        <f>IF(TRUNC((AD82+AC82)/$AE$3,1)*$AE$3-AD82 &lt;0, AC82, TRUNC((AD82+AC82)/$AE$3,1)*$AE$3-AD82)</f>
        <v>433.19999999999709</v>
      </c>
      <c r="I81" s="369">
        <f>H81</f>
        <v>433.19999999999709</v>
      </c>
      <c r="J81" s="368">
        <v>1</v>
      </c>
      <c r="K81" s="368"/>
      <c r="L81" s="369" t="str">
        <f t="shared" si="29"/>
        <v/>
      </c>
      <c r="M81" s="368"/>
      <c r="N81" s="369" t="str">
        <f t="shared" si="30"/>
        <v/>
      </c>
      <c r="O81" s="368">
        <f t="shared" si="31"/>
        <v>433.19999999999709</v>
      </c>
      <c r="P81" s="368">
        <f t="shared" si="32"/>
        <v>433.19999999999709</v>
      </c>
      <c r="Q81" s="354"/>
    </row>
    <row r="82" spans="1:31" ht="23.25" customHeight="1">
      <c r="B82" s="344" t="s">
        <v>715</v>
      </c>
      <c r="D82" s="354" t="s">
        <v>216</v>
      </c>
      <c r="E82" s="354"/>
      <c r="F82" s="355"/>
      <c r="G82" s="368"/>
      <c r="H82" s="368"/>
      <c r="I82" s="369">
        <f>TRUNC(SUM(I75:I81))</f>
        <v>90884</v>
      </c>
      <c r="J82" s="368"/>
      <c r="K82" s="368"/>
      <c r="L82" s="369">
        <f>TRUNC(SUM(L75:L81))</f>
        <v>33485</v>
      </c>
      <c r="M82" s="368"/>
      <c r="N82" s="369">
        <f>TRUNC(SUM(N75:N81))</f>
        <v>4818</v>
      </c>
      <c r="O82" s="368" t="str">
        <f t="shared" si="31"/>
        <v/>
      </c>
      <c r="P82" s="368">
        <f t="shared" si="32"/>
        <v>129187</v>
      </c>
      <c r="Q82" s="354"/>
      <c r="AC82" s="347">
        <f>TRUNC(AE82*옵션!$B$36/100,1)</f>
        <v>433.2</v>
      </c>
      <c r="AD82" s="347">
        <f>TRUNC(SUM(L75:L80))</f>
        <v>33485</v>
      </c>
      <c r="AE82" s="347">
        <f>TRUNC(SUM(AE75:AE81))</f>
        <v>21662</v>
      </c>
    </row>
    <row r="83" spans="1:31" ht="23.25" customHeight="1">
      <c r="D83" s="354"/>
      <c r="E83" s="354"/>
      <c r="F83" s="355"/>
      <c r="G83" s="368"/>
      <c r="H83" s="368"/>
      <c r="I83" s="369"/>
      <c r="J83" s="368"/>
      <c r="K83" s="368"/>
      <c r="L83" s="369"/>
      <c r="M83" s="368"/>
      <c r="N83" s="369"/>
      <c r="O83" s="368"/>
      <c r="P83" s="368"/>
      <c r="Q83" s="354"/>
    </row>
    <row r="84" spans="1:31" ht="23.25" customHeight="1">
      <c r="A84" s="344" t="s">
        <v>832</v>
      </c>
      <c r="B84" s="344" t="s">
        <v>1833</v>
      </c>
      <c r="C84" s="365" t="s">
        <v>1922</v>
      </c>
      <c r="D84" s="714" t="s">
        <v>1923</v>
      </c>
      <c r="E84" s="715"/>
      <c r="F84" s="355"/>
      <c r="G84" s="368"/>
      <c r="H84" s="368"/>
      <c r="I84" s="369"/>
      <c r="J84" s="368"/>
      <c r="K84" s="368"/>
      <c r="L84" s="369"/>
      <c r="M84" s="368"/>
      <c r="N84" s="369"/>
      <c r="O84" s="368"/>
      <c r="P84" s="368"/>
      <c r="Q84" s="354"/>
    </row>
    <row r="85" spans="1:31" ht="23.25" customHeight="1">
      <c r="A85" s="344" t="s">
        <v>1924</v>
      </c>
      <c r="B85" s="344" t="s">
        <v>1505</v>
      </c>
      <c r="C85" s="365" t="s">
        <v>1924</v>
      </c>
      <c r="D85" s="354" t="s">
        <v>394</v>
      </c>
      <c r="E85" s="354" t="s">
        <v>436</v>
      </c>
      <c r="F85" s="355" t="s">
        <v>255</v>
      </c>
      <c r="G85" s="368">
        <v>1</v>
      </c>
      <c r="H85" s="368">
        <f>합산자재!H4</f>
        <v>2106.43797</v>
      </c>
      <c r="I85" s="369">
        <f>IF(G85*H85&lt;&gt;0, TRUNC(G85*H85, 1), "")</f>
        <v>2106.4</v>
      </c>
      <c r="J85" s="368">
        <v>1</v>
      </c>
      <c r="K85" s="368">
        <f>합산자재!I4</f>
        <v>0</v>
      </c>
      <c r="L85" s="369" t="str">
        <f>IF(G85*K85&lt;&gt;0, TRUNC(G85*K85, 1), "")</f>
        <v/>
      </c>
      <c r="M85" s="368">
        <f>합산자재!J4</f>
        <v>0</v>
      </c>
      <c r="N85" s="369" t="str">
        <f>IF(G85*M85&lt;&gt;0, TRUNC(G85*M85, 1), "")</f>
        <v/>
      </c>
      <c r="O85" s="368">
        <f t="shared" ref="O85:O90" si="33">IF((H85+K85+M85)=0, "", (H85+K85+M85))</f>
        <v>2106.43797</v>
      </c>
      <c r="P85" s="368">
        <f t="shared" ref="P85:P90" si="34">IF(SUM(I85,L85,N85)&lt;&gt;0,SUM(I85,L85,N85),"")</f>
        <v>2106.4</v>
      </c>
      <c r="Q85" s="354"/>
      <c r="AB85" s="347">
        <f>I85</f>
        <v>2106.4</v>
      </c>
      <c r="AC85" s="347">
        <f>G85*H85</f>
        <v>2106.43797</v>
      </c>
    </row>
    <row r="86" spans="1:31" ht="23.25" customHeight="1">
      <c r="A86" s="344" t="s">
        <v>1925</v>
      </c>
      <c r="B86" s="344" t="s">
        <v>1505</v>
      </c>
      <c r="C86" s="365" t="s">
        <v>1925</v>
      </c>
      <c r="D86" s="354" t="s">
        <v>1926</v>
      </c>
      <c r="E86" s="354" t="s">
        <v>1927</v>
      </c>
      <c r="F86" s="355" t="s">
        <v>212</v>
      </c>
      <c r="G86" s="368">
        <v>1</v>
      </c>
      <c r="H86" s="368">
        <f>TRUNC(AB86*옵션!$B$31/100,1)</f>
        <v>315.89999999999998</v>
      </c>
      <c r="I86" s="369">
        <f>IF(G86*H86&lt;&gt;0, TRUNC(G86*H86, 1), "")</f>
        <v>315.89999999999998</v>
      </c>
      <c r="J86" s="368">
        <v>1</v>
      </c>
      <c r="K86" s="368"/>
      <c r="L86" s="369" t="str">
        <f>IF(G86*K86&lt;&gt;0, TRUNC(G86*K86, 1), "")</f>
        <v/>
      </c>
      <c r="M86" s="368"/>
      <c r="N86" s="369" t="str">
        <f>IF(G86*M86&lt;&gt;0, TRUNC(G86*M86, 1), "")</f>
        <v/>
      </c>
      <c r="O86" s="368">
        <f t="shared" si="33"/>
        <v>315.89999999999998</v>
      </c>
      <c r="P86" s="368">
        <f t="shared" si="34"/>
        <v>315.89999999999998</v>
      </c>
      <c r="Q86" s="354"/>
      <c r="AB86" s="347">
        <f>TRUNC(SUM(AB84:AB85))</f>
        <v>2106</v>
      </c>
    </row>
    <row r="87" spans="1:31" ht="23.25" customHeight="1">
      <c r="A87" s="344" t="s">
        <v>1885</v>
      </c>
      <c r="B87" s="344" t="s">
        <v>1505</v>
      </c>
      <c r="C87" s="365" t="s">
        <v>1885</v>
      </c>
      <c r="D87" s="354" t="s">
        <v>1886</v>
      </c>
      <c r="E87" s="354" t="s">
        <v>1887</v>
      </c>
      <c r="F87" s="355" t="s">
        <v>212</v>
      </c>
      <c r="G87" s="368">
        <v>1</v>
      </c>
      <c r="H87" s="368">
        <f>IF(TRUNC((AD87+AC87)/$AD$3,1)*$AD$3-AD87 &lt;0, AC87, TRUNC((AD87+AC87)/$AD$3,1)*$AD$3-AD87)</f>
        <v>42.099999999999909</v>
      </c>
      <c r="I87" s="369">
        <f>H87</f>
        <v>42.099999999999909</v>
      </c>
      <c r="J87" s="368">
        <v>1</v>
      </c>
      <c r="K87" s="368"/>
      <c r="L87" s="369" t="str">
        <f>IF(G87*K87&lt;&gt;0, TRUNC(G87*K87, 1), "")</f>
        <v/>
      </c>
      <c r="M87" s="368"/>
      <c r="N87" s="369" t="str">
        <f>IF(G87*M87&lt;&gt;0, TRUNC(G87*M87, 1), "")</f>
        <v/>
      </c>
      <c r="O87" s="368">
        <f t="shared" si="33"/>
        <v>42.099999999999909</v>
      </c>
      <c r="P87" s="368">
        <f t="shared" si="34"/>
        <v>42.099999999999909</v>
      </c>
      <c r="Q87" s="354"/>
      <c r="AC87" s="347">
        <f>TRUNC(TRUNC(SUM(AC84:AC86))*옵션!$B$33/100,1)</f>
        <v>42.1</v>
      </c>
      <c r="AD87" s="347">
        <f>TRUNC(SUM(I84:I86))+TRUNC(SUM(N84:N86))</f>
        <v>2422</v>
      </c>
    </row>
    <row r="88" spans="1:31" ht="23.25" customHeight="1">
      <c r="A88" s="344" t="s">
        <v>1850</v>
      </c>
      <c r="B88" s="344" t="s">
        <v>1505</v>
      </c>
      <c r="C88" s="365" t="s">
        <v>1850</v>
      </c>
      <c r="D88" s="354" t="s">
        <v>1664</v>
      </c>
      <c r="E88" s="354" t="s">
        <v>1851</v>
      </c>
      <c r="F88" s="355" t="s">
        <v>1852</v>
      </c>
      <c r="G88" s="368">
        <f>일위노임!G42</f>
        <v>0.11</v>
      </c>
      <c r="H88" s="368">
        <f>합산자재!H120</f>
        <v>0</v>
      </c>
      <c r="I88" s="369" t="str">
        <f>IF(G88*H88&lt;&gt;0, TRUNC(G88*H88, 1), "")</f>
        <v/>
      </c>
      <c r="J88" s="368">
        <v>0.11</v>
      </c>
      <c r="K88" s="368">
        <f>합산자재!I120</f>
        <v>229252.87931000002</v>
      </c>
      <c r="L88" s="369">
        <f>IF(G88*K88&lt;&gt;0, TRUNC(G88*K88, 1), "")</f>
        <v>25217.8</v>
      </c>
      <c r="M88" s="368">
        <f>합산자재!J120</f>
        <v>0</v>
      </c>
      <c r="N88" s="369" t="str">
        <f>IF(G88*M88&lt;&gt;0, TRUNC(G88*M88, 1), "")</f>
        <v/>
      </c>
      <c r="O88" s="368">
        <f t="shared" si="33"/>
        <v>229252.87931000002</v>
      </c>
      <c r="P88" s="368">
        <f t="shared" si="34"/>
        <v>25217.8</v>
      </c>
      <c r="Q88" s="354"/>
      <c r="AE88" s="347">
        <f>L88</f>
        <v>25217.8</v>
      </c>
    </row>
    <row r="89" spans="1:31" ht="23.25" customHeight="1">
      <c r="A89" s="344" t="s">
        <v>1853</v>
      </c>
      <c r="B89" s="344" t="s">
        <v>1505</v>
      </c>
      <c r="C89" s="365" t="s">
        <v>1853</v>
      </c>
      <c r="D89" s="354" t="s">
        <v>1854</v>
      </c>
      <c r="E89" s="354" t="s">
        <v>1855</v>
      </c>
      <c r="F89" s="355" t="s">
        <v>212</v>
      </c>
      <c r="G89" s="368">
        <v>1</v>
      </c>
      <c r="H89" s="368">
        <f>IF(TRUNC((AD90+AC90)/$AE$3,1)*$AE$3-AD90 &lt;0, AC90, TRUNC((AD90+AC90)/$AE$3,1)*$AE$3-AD90)</f>
        <v>504.29999999999927</v>
      </c>
      <c r="I89" s="369">
        <f>H89</f>
        <v>504.29999999999927</v>
      </c>
      <c r="J89" s="368">
        <v>1</v>
      </c>
      <c r="K89" s="368"/>
      <c r="L89" s="369" t="str">
        <f>IF(G89*K89&lt;&gt;0, TRUNC(G89*K89, 1), "")</f>
        <v/>
      </c>
      <c r="M89" s="368"/>
      <c r="N89" s="369" t="str">
        <f>IF(G89*M89&lt;&gt;0, TRUNC(G89*M89, 1), "")</f>
        <v/>
      </c>
      <c r="O89" s="368">
        <f t="shared" si="33"/>
        <v>504.29999999999927</v>
      </c>
      <c r="P89" s="368">
        <f t="shared" si="34"/>
        <v>504.29999999999927</v>
      </c>
      <c r="Q89" s="354"/>
    </row>
    <row r="90" spans="1:31" ht="23.25" customHeight="1">
      <c r="B90" s="344" t="s">
        <v>715</v>
      </c>
      <c r="D90" s="354" t="s">
        <v>216</v>
      </c>
      <c r="E90" s="354"/>
      <c r="F90" s="355"/>
      <c r="G90" s="368"/>
      <c r="H90" s="368"/>
      <c r="I90" s="369">
        <f>TRUNC(SUM(I84:I89))</f>
        <v>2968</v>
      </c>
      <c r="J90" s="368"/>
      <c r="K90" s="368"/>
      <c r="L90" s="369">
        <f>TRUNC(SUM(L84:L89))</f>
        <v>25217</v>
      </c>
      <c r="M90" s="368"/>
      <c r="N90" s="369">
        <f>TRUNC(SUM(N84:N89))</f>
        <v>0</v>
      </c>
      <c r="O90" s="368" t="str">
        <f t="shared" si="33"/>
        <v/>
      </c>
      <c r="P90" s="368">
        <f t="shared" si="34"/>
        <v>28185</v>
      </c>
      <c r="Q90" s="354"/>
      <c r="AC90" s="347">
        <f>TRUNC(AE90*옵션!$B$36/100,1)</f>
        <v>504.3</v>
      </c>
      <c r="AD90" s="347">
        <f>TRUNC(SUM(L84:L88))</f>
        <v>25217</v>
      </c>
      <c r="AE90" s="347">
        <f>TRUNC(SUM(AE84:AE89))</f>
        <v>25217</v>
      </c>
    </row>
    <row r="91" spans="1:31" ht="23.25" customHeight="1">
      <c r="D91" s="354"/>
      <c r="E91" s="354"/>
      <c r="F91" s="355"/>
      <c r="G91" s="368"/>
      <c r="H91" s="368"/>
      <c r="I91" s="369"/>
      <c r="J91" s="368"/>
      <c r="K91" s="368"/>
      <c r="L91" s="369"/>
      <c r="M91" s="368"/>
      <c r="N91" s="369"/>
      <c r="O91" s="368"/>
      <c r="P91" s="368"/>
      <c r="Q91" s="354"/>
    </row>
    <row r="92" spans="1:31" ht="23.25" customHeight="1">
      <c r="A92" s="344" t="s">
        <v>753</v>
      </c>
      <c r="B92" s="344" t="s">
        <v>1833</v>
      </c>
      <c r="C92" s="365" t="s">
        <v>1928</v>
      </c>
      <c r="D92" s="714" t="s">
        <v>1929</v>
      </c>
      <c r="E92" s="715"/>
      <c r="F92" s="355"/>
      <c r="G92" s="368"/>
      <c r="H92" s="368"/>
      <c r="I92" s="369"/>
      <c r="J92" s="368"/>
      <c r="K92" s="368"/>
      <c r="L92" s="369"/>
      <c r="M92" s="368"/>
      <c r="N92" s="369"/>
      <c r="O92" s="368"/>
      <c r="P92" s="368"/>
      <c r="Q92" s="354"/>
    </row>
    <row r="93" spans="1:31" ht="23.25" customHeight="1">
      <c r="A93" s="344" t="s">
        <v>1930</v>
      </c>
      <c r="B93" s="344" t="s">
        <v>1507</v>
      </c>
      <c r="C93" s="365" t="s">
        <v>1930</v>
      </c>
      <c r="D93" s="354" t="s">
        <v>394</v>
      </c>
      <c r="E93" s="354" t="s">
        <v>393</v>
      </c>
      <c r="F93" s="355" t="s">
        <v>255</v>
      </c>
      <c r="G93" s="368">
        <v>1</v>
      </c>
      <c r="H93" s="368">
        <f>합산자재!H5</f>
        <v>3488.5942</v>
      </c>
      <c r="I93" s="369">
        <f>IF(G93*H93&lt;&gt;0, TRUNC(G93*H93, 1), "")</f>
        <v>3488.5</v>
      </c>
      <c r="J93" s="368">
        <v>1</v>
      </c>
      <c r="K93" s="368">
        <f>합산자재!I5</f>
        <v>0</v>
      </c>
      <c r="L93" s="369" t="str">
        <f>IF(G93*K93&lt;&gt;0, TRUNC(G93*K93, 1), "")</f>
        <v/>
      </c>
      <c r="M93" s="368">
        <f>합산자재!J5</f>
        <v>0</v>
      </c>
      <c r="N93" s="369" t="str">
        <f>IF(G93*M93&lt;&gt;0, TRUNC(G93*M93, 1), "")</f>
        <v/>
      </c>
      <c r="O93" s="368">
        <f t="shared" ref="O93:O98" si="35">IF((H93+K93+M93)=0, "", (H93+K93+M93))</f>
        <v>3488.5942</v>
      </c>
      <c r="P93" s="368">
        <f t="shared" ref="P93:P98" si="36">IF(SUM(I93,L93,N93)&lt;&gt;0,SUM(I93,L93,N93),"")</f>
        <v>3488.5</v>
      </c>
      <c r="Q93" s="354"/>
      <c r="AB93" s="347">
        <f>I93</f>
        <v>3488.5</v>
      </c>
      <c r="AC93" s="347">
        <f>G93*H93</f>
        <v>3488.5942</v>
      </c>
    </row>
    <row r="94" spans="1:31" ht="23.25" customHeight="1">
      <c r="A94" s="344" t="s">
        <v>1925</v>
      </c>
      <c r="B94" s="344" t="s">
        <v>1507</v>
      </c>
      <c r="C94" s="365" t="s">
        <v>1925</v>
      </c>
      <c r="D94" s="354" t="s">
        <v>1926</v>
      </c>
      <c r="E94" s="354" t="s">
        <v>1927</v>
      </c>
      <c r="F94" s="355" t="s">
        <v>212</v>
      </c>
      <c r="G94" s="368">
        <v>1</v>
      </c>
      <c r="H94" s="368">
        <f>TRUNC(AB94*옵션!$B$31/100,1)</f>
        <v>523.20000000000005</v>
      </c>
      <c r="I94" s="369">
        <f>IF(G94*H94&lt;&gt;0, TRUNC(G94*H94, 1), "")</f>
        <v>523.20000000000005</v>
      </c>
      <c r="J94" s="368">
        <v>1</v>
      </c>
      <c r="K94" s="368"/>
      <c r="L94" s="369" t="str">
        <f>IF(G94*K94&lt;&gt;0, TRUNC(G94*K94, 1), "")</f>
        <v/>
      </c>
      <c r="M94" s="368"/>
      <c r="N94" s="369" t="str">
        <f>IF(G94*M94&lt;&gt;0, TRUNC(G94*M94, 1), "")</f>
        <v/>
      </c>
      <c r="O94" s="368">
        <f t="shared" si="35"/>
        <v>523.20000000000005</v>
      </c>
      <c r="P94" s="368">
        <f t="shared" si="36"/>
        <v>523.20000000000005</v>
      </c>
      <c r="Q94" s="354"/>
      <c r="AB94" s="347">
        <f>TRUNC(SUM(AB92:AB93))</f>
        <v>3488</v>
      </c>
    </row>
    <row r="95" spans="1:31" ht="23.25" customHeight="1">
      <c r="A95" s="344" t="s">
        <v>1885</v>
      </c>
      <c r="B95" s="344" t="s">
        <v>1507</v>
      </c>
      <c r="C95" s="365" t="s">
        <v>1885</v>
      </c>
      <c r="D95" s="354" t="s">
        <v>1886</v>
      </c>
      <c r="E95" s="354" t="s">
        <v>1887</v>
      </c>
      <c r="F95" s="355" t="s">
        <v>212</v>
      </c>
      <c r="G95" s="368">
        <v>1</v>
      </c>
      <c r="H95" s="368">
        <f>IF(TRUNC((AD95+AC95)/$AD$3,1)*$AD$3-AD95 &lt;0, AC95, TRUNC((AD95+AC95)/$AD$3,1)*$AD$3-AD95)</f>
        <v>69.699999999999818</v>
      </c>
      <c r="I95" s="369">
        <f>H95</f>
        <v>69.699999999999818</v>
      </c>
      <c r="J95" s="368">
        <v>1</v>
      </c>
      <c r="K95" s="368"/>
      <c r="L95" s="369" t="str">
        <f>IF(G95*K95&lt;&gt;0, TRUNC(G95*K95, 1), "")</f>
        <v/>
      </c>
      <c r="M95" s="368"/>
      <c r="N95" s="369" t="str">
        <f>IF(G95*M95&lt;&gt;0, TRUNC(G95*M95, 1), "")</f>
        <v/>
      </c>
      <c r="O95" s="368">
        <f t="shared" si="35"/>
        <v>69.699999999999818</v>
      </c>
      <c r="P95" s="368">
        <f t="shared" si="36"/>
        <v>69.699999999999818</v>
      </c>
      <c r="Q95" s="354"/>
      <c r="AC95" s="347">
        <f>TRUNC(TRUNC(SUM(AC92:AC94))*옵션!$B$33/100,1)</f>
        <v>69.7</v>
      </c>
      <c r="AD95" s="347">
        <f>TRUNC(SUM(I92:I94))+TRUNC(SUM(N92:N94))</f>
        <v>4011</v>
      </c>
    </row>
    <row r="96" spans="1:31" ht="23.25" customHeight="1">
      <c r="A96" s="344" t="s">
        <v>1850</v>
      </c>
      <c r="B96" s="344" t="s">
        <v>1507</v>
      </c>
      <c r="C96" s="365" t="s">
        <v>1850</v>
      </c>
      <c r="D96" s="354" t="s">
        <v>1664</v>
      </c>
      <c r="E96" s="354" t="s">
        <v>1851</v>
      </c>
      <c r="F96" s="355" t="s">
        <v>1852</v>
      </c>
      <c r="G96" s="368">
        <f>일위노임!G45</f>
        <v>0.2</v>
      </c>
      <c r="H96" s="368">
        <f>합산자재!H120</f>
        <v>0</v>
      </c>
      <c r="I96" s="369" t="str">
        <f>IF(G96*H96&lt;&gt;0, TRUNC(G96*H96, 1), "")</f>
        <v/>
      </c>
      <c r="J96" s="368">
        <v>0.2</v>
      </c>
      <c r="K96" s="368">
        <f>합산자재!I120</f>
        <v>229252.87931000002</v>
      </c>
      <c r="L96" s="369">
        <f>IF(G96*K96&lt;&gt;0, TRUNC(G96*K96, 1), "")</f>
        <v>45850.5</v>
      </c>
      <c r="M96" s="368">
        <f>합산자재!J120</f>
        <v>0</v>
      </c>
      <c r="N96" s="369" t="str">
        <f>IF(G96*M96&lt;&gt;0, TRUNC(G96*M96, 1), "")</f>
        <v/>
      </c>
      <c r="O96" s="368">
        <f t="shared" si="35"/>
        <v>229252.87931000002</v>
      </c>
      <c r="P96" s="368">
        <f t="shared" si="36"/>
        <v>45850.5</v>
      </c>
      <c r="Q96" s="354"/>
      <c r="AE96" s="347">
        <f>L96</f>
        <v>45850.5</v>
      </c>
    </row>
    <row r="97" spans="1:31" ht="23.25" customHeight="1">
      <c r="A97" s="344" t="s">
        <v>1853</v>
      </c>
      <c r="B97" s="344" t="s">
        <v>1507</v>
      </c>
      <c r="C97" s="365" t="s">
        <v>1853</v>
      </c>
      <c r="D97" s="354" t="s">
        <v>1854</v>
      </c>
      <c r="E97" s="354" t="s">
        <v>1855</v>
      </c>
      <c r="F97" s="355" t="s">
        <v>212</v>
      </c>
      <c r="G97" s="368">
        <v>1</v>
      </c>
      <c r="H97" s="368">
        <f>IF(TRUNC((AD98+AC98)/$AE$3,1)*$AE$3-AD98 &lt;0, AC98, TRUNC((AD98+AC98)/$AE$3,1)*$AE$3-AD98)</f>
        <v>917</v>
      </c>
      <c r="I97" s="369">
        <f>H97</f>
        <v>917</v>
      </c>
      <c r="J97" s="368">
        <v>1</v>
      </c>
      <c r="K97" s="368"/>
      <c r="L97" s="369" t="str">
        <f>IF(G97*K97&lt;&gt;0, TRUNC(G97*K97, 1), "")</f>
        <v/>
      </c>
      <c r="M97" s="368"/>
      <c r="N97" s="369" t="str">
        <f>IF(G97*M97&lt;&gt;0, TRUNC(G97*M97, 1), "")</f>
        <v/>
      </c>
      <c r="O97" s="368">
        <f t="shared" si="35"/>
        <v>917</v>
      </c>
      <c r="P97" s="368">
        <f t="shared" si="36"/>
        <v>917</v>
      </c>
      <c r="Q97" s="354"/>
    </row>
    <row r="98" spans="1:31" ht="23.25" customHeight="1">
      <c r="B98" s="344" t="s">
        <v>715</v>
      </c>
      <c r="D98" s="354" t="s">
        <v>216</v>
      </c>
      <c r="E98" s="354"/>
      <c r="F98" s="355"/>
      <c r="G98" s="368"/>
      <c r="H98" s="368"/>
      <c r="I98" s="369">
        <f>TRUNC(SUM(I92:I97))</f>
        <v>4998</v>
      </c>
      <c r="J98" s="368"/>
      <c r="K98" s="368"/>
      <c r="L98" s="369">
        <f>TRUNC(SUM(L92:L97))</f>
        <v>45850</v>
      </c>
      <c r="M98" s="368"/>
      <c r="N98" s="369">
        <f>TRUNC(SUM(N92:N97))</f>
        <v>0</v>
      </c>
      <c r="O98" s="368" t="str">
        <f t="shared" si="35"/>
        <v/>
      </c>
      <c r="P98" s="368">
        <f t="shared" si="36"/>
        <v>50848</v>
      </c>
      <c r="Q98" s="354"/>
      <c r="AC98" s="347">
        <f>TRUNC(AE98*옵션!$B$36/100,1)</f>
        <v>917</v>
      </c>
      <c r="AD98" s="347">
        <f>TRUNC(SUM(L92:L96))</f>
        <v>45850</v>
      </c>
      <c r="AE98" s="347">
        <f>TRUNC(SUM(AE92:AE97))</f>
        <v>45850</v>
      </c>
    </row>
    <row r="99" spans="1:31" ht="23.25" customHeight="1">
      <c r="D99" s="354"/>
      <c r="E99" s="354"/>
      <c r="F99" s="355"/>
      <c r="G99" s="368"/>
      <c r="H99" s="368"/>
      <c r="I99" s="369"/>
      <c r="J99" s="368"/>
      <c r="K99" s="368"/>
      <c r="L99" s="369"/>
      <c r="M99" s="368"/>
      <c r="N99" s="369"/>
      <c r="O99" s="368"/>
      <c r="P99" s="368"/>
      <c r="Q99" s="354"/>
    </row>
    <row r="100" spans="1:31" ht="23.25" customHeight="1">
      <c r="A100" s="344" t="s">
        <v>758</v>
      </c>
      <c r="B100" s="344" t="s">
        <v>1833</v>
      </c>
      <c r="C100" s="365" t="s">
        <v>1931</v>
      </c>
      <c r="D100" s="714" t="s">
        <v>1932</v>
      </c>
      <c r="E100" s="715"/>
      <c r="F100" s="355"/>
      <c r="G100" s="368"/>
      <c r="H100" s="368"/>
      <c r="I100" s="369"/>
      <c r="J100" s="368"/>
      <c r="K100" s="368"/>
      <c r="L100" s="369"/>
      <c r="M100" s="368"/>
      <c r="N100" s="369"/>
      <c r="O100" s="368"/>
      <c r="P100" s="368"/>
      <c r="Q100" s="354"/>
    </row>
    <row r="101" spans="1:31" ht="23.25" customHeight="1">
      <c r="A101" s="344" t="s">
        <v>1933</v>
      </c>
      <c r="B101" s="344" t="s">
        <v>1509</v>
      </c>
      <c r="C101" s="365" t="s">
        <v>1933</v>
      </c>
      <c r="D101" s="354" t="s">
        <v>394</v>
      </c>
      <c r="E101" s="354" t="s">
        <v>395</v>
      </c>
      <c r="F101" s="355" t="s">
        <v>255</v>
      </c>
      <c r="G101" s="368">
        <v>1</v>
      </c>
      <c r="H101" s="368">
        <f>합산자재!H6</f>
        <v>13237.1785</v>
      </c>
      <c r="I101" s="369">
        <f>IF(G101*H101&lt;&gt;0, TRUNC(G101*H101, 1), "")</f>
        <v>13237.1</v>
      </c>
      <c r="J101" s="368">
        <v>1</v>
      </c>
      <c r="K101" s="368">
        <f>합산자재!I6</f>
        <v>0</v>
      </c>
      <c r="L101" s="369" t="str">
        <f>IF(G101*K101&lt;&gt;0, TRUNC(G101*K101, 1), "")</f>
        <v/>
      </c>
      <c r="M101" s="368">
        <f>합산자재!J6</f>
        <v>0</v>
      </c>
      <c r="N101" s="369" t="str">
        <f>IF(G101*M101&lt;&gt;0, TRUNC(G101*M101, 1), "")</f>
        <v/>
      </c>
      <c r="O101" s="368">
        <f t="shared" ref="O101:O106" si="37">IF((H101+K101+M101)=0, "", (H101+K101+M101))</f>
        <v>13237.1785</v>
      </c>
      <c r="P101" s="368">
        <f t="shared" ref="P101:P106" si="38">IF(SUM(I101,L101,N101)&lt;&gt;0,SUM(I101,L101,N101),"")</f>
        <v>13237.1</v>
      </c>
      <c r="Q101" s="354"/>
      <c r="AB101" s="347">
        <f>I101</f>
        <v>13237.1</v>
      </c>
      <c r="AC101" s="347">
        <f>G101*H101</f>
        <v>13237.1785</v>
      </c>
    </row>
    <row r="102" spans="1:31" ht="23.25" customHeight="1">
      <c r="A102" s="344" t="s">
        <v>1925</v>
      </c>
      <c r="B102" s="344" t="s">
        <v>1509</v>
      </c>
      <c r="C102" s="365" t="s">
        <v>1925</v>
      </c>
      <c r="D102" s="354" t="s">
        <v>1926</v>
      </c>
      <c r="E102" s="354" t="s">
        <v>1927</v>
      </c>
      <c r="F102" s="355" t="s">
        <v>212</v>
      </c>
      <c r="G102" s="368">
        <v>1</v>
      </c>
      <c r="H102" s="368">
        <f>TRUNC(AB102*옵션!$B$31/100,1)</f>
        <v>1985.5</v>
      </c>
      <c r="I102" s="369">
        <f>IF(G102*H102&lt;&gt;0, TRUNC(G102*H102, 1), "")</f>
        <v>1985.5</v>
      </c>
      <c r="J102" s="368">
        <v>1</v>
      </c>
      <c r="K102" s="368"/>
      <c r="L102" s="369" t="str">
        <f>IF(G102*K102&lt;&gt;0, TRUNC(G102*K102, 1), "")</f>
        <v/>
      </c>
      <c r="M102" s="368"/>
      <c r="N102" s="369" t="str">
        <f>IF(G102*M102&lt;&gt;0, TRUNC(G102*M102, 1), "")</f>
        <v/>
      </c>
      <c r="O102" s="368">
        <f t="shared" si="37"/>
        <v>1985.5</v>
      </c>
      <c r="P102" s="368">
        <f t="shared" si="38"/>
        <v>1985.5</v>
      </c>
      <c r="Q102" s="354"/>
      <c r="AB102" s="347">
        <f>TRUNC(SUM(AB100:AB101))</f>
        <v>13237</v>
      </c>
    </row>
    <row r="103" spans="1:31" ht="23.25" customHeight="1">
      <c r="A103" s="344" t="s">
        <v>1885</v>
      </c>
      <c r="B103" s="344" t="s">
        <v>1509</v>
      </c>
      <c r="C103" s="365" t="s">
        <v>1885</v>
      </c>
      <c r="D103" s="354" t="s">
        <v>1886</v>
      </c>
      <c r="E103" s="354" t="s">
        <v>1887</v>
      </c>
      <c r="F103" s="355" t="s">
        <v>212</v>
      </c>
      <c r="G103" s="368">
        <v>1</v>
      </c>
      <c r="H103" s="368">
        <f>IF(TRUNC((AD103+AC103)/$AD$3,1)*$AD$3-AD103 &lt;0, AC103, TRUNC((AD103+AC103)/$AD$3,1)*$AD$3-AD103)</f>
        <v>264.70000000000073</v>
      </c>
      <c r="I103" s="369">
        <f>H103</f>
        <v>264.70000000000073</v>
      </c>
      <c r="J103" s="368">
        <v>1</v>
      </c>
      <c r="K103" s="368"/>
      <c r="L103" s="369" t="str">
        <f>IF(G103*K103&lt;&gt;0, TRUNC(G103*K103, 1), "")</f>
        <v/>
      </c>
      <c r="M103" s="368"/>
      <c r="N103" s="369" t="str">
        <f>IF(G103*M103&lt;&gt;0, TRUNC(G103*M103, 1), "")</f>
        <v/>
      </c>
      <c r="O103" s="368">
        <f t="shared" si="37"/>
        <v>264.70000000000073</v>
      </c>
      <c r="P103" s="368">
        <f t="shared" si="38"/>
        <v>264.70000000000073</v>
      </c>
      <c r="Q103" s="354"/>
      <c r="AC103" s="347">
        <f>TRUNC(TRUNC(SUM(AC100:AC102))*옵션!$B$33/100,1)</f>
        <v>264.7</v>
      </c>
      <c r="AD103" s="347">
        <f>TRUNC(SUM(I100:I102))+TRUNC(SUM(N100:N102))</f>
        <v>15222</v>
      </c>
    </row>
    <row r="104" spans="1:31" ht="23.25" customHeight="1">
      <c r="A104" s="344" t="s">
        <v>1850</v>
      </c>
      <c r="B104" s="344" t="s">
        <v>1509</v>
      </c>
      <c r="C104" s="365" t="s">
        <v>1850</v>
      </c>
      <c r="D104" s="354" t="s">
        <v>1664</v>
      </c>
      <c r="E104" s="354" t="s">
        <v>1851</v>
      </c>
      <c r="F104" s="355" t="s">
        <v>1852</v>
      </c>
      <c r="G104" s="368">
        <f>일위노임!G48</f>
        <v>0.71</v>
      </c>
      <c r="H104" s="368">
        <f>합산자재!H120</f>
        <v>0</v>
      </c>
      <c r="I104" s="369" t="str">
        <f>IF(G104*H104&lt;&gt;0, TRUNC(G104*H104, 1), "")</f>
        <v/>
      </c>
      <c r="J104" s="368">
        <v>0.71</v>
      </c>
      <c r="K104" s="368">
        <f>합산자재!I120</f>
        <v>229252.87931000002</v>
      </c>
      <c r="L104" s="369">
        <f>IF(G104*K104&lt;&gt;0, TRUNC(G104*K104, 1), "")</f>
        <v>162769.5</v>
      </c>
      <c r="M104" s="368">
        <f>합산자재!J120</f>
        <v>0</v>
      </c>
      <c r="N104" s="369" t="str">
        <f>IF(G104*M104&lt;&gt;0, TRUNC(G104*M104, 1), "")</f>
        <v/>
      </c>
      <c r="O104" s="368">
        <f t="shared" si="37"/>
        <v>229252.87931000002</v>
      </c>
      <c r="P104" s="368">
        <f t="shared" si="38"/>
        <v>162769.5</v>
      </c>
      <c r="Q104" s="354"/>
      <c r="AE104" s="347">
        <f>L104</f>
        <v>162769.5</v>
      </c>
    </row>
    <row r="105" spans="1:31" ht="23.25" customHeight="1">
      <c r="A105" s="344" t="s">
        <v>1853</v>
      </c>
      <c r="B105" s="344" t="s">
        <v>1509</v>
      </c>
      <c r="C105" s="365" t="s">
        <v>1853</v>
      </c>
      <c r="D105" s="354" t="s">
        <v>1854</v>
      </c>
      <c r="E105" s="354" t="s">
        <v>1855</v>
      </c>
      <c r="F105" s="355" t="s">
        <v>212</v>
      </c>
      <c r="G105" s="368">
        <v>1</v>
      </c>
      <c r="H105" s="368">
        <f>IF(TRUNC((AD106+AC106)/$AE$3,1)*$AE$3-AD106 &lt;0, AC106, TRUNC((AD106+AC106)/$AE$3,1)*$AE$3-AD106)</f>
        <v>3255.2999999999884</v>
      </c>
      <c r="I105" s="369">
        <f>H105</f>
        <v>3255.2999999999884</v>
      </c>
      <c r="J105" s="368">
        <v>1</v>
      </c>
      <c r="K105" s="368"/>
      <c r="L105" s="369" t="str">
        <f>IF(G105*K105&lt;&gt;0, TRUNC(G105*K105, 1), "")</f>
        <v/>
      </c>
      <c r="M105" s="368"/>
      <c r="N105" s="369" t="str">
        <f>IF(G105*M105&lt;&gt;0, TRUNC(G105*M105, 1), "")</f>
        <v/>
      </c>
      <c r="O105" s="368">
        <f t="shared" si="37"/>
        <v>3255.2999999999884</v>
      </c>
      <c r="P105" s="368">
        <f t="shared" si="38"/>
        <v>3255.2999999999884</v>
      </c>
      <c r="Q105" s="354"/>
    </row>
    <row r="106" spans="1:31" ht="23.25" customHeight="1">
      <c r="B106" s="344" t="s">
        <v>715</v>
      </c>
      <c r="D106" s="354" t="s">
        <v>216</v>
      </c>
      <c r="E106" s="354"/>
      <c r="F106" s="355"/>
      <c r="G106" s="368"/>
      <c r="H106" s="368"/>
      <c r="I106" s="369">
        <f>TRUNC(SUM(I100:I105))</f>
        <v>18742</v>
      </c>
      <c r="J106" s="368"/>
      <c r="K106" s="368"/>
      <c r="L106" s="369">
        <f>TRUNC(SUM(L100:L105))</f>
        <v>162769</v>
      </c>
      <c r="M106" s="368"/>
      <c r="N106" s="369">
        <f>TRUNC(SUM(N100:N105))</f>
        <v>0</v>
      </c>
      <c r="O106" s="368" t="str">
        <f t="shared" si="37"/>
        <v/>
      </c>
      <c r="P106" s="368">
        <f t="shared" si="38"/>
        <v>181511</v>
      </c>
      <c r="Q106" s="354"/>
      <c r="AC106" s="347">
        <f>TRUNC(AE106*옵션!$B$36/100,1)</f>
        <v>3255.3</v>
      </c>
      <c r="AD106" s="347">
        <f>TRUNC(SUM(L100:L104))</f>
        <v>162769</v>
      </c>
      <c r="AE106" s="347">
        <f>TRUNC(SUM(AE100:AE105))</f>
        <v>162769</v>
      </c>
    </row>
    <row r="107" spans="1:31" ht="23.25" customHeight="1">
      <c r="D107" s="354"/>
      <c r="E107" s="354"/>
      <c r="F107" s="355"/>
      <c r="G107" s="368"/>
      <c r="H107" s="368"/>
      <c r="I107" s="369"/>
      <c r="J107" s="368"/>
      <c r="K107" s="368"/>
      <c r="L107" s="369"/>
      <c r="M107" s="368"/>
      <c r="N107" s="369"/>
      <c r="O107" s="368"/>
      <c r="P107" s="368"/>
      <c r="Q107" s="354"/>
    </row>
    <row r="108" spans="1:31" ht="23.25" customHeight="1">
      <c r="A108" s="344" t="s">
        <v>856</v>
      </c>
      <c r="B108" s="344" t="s">
        <v>1833</v>
      </c>
      <c r="C108" s="365" t="s">
        <v>1934</v>
      </c>
      <c r="D108" s="714" t="s">
        <v>1935</v>
      </c>
      <c r="E108" s="715"/>
      <c r="F108" s="355"/>
      <c r="G108" s="368"/>
      <c r="H108" s="368"/>
      <c r="I108" s="369"/>
      <c r="J108" s="368"/>
      <c r="K108" s="368"/>
      <c r="L108" s="369"/>
      <c r="M108" s="368"/>
      <c r="N108" s="369"/>
      <c r="O108" s="368"/>
      <c r="P108" s="368"/>
      <c r="Q108" s="354"/>
    </row>
    <row r="109" spans="1:31" ht="23.25" customHeight="1">
      <c r="A109" s="344" t="s">
        <v>1936</v>
      </c>
      <c r="B109" s="344" t="s">
        <v>1510</v>
      </c>
      <c r="C109" s="365" t="s">
        <v>1936</v>
      </c>
      <c r="D109" s="354" t="s">
        <v>394</v>
      </c>
      <c r="E109" s="354" t="s">
        <v>436</v>
      </c>
      <c r="F109" s="355" t="s">
        <v>255</v>
      </c>
      <c r="G109" s="368">
        <v>1</v>
      </c>
      <c r="H109" s="368">
        <f>합산자재!H7</f>
        <v>2106.43797</v>
      </c>
      <c r="I109" s="369">
        <f>IF(G109*H109&lt;&gt;0, TRUNC(G109*H109, 1), "")</f>
        <v>2106.4</v>
      </c>
      <c r="J109" s="368">
        <v>1</v>
      </c>
      <c r="K109" s="368">
        <f>합산자재!I7</f>
        <v>0</v>
      </c>
      <c r="L109" s="369" t="str">
        <f>IF(G109*K109&lt;&gt;0, TRUNC(G109*K109, 1), "")</f>
        <v/>
      </c>
      <c r="M109" s="368">
        <f>합산자재!J7</f>
        <v>0</v>
      </c>
      <c r="N109" s="369" t="str">
        <f>IF(G109*M109&lt;&gt;0, TRUNC(G109*M109, 1), "")</f>
        <v/>
      </c>
      <c r="O109" s="368">
        <f t="shared" ref="O109:O114" si="39">IF((H109+K109+M109)=0, "", (H109+K109+M109))</f>
        <v>2106.43797</v>
      </c>
      <c r="P109" s="368">
        <f t="shared" ref="P109:P114" si="40">IF(SUM(I109,L109,N109)&lt;&gt;0,SUM(I109,L109,N109),"")</f>
        <v>2106.4</v>
      </c>
      <c r="Q109" s="354"/>
      <c r="AB109" s="347">
        <f>I109</f>
        <v>2106.4</v>
      </c>
      <c r="AC109" s="347">
        <f>G109*H109</f>
        <v>2106.43797</v>
      </c>
    </row>
    <row r="110" spans="1:31" ht="23.25" customHeight="1">
      <c r="A110" s="344" t="s">
        <v>1925</v>
      </c>
      <c r="B110" s="344" t="s">
        <v>1510</v>
      </c>
      <c r="C110" s="365" t="s">
        <v>1925</v>
      </c>
      <c r="D110" s="354" t="s">
        <v>1926</v>
      </c>
      <c r="E110" s="354" t="s">
        <v>1927</v>
      </c>
      <c r="F110" s="355" t="s">
        <v>212</v>
      </c>
      <c r="G110" s="368">
        <v>1</v>
      </c>
      <c r="H110" s="368">
        <f>TRUNC(AB110*옵션!$B$31/100,1)</f>
        <v>315.89999999999998</v>
      </c>
      <c r="I110" s="369">
        <f>IF(G110*H110&lt;&gt;0, TRUNC(G110*H110, 1), "")</f>
        <v>315.89999999999998</v>
      </c>
      <c r="J110" s="368">
        <v>1</v>
      </c>
      <c r="K110" s="368"/>
      <c r="L110" s="369" t="str">
        <f>IF(G110*K110&lt;&gt;0, TRUNC(G110*K110, 1), "")</f>
        <v/>
      </c>
      <c r="M110" s="368"/>
      <c r="N110" s="369" t="str">
        <f>IF(G110*M110&lt;&gt;0, TRUNC(G110*M110, 1), "")</f>
        <v/>
      </c>
      <c r="O110" s="368">
        <f t="shared" si="39"/>
        <v>315.89999999999998</v>
      </c>
      <c r="P110" s="368">
        <f t="shared" si="40"/>
        <v>315.89999999999998</v>
      </c>
      <c r="Q110" s="354"/>
      <c r="AB110" s="347">
        <f>TRUNC(SUM(AB108:AB109))</f>
        <v>2106</v>
      </c>
    </row>
    <row r="111" spans="1:31" ht="23.25" customHeight="1">
      <c r="A111" s="344" t="s">
        <v>1885</v>
      </c>
      <c r="B111" s="344" t="s">
        <v>1510</v>
      </c>
      <c r="C111" s="365" t="s">
        <v>1885</v>
      </c>
      <c r="D111" s="354" t="s">
        <v>1886</v>
      </c>
      <c r="E111" s="354" t="s">
        <v>1887</v>
      </c>
      <c r="F111" s="355" t="s">
        <v>212</v>
      </c>
      <c r="G111" s="368">
        <v>1</v>
      </c>
      <c r="H111" s="368">
        <f>IF(TRUNC((AD111+AC111)/$AD$3,1)*$AD$3-AD111 &lt;0, AC111, TRUNC((AD111+AC111)/$AD$3,1)*$AD$3-AD111)</f>
        <v>42.099999999999909</v>
      </c>
      <c r="I111" s="369">
        <f>H111</f>
        <v>42.099999999999909</v>
      </c>
      <c r="J111" s="368">
        <v>1</v>
      </c>
      <c r="K111" s="368"/>
      <c r="L111" s="369" t="str">
        <f>IF(G111*K111&lt;&gt;0, TRUNC(G111*K111, 1), "")</f>
        <v/>
      </c>
      <c r="M111" s="368"/>
      <c r="N111" s="369" t="str">
        <f>IF(G111*M111&lt;&gt;0, TRUNC(G111*M111, 1), "")</f>
        <v/>
      </c>
      <c r="O111" s="368">
        <f t="shared" si="39"/>
        <v>42.099999999999909</v>
      </c>
      <c r="P111" s="368">
        <f t="shared" si="40"/>
        <v>42.099999999999909</v>
      </c>
      <c r="Q111" s="354"/>
      <c r="AC111" s="347">
        <f>TRUNC(TRUNC(SUM(AC108:AC110))*옵션!$B$33/100,1)</f>
        <v>42.1</v>
      </c>
      <c r="AD111" s="347">
        <f>TRUNC(SUM(I108:I110))+TRUNC(SUM(N108:N110))</f>
        <v>2422</v>
      </c>
    </row>
    <row r="112" spans="1:31" ht="23.25" customHeight="1">
      <c r="A112" s="344" t="s">
        <v>1850</v>
      </c>
      <c r="B112" s="344" t="s">
        <v>1510</v>
      </c>
      <c r="C112" s="365" t="s">
        <v>1850</v>
      </c>
      <c r="D112" s="354" t="s">
        <v>1664</v>
      </c>
      <c r="E112" s="354" t="s">
        <v>1851</v>
      </c>
      <c r="F112" s="355" t="s">
        <v>1852</v>
      </c>
      <c r="G112" s="368">
        <f>일위노임!G51</f>
        <v>0.13200000000000001</v>
      </c>
      <c r="H112" s="368">
        <f>합산자재!H120</f>
        <v>0</v>
      </c>
      <c r="I112" s="369" t="str">
        <f>IF(G112*H112&lt;&gt;0, TRUNC(G112*H112, 1), "")</f>
        <v/>
      </c>
      <c r="J112" s="368">
        <v>0.13200000000000001</v>
      </c>
      <c r="K112" s="368">
        <f>합산자재!I120</f>
        <v>229252.87931000002</v>
      </c>
      <c r="L112" s="369">
        <f>IF(G112*K112&lt;&gt;0, TRUNC(G112*K112, 1), "")</f>
        <v>30261.3</v>
      </c>
      <c r="M112" s="368">
        <f>합산자재!J120</f>
        <v>0</v>
      </c>
      <c r="N112" s="369" t="str">
        <f>IF(G112*M112&lt;&gt;0, TRUNC(G112*M112, 1), "")</f>
        <v/>
      </c>
      <c r="O112" s="368">
        <f t="shared" si="39"/>
        <v>229252.87931000002</v>
      </c>
      <c r="P112" s="368">
        <f t="shared" si="40"/>
        <v>30261.3</v>
      </c>
      <c r="Q112" s="354"/>
      <c r="AE112" s="347">
        <f>L112</f>
        <v>30261.3</v>
      </c>
    </row>
    <row r="113" spans="1:31" ht="23.25" customHeight="1">
      <c r="A113" s="344" t="s">
        <v>1853</v>
      </c>
      <c r="B113" s="344" t="s">
        <v>1510</v>
      </c>
      <c r="C113" s="365" t="s">
        <v>1853</v>
      </c>
      <c r="D113" s="354" t="s">
        <v>1854</v>
      </c>
      <c r="E113" s="354" t="s">
        <v>1855</v>
      </c>
      <c r="F113" s="355" t="s">
        <v>212</v>
      </c>
      <c r="G113" s="368">
        <v>1</v>
      </c>
      <c r="H113" s="368">
        <f>IF(TRUNC((AD114+AC114)/$AE$3,1)*$AE$3-AD114 &lt;0, AC114, TRUNC((AD114+AC114)/$AE$3,1)*$AE$3-AD114)</f>
        <v>605.20000000000073</v>
      </c>
      <c r="I113" s="369">
        <f>H113</f>
        <v>605.20000000000073</v>
      </c>
      <c r="J113" s="368">
        <v>1</v>
      </c>
      <c r="K113" s="368"/>
      <c r="L113" s="369" t="str">
        <f>IF(G113*K113&lt;&gt;0, TRUNC(G113*K113, 1), "")</f>
        <v/>
      </c>
      <c r="M113" s="368"/>
      <c r="N113" s="369" t="str">
        <f>IF(G113*M113&lt;&gt;0, TRUNC(G113*M113, 1), "")</f>
        <v/>
      </c>
      <c r="O113" s="368">
        <f t="shared" si="39"/>
        <v>605.20000000000073</v>
      </c>
      <c r="P113" s="368">
        <f t="shared" si="40"/>
        <v>605.20000000000073</v>
      </c>
      <c r="Q113" s="354"/>
    </row>
    <row r="114" spans="1:31" ht="23.25" customHeight="1">
      <c r="B114" s="344" t="s">
        <v>715</v>
      </c>
      <c r="D114" s="354" t="s">
        <v>216</v>
      </c>
      <c r="E114" s="354"/>
      <c r="F114" s="355"/>
      <c r="G114" s="368"/>
      <c r="H114" s="368"/>
      <c r="I114" s="369">
        <f>TRUNC(SUM(I108:I113))</f>
        <v>3069</v>
      </c>
      <c r="J114" s="368"/>
      <c r="K114" s="368"/>
      <c r="L114" s="369">
        <f>TRUNC(SUM(L108:L113))</f>
        <v>30261</v>
      </c>
      <c r="M114" s="368"/>
      <c r="N114" s="369">
        <f>TRUNC(SUM(N108:N113))</f>
        <v>0</v>
      </c>
      <c r="O114" s="368" t="str">
        <f t="shared" si="39"/>
        <v/>
      </c>
      <c r="P114" s="368">
        <f t="shared" si="40"/>
        <v>33330</v>
      </c>
      <c r="Q114" s="354"/>
      <c r="AC114" s="347">
        <f>TRUNC(AE114*옵션!$B$36/100,1)</f>
        <v>605.20000000000005</v>
      </c>
      <c r="AD114" s="347">
        <f>TRUNC(SUM(L108:L112))</f>
        <v>30261</v>
      </c>
      <c r="AE114" s="347">
        <f>TRUNC(SUM(AE108:AE113))</f>
        <v>30261</v>
      </c>
    </row>
    <row r="115" spans="1:31" ht="23.25" customHeight="1">
      <c r="D115" s="354"/>
      <c r="E115" s="354"/>
      <c r="F115" s="355"/>
      <c r="G115" s="368"/>
      <c r="H115" s="368"/>
      <c r="I115" s="369"/>
      <c r="J115" s="368"/>
      <c r="K115" s="368"/>
      <c r="L115" s="369"/>
      <c r="M115" s="368"/>
      <c r="N115" s="369"/>
      <c r="O115" s="368"/>
      <c r="P115" s="368"/>
      <c r="Q115" s="354"/>
    </row>
    <row r="116" spans="1:31" ht="23.25" customHeight="1">
      <c r="A116" s="344" t="s">
        <v>962</v>
      </c>
      <c r="B116" s="344" t="s">
        <v>1833</v>
      </c>
      <c r="C116" s="365" t="s">
        <v>1937</v>
      </c>
      <c r="D116" s="714" t="s">
        <v>1938</v>
      </c>
      <c r="E116" s="715"/>
      <c r="F116" s="355"/>
      <c r="G116" s="368"/>
      <c r="H116" s="368"/>
      <c r="I116" s="369"/>
      <c r="J116" s="368"/>
      <c r="K116" s="368"/>
      <c r="L116" s="369"/>
      <c r="M116" s="368"/>
      <c r="N116" s="369"/>
      <c r="O116" s="368"/>
      <c r="P116" s="368"/>
      <c r="Q116" s="354"/>
    </row>
    <row r="117" spans="1:31" ht="23.25" customHeight="1">
      <c r="A117" s="344" t="s">
        <v>1939</v>
      </c>
      <c r="B117" s="344" t="s">
        <v>1512</v>
      </c>
      <c r="C117" s="365" t="s">
        <v>1939</v>
      </c>
      <c r="D117" s="354" t="s">
        <v>344</v>
      </c>
      <c r="E117" s="354" t="s">
        <v>532</v>
      </c>
      <c r="F117" s="355" t="s">
        <v>255</v>
      </c>
      <c r="G117" s="368">
        <v>1</v>
      </c>
      <c r="H117" s="368">
        <f>합산자재!H8</f>
        <v>227.55551000000003</v>
      </c>
      <c r="I117" s="369">
        <f>IF(G117*H117&lt;&gt;0, TRUNC(G117*H117, 1), "")</f>
        <v>227.5</v>
      </c>
      <c r="J117" s="368">
        <v>1</v>
      </c>
      <c r="K117" s="368">
        <f>합산자재!I8</f>
        <v>0</v>
      </c>
      <c r="L117" s="369" t="str">
        <f>IF(G117*K117&lt;&gt;0, TRUNC(G117*K117, 1), "")</f>
        <v/>
      </c>
      <c r="M117" s="368">
        <f>합산자재!J8</f>
        <v>0</v>
      </c>
      <c r="N117" s="369" t="str">
        <f>IF(G117*M117&lt;&gt;0, TRUNC(G117*M117, 1), "")</f>
        <v/>
      </c>
      <c r="O117" s="368">
        <f t="shared" ref="O117:O122" si="41">IF((H117+K117+M117)=0, "", (H117+K117+M117))</f>
        <v>227.55551000000003</v>
      </c>
      <c r="P117" s="368">
        <f t="shared" ref="P117:P122" si="42">IF(SUM(I117,L117,N117)&lt;&gt;0,SUM(I117,L117,N117),"")</f>
        <v>227.5</v>
      </c>
      <c r="Q117" s="354"/>
      <c r="AB117" s="347">
        <f>I117</f>
        <v>227.5</v>
      </c>
      <c r="AC117" s="347">
        <f>G117*H117</f>
        <v>227.55551000000003</v>
      </c>
    </row>
    <row r="118" spans="1:31" ht="23.25" customHeight="1">
      <c r="A118" s="344" t="s">
        <v>1925</v>
      </c>
      <c r="B118" s="344" t="s">
        <v>1512</v>
      </c>
      <c r="C118" s="365" t="s">
        <v>1925</v>
      </c>
      <c r="D118" s="354" t="s">
        <v>1926</v>
      </c>
      <c r="E118" s="354" t="s">
        <v>1927</v>
      </c>
      <c r="F118" s="355" t="s">
        <v>212</v>
      </c>
      <c r="G118" s="368">
        <v>1</v>
      </c>
      <c r="H118" s="368">
        <f>TRUNC(AB118*옵션!$B$31/100,1)</f>
        <v>34</v>
      </c>
      <c r="I118" s="369">
        <f>IF(G118*H118&lt;&gt;0, TRUNC(G118*H118, 1), "")</f>
        <v>34</v>
      </c>
      <c r="J118" s="368">
        <v>1</v>
      </c>
      <c r="K118" s="368"/>
      <c r="L118" s="369" t="str">
        <f>IF(G118*K118&lt;&gt;0, TRUNC(G118*K118, 1), "")</f>
        <v/>
      </c>
      <c r="M118" s="368"/>
      <c r="N118" s="369" t="str">
        <f>IF(G118*M118&lt;&gt;0, TRUNC(G118*M118, 1), "")</f>
        <v/>
      </c>
      <c r="O118" s="368">
        <f t="shared" si="41"/>
        <v>34</v>
      </c>
      <c r="P118" s="368">
        <f t="shared" si="42"/>
        <v>34</v>
      </c>
      <c r="Q118" s="354"/>
      <c r="AB118" s="347">
        <f>TRUNC(SUM(AB116:AB117))</f>
        <v>227</v>
      </c>
    </row>
    <row r="119" spans="1:31" ht="23.25" customHeight="1">
      <c r="A119" s="344" t="s">
        <v>1885</v>
      </c>
      <c r="B119" s="344" t="s">
        <v>1512</v>
      </c>
      <c r="C119" s="365" t="s">
        <v>1885</v>
      </c>
      <c r="D119" s="354" t="s">
        <v>1886</v>
      </c>
      <c r="E119" s="354" t="s">
        <v>1887</v>
      </c>
      <c r="F119" s="355" t="s">
        <v>212</v>
      </c>
      <c r="G119" s="368">
        <v>1</v>
      </c>
      <c r="H119" s="368">
        <f>IF(TRUNC((AD119+AC119)/$AD$3,1)*$AD$3-AD119 &lt;0, AC119, TRUNC((AD119+AC119)/$AD$3,1)*$AD$3-AD119)</f>
        <v>4.5</v>
      </c>
      <c r="I119" s="369">
        <f>H119</f>
        <v>4.5</v>
      </c>
      <c r="J119" s="368">
        <v>1</v>
      </c>
      <c r="K119" s="368"/>
      <c r="L119" s="369" t="str">
        <f>IF(G119*K119&lt;&gt;0, TRUNC(G119*K119, 1), "")</f>
        <v/>
      </c>
      <c r="M119" s="368"/>
      <c r="N119" s="369" t="str">
        <f>IF(G119*M119&lt;&gt;0, TRUNC(G119*M119, 1), "")</f>
        <v/>
      </c>
      <c r="O119" s="368">
        <f t="shared" si="41"/>
        <v>4.5</v>
      </c>
      <c r="P119" s="368">
        <f t="shared" si="42"/>
        <v>4.5</v>
      </c>
      <c r="Q119" s="354"/>
      <c r="AC119" s="347">
        <f>TRUNC(TRUNC(SUM(AC116:AC118))*옵션!$B$33/100,1)</f>
        <v>4.5</v>
      </c>
      <c r="AD119" s="347">
        <f>TRUNC(SUM(I116:I118))+TRUNC(SUM(N116:N118))</f>
        <v>261</v>
      </c>
    </row>
    <row r="120" spans="1:31" ht="23.25" customHeight="1">
      <c r="A120" s="344" t="s">
        <v>1850</v>
      </c>
      <c r="B120" s="344" t="s">
        <v>1512</v>
      </c>
      <c r="C120" s="365" t="s">
        <v>1850</v>
      </c>
      <c r="D120" s="354" t="s">
        <v>1664</v>
      </c>
      <c r="E120" s="354" t="s">
        <v>1851</v>
      </c>
      <c r="F120" s="355" t="s">
        <v>1852</v>
      </c>
      <c r="G120" s="368">
        <f>일위노임!G54</f>
        <v>0.05</v>
      </c>
      <c r="H120" s="368">
        <f>합산자재!H120</f>
        <v>0</v>
      </c>
      <c r="I120" s="369" t="str">
        <f>IF(G120*H120&lt;&gt;0, TRUNC(G120*H120, 1), "")</f>
        <v/>
      </c>
      <c r="J120" s="368">
        <v>0.05</v>
      </c>
      <c r="K120" s="368">
        <f>합산자재!I120</f>
        <v>229252.87931000002</v>
      </c>
      <c r="L120" s="369">
        <f>IF(G120*K120&lt;&gt;0, TRUNC(G120*K120, 1), "")</f>
        <v>11462.6</v>
      </c>
      <c r="M120" s="368">
        <f>합산자재!J120</f>
        <v>0</v>
      </c>
      <c r="N120" s="369" t="str">
        <f>IF(G120*M120&lt;&gt;0, TRUNC(G120*M120, 1), "")</f>
        <v/>
      </c>
      <c r="O120" s="368">
        <f t="shared" si="41"/>
        <v>229252.87931000002</v>
      </c>
      <c r="P120" s="368">
        <f t="shared" si="42"/>
        <v>11462.6</v>
      </c>
      <c r="Q120" s="354"/>
      <c r="AE120" s="347">
        <f>L120</f>
        <v>11462.6</v>
      </c>
    </row>
    <row r="121" spans="1:31" ht="23.25" customHeight="1">
      <c r="A121" s="344" t="s">
        <v>1853</v>
      </c>
      <c r="B121" s="344" t="s">
        <v>1512</v>
      </c>
      <c r="C121" s="365" t="s">
        <v>1853</v>
      </c>
      <c r="D121" s="354" t="s">
        <v>1854</v>
      </c>
      <c r="E121" s="354" t="s">
        <v>1855</v>
      </c>
      <c r="F121" s="355" t="s">
        <v>212</v>
      </c>
      <c r="G121" s="368">
        <v>1</v>
      </c>
      <c r="H121" s="368">
        <f>IF(TRUNC((AD122+AC122)/$AE$3,1)*$AE$3-AD122 &lt;0, AC122, TRUNC((AD122+AC122)/$AE$3,1)*$AE$3-AD122)</f>
        <v>229.20000000000073</v>
      </c>
      <c r="I121" s="369">
        <f>H121</f>
        <v>229.20000000000073</v>
      </c>
      <c r="J121" s="368">
        <v>1</v>
      </c>
      <c r="K121" s="368"/>
      <c r="L121" s="369" t="str">
        <f>IF(G121*K121&lt;&gt;0, TRUNC(G121*K121, 1), "")</f>
        <v/>
      </c>
      <c r="M121" s="368"/>
      <c r="N121" s="369" t="str">
        <f>IF(G121*M121&lt;&gt;0, TRUNC(G121*M121, 1), "")</f>
        <v/>
      </c>
      <c r="O121" s="368">
        <f t="shared" si="41"/>
        <v>229.20000000000073</v>
      </c>
      <c r="P121" s="368">
        <f t="shared" si="42"/>
        <v>229.20000000000073</v>
      </c>
      <c r="Q121" s="354"/>
    </row>
    <row r="122" spans="1:31" ht="23.25" customHeight="1">
      <c r="B122" s="344" t="s">
        <v>715</v>
      </c>
      <c r="D122" s="354" t="s">
        <v>216</v>
      </c>
      <c r="E122" s="354"/>
      <c r="F122" s="355"/>
      <c r="G122" s="368"/>
      <c r="H122" s="368"/>
      <c r="I122" s="369">
        <f>TRUNC(SUM(I116:I121))</f>
        <v>495</v>
      </c>
      <c r="J122" s="368"/>
      <c r="K122" s="368"/>
      <c r="L122" s="369">
        <f>TRUNC(SUM(L116:L121))</f>
        <v>11462</v>
      </c>
      <c r="M122" s="368"/>
      <c r="N122" s="369">
        <f>TRUNC(SUM(N116:N121))</f>
        <v>0</v>
      </c>
      <c r="O122" s="368" t="str">
        <f t="shared" si="41"/>
        <v/>
      </c>
      <c r="P122" s="368">
        <f t="shared" si="42"/>
        <v>11957</v>
      </c>
      <c r="Q122" s="354"/>
      <c r="AC122" s="347">
        <f>TRUNC(AE122*옵션!$B$36/100,1)</f>
        <v>229.2</v>
      </c>
      <c r="AD122" s="347">
        <f>TRUNC(SUM(L116:L120))</f>
        <v>11462</v>
      </c>
      <c r="AE122" s="347">
        <f>TRUNC(SUM(AE116:AE121))</f>
        <v>11462</v>
      </c>
    </row>
    <row r="123" spans="1:31" ht="23.25" customHeight="1">
      <c r="D123" s="354"/>
      <c r="E123" s="354"/>
      <c r="F123" s="355"/>
      <c r="G123" s="368"/>
      <c r="H123" s="368"/>
      <c r="I123" s="369"/>
      <c r="J123" s="368"/>
      <c r="K123" s="368"/>
      <c r="L123" s="369"/>
      <c r="M123" s="368"/>
      <c r="N123" s="369"/>
      <c r="O123" s="368"/>
      <c r="P123" s="368"/>
      <c r="Q123" s="354"/>
    </row>
    <row r="124" spans="1:31" ht="23.25" customHeight="1">
      <c r="A124" s="344" t="s">
        <v>966</v>
      </c>
      <c r="B124" s="344" t="s">
        <v>1833</v>
      </c>
      <c r="C124" s="365" t="s">
        <v>1940</v>
      </c>
      <c r="D124" s="714" t="s">
        <v>1941</v>
      </c>
      <c r="E124" s="715"/>
      <c r="F124" s="355"/>
      <c r="G124" s="368"/>
      <c r="H124" s="368"/>
      <c r="I124" s="369"/>
      <c r="J124" s="368"/>
      <c r="K124" s="368"/>
      <c r="L124" s="369"/>
      <c r="M124" s="368"/>
      <c r="N124" s="369"/>
      <c r="O124" s="368"/>
      <c r="P124" s="368"/>
      <c r="Q124" s="354"/>
    </row>
    <row r="125" spans="1:31" ht="23.25" customHeight="1">
      <c r="A125" s="344" t="s">
        <v>1942</v>
      </c>
      <c r="B125" s="344" t="s">
        <v>1514</v>
      </c>
      <c r="C125" s="365" t="s">
        <v>1942</v>
      </c>
      <c r="D125" s="354" t="s">
        <v>344</v>
      </c>
      <c r="E125" s="354" t="s">
        <v>533</v>
      </c>
      <c r="F125" s="355" t="s">
        <v>255</v>
      </c>
      <c r="G125" s="368">
        <v>1</v>
      </c>
      <c r="H125" s="368">
        <f>합산자재!H9</f>
        <v>536.57058000000006</v>
      </c>
      <c r="I125" s="369">
        <f>IF(G125*H125&lt;&gt;0, TRUNC(G125*H125, 1), "")</f>
        <v>536.5</v>
      </c>
      <c r="J125" s="368">
        <v>1</v>
      </c>
      <c r="K125" s="368">
        <f>합산자재!I9</f>
        <v>0</v>
      </c>
      <c r="L125" s="369" t="str">
        <f>IF(G125*K125&lt;&gt;0, TRUNC(G125*K125, 1), "")</f>
        <v/>
      </c>
      <c r="M125" s="368">
        <f>합산자재!J9</f>
        <v>0</v>
      </c>
      <c r="N125" s="369" t="str">
        <f>IF(G125*M125&lt;&gt;0, TRUNC(G125*M125, 1), "")</f>
        <v/>
      </c>
      <c r="O125" s="368">
        <f t="shared" ref="O125:O130" si="43">IF((H125+K125+M125)=0, "", (H125+K125+M125))</f>
        <v>536.57058000000006</v>
      </c>
      <c r="P125" s="368">
        <f t="shared" ref="P125:P130" si="44">IF(SUM(I125,L125,N125)&lt;&gt;0,SUM(I125,L125,N125),"")</f>
        <v>536.5</v>
      </c>
      <c r="Q125" s="354"/>
      <c r="AB125" s="347">
        <f>I125</f>
        <v>536.5</v>
      </c>
      <c r="AC125" s="347">
        <f>G125*H125</f>
        <v>536.57058000000006</v>
      </c>
    </row>
    <row r="126" spans="1:31" ht="23.25" customHeight="1">
      <c r="A126" s="344" t="s">
        <v>1925</v>
      </c>
      <c r="B126" s="344" t="s">
        <v>1514</v>
      </c>
      <c r="C126" s="365" t="s">
        <v>1925</v>
      </c>
      <c r="D126" s="354" t="s">
        <v>1926</v>
      </c>
      <c r="E126" s="354" t="s">
        <v>1927</v>
      </c>
      <c r="F126" s="355" t="s">
        <v>212</v>
      </c>
      <c r="G126" s="368">
        <v>1</v>
      </c>
      <c r="H126" s="368">
        <f>TRUNC(AB126*옵션!$B$31/100,1)</f>
        <v>80.400000000000006</v>
      </c>
      <c r="I126" s="369">
        <f>IF(G126*H126&lt;&gt;0, TRUNC(G126*H126, 1), "")</f>
        <v>80.400000000000006</v>
      </c>
      <c r="J126" s="368">
        <v>1</v>
      </c>
      <c r="K126" s="368"/>
      <c r="L126" s="369" t="str">
        <f>IF(G126*K126&lt;&gt;0, TRUNC(G126*K126, 1), "")</f>
        <v/>
      </c>
      <c r="M126" s="368"/>
      <c r="N126" s="369" t="str">
        <f>IF(G126*M126&lt;&gt;0, TRUNC(G126*M126, 1), "")</f>
        <v/>
      </c>
      <c r="O126" s="368">
        <f t="shared" si="43"/>
        <v>80.400000000000006</v>
      </c>
      <c r="P126" s="368">
        <f t="shared" si="44"/>
        <v>80.400000000000006</v>
      </c>
      <c r="Q126" s="354"/>
      <c r="AB126" s="347">
        <f>TRUNC(SUM(AB124:AB125))</f>
        <v>536</v>
      </c>
    </row>
    <row r="127" spans="1:31" ht="23.25" customHeight="1">
      <c r="A127" s="344" t="s">
        <v>1885</v>
      </c>
      <c r="B127" s="344" t="s">
        <v>1514</v>
      </c>
      <c r="C127" s="365" t="s">
        <v>1885</v>
      </c>
      <c r="D127" s="354" t="s">
        <v>1886</v>
      </c>
      <c r="E127" s="354" t="s">
        <v>1887</v>
      </c>
      <c r="F127" s="355" t="s">
        <v>212</v>
      </c>
      <c r="G127" s="368">
        <v>1</v>
      </c>
      <c r="H127" s="368">
        <f>IF(TRUNC((AD127+AC127)/$AD$3,1)*$AD$3-AD127 &lt;0, AC127, TRUNC((AD127+AC127)/$AD$3,1)*$AD$3-AD127)</f>
        <v>10.700000000000045</v>
      </c>
      <c r="I127" s="369">
        <f>H127</f>
        <v>10.700000000000045</v>
      </c>
      <c r="J127" s="368">
        <v>1</v>
      </c>
      <c r="K127" s="368"/>
      <c r="L127" s="369" t="str">
        <f>IF(G127*K127&lt;&gt;0, TRUNC(G127*K127, 1), "")</f>
        <v/>
      </c>
      <c r="M127" s="368"/>
      <c r="N127" s="369" t="str">
        <f>IF(G127*M127&lt;&gt;0, TRUNC(G127*M127, 1), "")</f>
        <v/>
      </c>
      <c r="O127" s="368">
        <f t="shared" si="43"/>
        <v>10.700000000000045</v>
      </c>
      <c r="P127" s="368">
        <f t="shared" si="44"/>
        <v>10.700000000000045</v>
      </c>
      <c r="Q127" s="354"/>
      <c r="AC127" s="347">
        <f>TRUNC(TRUNC(SUM(AC124:AC126))*옵션!$B$33/100,1)</f>
        <v>10.7</v>
      </c>
      <c r="AD127" s="347">
        <f>TRUNC(SUM(I124:I126))+TRUNC(SUM(N124:N126))</f>
        <v>616</v>
      </c>
    </row>
    <row r="128" spans="1:31" ht="23.25" customHeight="1">
      <c r="A128" s="344" t="s">
        <v>1850</v>
      </c>
      <c r="B128" s="344" t="s">
        <v>1514</v>
      </c>
      <c r="C128" s="365" t="s">
        <v>1850</v>
      </c>
      <c r="D128" s="354" t="s">
        <v>1664</v>
      </c>
      <c r="E128" s="354" t="s">
        <v>1851</v>
      </c>
      <c r="F128" s="355" t="s">
        <v>1852</v>
      </c>
      <c r="G128" s="368">
        <f>일위노임!G57</f>
        <v>0.08</v>
      </c>
      <c r="H128" s="368">
        <f>합산자재!H120</f>
        <v>0</v>
      </c>
      <c r="I128" s="369" t="str">
        <f>IF(G128*H128&lt;&gt;0, TRUNC(G128*H128, 1), "")</f>
        <v/>
      </c>
      <c r="J128" s="368">
        <v>0.08</v>
      </c>
      <c r="K128" s="368">
        <f>합산자재!I120</f>
        <v>229252.87931000002</v>
      </c>
      <c r="L128" s="369">
        <f>IF(G128*K128&lt;&gt;0, TRUNC(G128*K128, 1), "")</f>
        <v>18340.2</v>
      </c>
      <c r="M128" s="368">
        <f>합산자재!J120</f>
        <v>0</v>
      </c>
      <c r="N128" s="369" t="str">
        <f>IF(G128*M128&lt;&gt;0, TRUNC(G128*M128, 1), "")</f>
        <v/>
      </c>
      <c r="O128" s="368">
        <f t="shared" si="43"/>
        <v>229252.87931000002</v>
      </c>
      <c r="P128" s="368">
        <f t="shared" si="44"/>
        <v>18340.2</v>
      </c>
      <c r="Q128" s="354"/>
      <c r="AE128" s="347">
        <f>L128</f>
        <v>18340.2</v>
      </c>
    </row>
    <row r="129" spans="1:31" ht="23.25" customHeight="1">
      <c r="A129" s="344" t="s">
        <v>1853</v>
      </c>
      <c r="B129" s="344" t="s">
        <v>1514</v>
      </c>
      <c r="C129" s="365" t="s">
        <v>1853</v>
      </c>
      <c r="D129" s="354" t="s">
        <v>1854</v>
      </c>
      <c r="E129" s="354" t="s">
        <v>1855</v>
      </c>
      <c r="F129" s="355" t="s">
        <v>212</v>
      </c>
      <c r="G129" s="368">
        <v>1</v>
      </c>
      <c r="H129" s="368">
        <f>IF(TRUNC((AD130+AC130)/$AE$3,1)*$AE$3-AD130 &lt;0, AC130, TRUNC((AD130+AC130)/$AE$3,1)*$AE$3-AD130)</f>
        <v>366.79999999999927</v>
      </c>
      <c r="I129" s="369">
        <f>H129</f>
        <v>366.79999999999927</v>
      </c>
      <c r="J129" s="368">
        <v>1</v>
      </c>
      <c r="K129" s="368"/>
      <c r="L129" s="369" t="str">
        <f>IF(G129*K129&lt;&gt;0, TRUNC(G129*K129, 1), "")</f>
        <v/>
      </c>
      <c r="M129" s="368"/>
      <c r="N129" s="369" t="str">
        <f>IF(G129*M129&lt;&gt;0, TRUNC(G129*M129, 1), "")</f>
        <v/>
      </c>
      <c r="O129" s="368">
        <f t="shared" si="43"/>
        <v>366.79999999999927</v>
      </c>
      <c r="P129" s="368">
        <f t="shared" si="44"/>
        <v>366.79999999999927</v>
      </c>
      <c r="Q129" s="354"/>
    </row>
    <row r="130" spans="1:31" ht="23.25" customHeight="1">
      <c r="B130" s="344" t="s">
        <v>715</v>
      </c>
      <c r="D130" s="354" t="s">
        <v>216</v>
      </c>
      <c r="E130" s="354"/>
      <c r="F130" s="355"/>
      <c r="G130" s="368"/>
      <c r="H130" s="368"/>
      <c r="I130" s="369">
        <f>TRUNC(SUM(I124:I129))</f>
        <v>994</v>
      </c>
      <c r="J130" s="368"/>
      <c r="K130" s="368"/>
      <c r="L130" s="369">
        <f>TRUNC(SUM(L124:L129))</f>
        <v>18340</v>
      </c>
      <c r="M130" s="368"/>
      <c r="N130" s="369">
        <f>TRUNC(SUM(N124:N129))</f>
        <v>0</v>
      </c>
      <c r="O130" s="368" t="str">
        <f t="shared" si="43"/>
        <v/>
      </c>
      <c r="P130" s="368">
        <f t="shared" si="44"/>
        <v>19334</v>
      </c>
      <c r="Q130" s="354"/>
      <c r="AC130" s="347">
        <f>TRUNC(AE130*옵션!$B$36/100,1)</f>
        <v>366.8</v>
      </c>
      <c r="AD130" s="347">
        <f>TRUNC(SUM(L124:L128))</f>
        <v>18340</v>
      </c>
      <c r="AE130" s="347">
        <f>TRUNC(SUM(AE124:AE129))</f>
        <v>18340</v>
      </c>
    </row>
    <row r="131" spans="1:31" ht="23.25" customHeight="1">
      <c r="D131" s="354"/>
      <c r="E131" s="354"/>
      <c r="F131" s="355"/>
      <c r="G131" s="368"/>
      <c r="H131" s="368"/>
      <c r="I131" s="369"/>
      <c r="J131" s="368"/>
      <c r="K131" s="368"/>
      <c r="L131" s="369"/>
      <c r="M131" s="368"/>
      <c r="N131" s="369"/>
      <c r="O131" s="368"/>
      <c r="P131" s="368"/>
      <c r="Q131" s="354"/>
    </row>
    <row r="132" spans="1:31" ht="23.25" customHeight="1">
      <c r="A132" s="344" t="s">
        <v>717</v>
      </c>
      <c r="B132" s="344" t="s">
        <v>1833</v>
      </c>
      <c r="C132" s="365" t="s">
        <v>1943</v>
      </c>
      <c r="D132" s="714" t="s">
        <v>1944</v>
      </c>
      <c r="E132" s="715"/>
      <c r="F132" s="355"/>
      <c r="G132" s="368"/>
      <c r="H132" s="368"/>
      <c r="I132" s="369"/>
      <c r="J132" s="368"/>
      <c r="K132" s="368"/>
      <c r="L132" s="369"/>
      <c r="M132" s="368"/>
      <c r="N132" s="369"/>
      <c r="O132" s="368"/>
      <c r="P132" s="368"/>
      <c r="Q132" s="354"/>
    </row>
    <row r="133" spans="1:31" ht="23.25" customHeight="1">
      <c r="A133" s="344" t="s">
        <v>1945</v>
      </c>
      <c r="B133" s="344" t="s">
        <v>1516</v>
      </c>
      <c r="C133" s="365" t="s">
        <v>1945</v>
      </c>
      <c r="D133" s="354" t="s">
        <v>344</v>
      </c>
      <c r="E133" s="354" t="s">
        <v>345</v>
      </c>
      <c r="F133" s="355" t="s">
        <v>255</v>
      </c>
      <c r="G133" s="368">
        <v>1</v>
      </c>
      <c r="H133" s="368">
        <f>합산자재!H10</f>
        <v>676.46852000000001</v>
      </c>
      <c r="I133" s="369">
        <f>IF(G133*H133&lt;&gt;0, TRUNC(G133*H133, 1), "")</f>
        <v>676.4</v>
      </c>
      <c r="J133" s="368">
        <v>1</v>
      </c>
      <c r="K133" s="368">
        <f>합산자재!I10</f>
        <v>0</v>
      </c>
      <c r="L133" s="369" t="str">
        <f>IF(G133*K133&lt;&gt;0, TRUNC(G133*K133, 1), "")</f>
        <v/>
      </c>
      <c r="M133" s="368">
        <f>합산자재!J10</f>
        <v>0</v>
      </c>
      <c r="N133" s="369" t="str">
        <f>IF(G133*M133&lt;&gt;0, TRUNC(G133*M133, 1), "")</f>
        <v/>
      </c>
      <c r="O133" s="368">
        <f t="shared" ref="O133:O138" si="45">IF((H133+K133+M133)=0, "", (H133+K133+M133))</f>
        <v>676.46852000000001</v>
      </c>
      <c r="P133" s="368">
        <f t="shared" ref="P133:P138" si="46">IF(SUM(I133,L133,N133)&lt;&gt;0,SUM(I133,L133,N133),"")</f>
        <v>676.4</v>
      </c>
      <c r="Q133" s="354"/>
      <c r="AB133" s="347">
        <f>I133</f>
        <v>676.4</v>
      </c>
      <c r="AC133" s="347">
        <f>G133*H133</f>
        <v>676.46852000000001</v>
      </c>
    </row>
    <row r="134" spans="1:31" ht="23.25" customHeight="1">
      <c r="A134" s="344" t="s">
        <v>1925</v>
      </c>
      <c r="B134" s="344" t="s">
        <v>1516</v>
      </c>
      <c r="C134" s="365" t="s">
        <v>1925</v>
      </c>
      <c r="D134" s="354" t="s">
        <v>1926</v>
      </c>
      <c r="E134" s="354" t="s">
        <v>1927</v>
      </c>
      <c r="F134" s="355" t="s">
        <v>212</v>
      </c>
      <c r="G134" s="368">
        <v>1</v>
      </c>
      <c r="H134" s="368">
        <f>TRUNC(AB134*옵션!$B$31/100,1)</f>
        <v>101.4</v>
      </c>
      <c r="I134" s="369">
        <f>IF(G134*H134&lt;&gt;0, TRUNC(G134*H134, 1), "")</f>
        <v>101.4</v>
      </c>
      <c r="J134" s="368">
        <v>1</v>
      </c>
      <c r="K134" s="368"/>
      <c r="L134" s="369" t="str">
        <f>IF(G134*K134&lt;&gt;0, TRUNC(G134*K134, 1), "")</f>
        <v/>
      </c>
      <c r="M134" s="368"/>
      <c r="N134" s="369" t="str">
        <f>IF(G134*M134&lt;&gt;0, TRUNC(G134*M134, 1), "")</f>
        <v/>
      </c>
      <c r="O134" s="368">
        <f t="shared" si="45"/>
        <v>101.4</v>
      </c>
      <c r="P134" s="368">
        <f t="shared" si="46"/>
        <v>101.4</v>
      </c>
      <c r="Q134" s="354"/>
      <c r="AB134" s="347">
        <f>TRUNC(SUM(AB132:AB133))</f>
        <v>676</v>
      </c>
    </row>
    <row r="135" spans="1:31" ht="23.25" customHeight="1">
      <c r="A135" s="344" t="s">
        <v>1885</v>
      </c>
      <c r="B135" s="344" t="s">
        <v>1516</v>
      </c>
      <c r="C135" s="365" t="s">
        <v>1885</v>
      </c>
      <c r="D135" s="354" t="s">
        <v>1886</v>
      </c>
      <c r="E135" s="354" t="s">
        <v>1887</v>
      </c>
      <c r="F135" s="355" t="s">
        <v>212</v>
      </c>
      <c r="G135" s="368">
        <v>1</v>
      </c>
      <c r="H135" s="368">
        <f>IF(TRUNC((AD135+AC135)/$AD$3,1)*$AD$3-AD135 &lt;0, AC135, TRUNC((AD135+AC135)/$AD$3,1)*$AD$3-AD135)</f>
        <v>13.5</v>
      </c>
      <c r="I135" s="369">
        <f>H135</f>
        <v>13.5</v>
      </c>
      <c r="J135" s="368">
        <v>1</v>
      </c>
      <c r="K135" s="368"/>
      <c r="L135" s="369" t="str">
        <f>IF(G135*K135&lt;&gt;0, TRUNC(G135*K135, 1), "")</f>
        <v/>
      </c>
      <c r="M135" s="368"/>
      <c r="N135" s="369" t="str">
        <f>IF(G135*M135&lt;&gt;0, TRUNC(G135*M135, 1), "")</f>
        <v/>
      </c>
      <c r="O135" s="368">
        <f t="shared" si="45"/>
        <v>13.5</v>
      </c>
      <c r="P135" s="368">
        <f t="shared" si="46"/>
        <v>13.5</v>
      </c>
      <c r="Q135" s="354"/>
      <c r="AC135" s="347">
        <f>TRUNC(TRUNC(SUM(AC132:AC134))*옵션!$B$33/100,1)</f>
        <v>13.5</v>
      </c>
      <c r="AD135" s="347">
        <f>TRUNC(SUM(I132:I134))+TRUNC(SUM(N132:N134))</f>
        <v>777</v>
      </c>
    </row>
    <row r="136" spans="1:31" ht="23.25" customHeight="1">
      <c r="A136" s="344" t="s">
        <v>1850</v>
      </c>
      <c r="B136" s="344" t="s">
        <v>1516</v>
      </c>
      <c r="C136" s="365" t="s">
        <v>1850</v>
      </c>
      <c r="D136" s="354" t="s">
        <v>1664</v>
      </c>
      <c r="E136" s="354" t="s">
        <v>1851</v>
      </c>
      <c r="F136" s="355" t="s">
        <v>1852</v>
      </c>
      <c r="G136" s="368">
        <f>일위노임!G60</f>
        <v>0.1</v>
      </c>
      <c r="H136" s="368">
        <f>합산자재!H120</f>
        <v>0</v>
      </c>
      <c r="I136" s="369" t="str">
        <f>IF(G136*H136&lt;&gt;0, TRUNC(G136*H136, 1), "")</f>
        <v/>
      </c>
      <c r="J136" s="368">
        <v>0.1</v>
      </c>
      <c r="K136" s="368">
        <f>합산자재!I120</f>
        <v>229252.87931000002</v>
      </c>
      <c r="L136" s="369">
        <f>IF(G136*K136&lt;&gt;0, TRUNC(G136*K136, 1), "")</f>
        <v>22925.200000000001</v>
      </c>
      <c r="M136" s="368">
        <f>합산자재!J120</f>
        <v>0</v>
      </c>
      <c r="N136" s="369" t="str">
        <f>IF(G136*M136&lt;&gt;0, TRUNC(G136*M136, 1), "")</f>
        <v/>
      </c>
      <c r="O136" s="368">
        <f t="shared" si="45"/>
        <v>229252.87931000002</v>
      </c>
      <c r="P136" s="368">
        <f t="shared" si="46"/>
        <v>22925.200000000001</v>
      </c>
      <c r="Q136" s="354"/>
      <c r="AE136" s="347">
        <f>L136</f>
        <v>22925.200000000001</v>
      </c>
    </row>
    <row r="137" spans="1:31" ht="23.25" customHeight="1">
      <c r="A137" s="344" t="s">
        <v>1853</v>
      </c>
      <c r="B137" s="344" t="s">
        <v>1516</v>
      </c>
      <c r="C137" s="365" t="s">
        <v>1853</v>
      </c>
      <c r="D137" s="354" t="s">
        <v>1854</v>
      </c>
      <c r="E137" s="354" t="s">
        <v>1855</v>
      </c>
      <c r="F137" s="355" t="s">
        <v>212</v>
      </c>
      <c r="G137" s="368">
        <v>1</v>
      </c>
      <c r="H137" s="368">
        <f>IF(TRUNC((AD138+AC138)/$AE$3,1)*$AE$3-AD138 &lt;0, AC138, TRUNC((AD138+AC138)/$AE$3,1)*$AE$3-AD138)</f>
        <v>458.5</v>
      </c>
      <c r="I137" s="369">
        <f>H137</f>
        <v>458.5</v>
      </c>
      <c r="J137" s="368">
        <v>1</v>
      </c>
      <c r="K137" s="368"/>
      <c r="L137" s="369" t="str">
        <f>IF(G137*K137&lt;&gt;0, TRUNC(G137*K137, 1), "")</f>
        <v/>
      </c>
      <c r="M137" s="368"/>
      <c r="N137" s="369" t="str">
        <f>IF(G137*M137&lt;&gt;0, TRUNC(G137*M137, 1), "")</f>
        <v/>
      </c>
      <c r="O137" s="368">
        <f t="shared" si="45"/>
        <v>458.5</v>
      </c>
      <c r="P137" s="368">
        <f t="shared" si="46"/>
        <v>458.5</v>
      </c>
      <c r="Q137" s="354"/>
    </row>
    <row r="138" spans="1:31" ht="23.25" customHeight="1">
      <c r="B138" s="344" t="s">
        <v>715</v>
      </c>
      <c r="D138" s="354" t="s">
        <v>216</v>
      </c>
      <c r="E138" s="354"/>
      <c r="F138" s="355"/>
      <c r="G138" s="368"/>
      <c r="H138" s="368"/>
      <c r="I138" s="369">
        <f>TRUNC(SUM(I132:I137))</f>
        <v>1249</v>
      </c>
      <c r="J138" s="368"/>
      <c r="K138" s="368"/>
      <c r="L138" s="369">
        <f>TRUNC(SUM(L132:L137))</f>
        <v>22925</v>
      </c>
      <c r="M138" s="368"/>
      <c r="N138" s="369">
        <f>TRUNC(SUM(N132:N137))</f>
        <v>0</v>
      </c>
      <c r="O138" s="368" t="str">
        <f t="shared" si="45"/>
        <v/>
      </c>
      <c r="P138" s="368">
        <f t="shared" si="46"/>
        <v>24174</v>
      </c>
      <c r="Q138" s="354"/>
      <c r="AC138" s="347">
        <f>TRUNC(AE138*옵션!$B$36/100,1)</f>
        <v>458.5</v>
      </c>
      <c r="AD138" s="347">
        <f>TRUNC(SUM(L132:L136))</f>
        <v>22925</v>
      </c>
      <c r="AE138" s="347">
        <f>TRUNC(SUM(AE132:AE137))</f>
        <v>22925</v>
      </c>
    </row>
    <row r="139" spans="1:31" ht="23.25" customHeight="1">
      <c r="D139" s="354"/>
      <c r="E139" s="354"/>
      <c r="F139" s="355"/>
      <c r="G139" s="368"/>
      <c r="H139" s="368"/>
      <c r="I139" s="369"/>
      <c r="J139" s="368"/>
      <c r="K139" s="368"/>
      <c r="L139" s="369"/>
      <c r="M139" s="368"/>
      <c r="N139" s="369"/>
      <c r="O139" s="368"/>
      <c r="P139" s="368"/>
      <c r="Q139" s="354"/>
    </row>
    <row r="140" spans="1:31" ht="23.25" customHeight="1">
      <c r="A140" s="344" t="s">
        <v>761</v>
      </c>
      <c r="B140" s="344" t="s">
        <v>1833</v>
      </c>
      <c r="C140" s="365" t="s">
        <v>1946</v>
      </c>
      <c r="D140" s="714" t="s">
        <v>1947</v>
      </c>
      <c r="E140" s="715"/>
      <c r="F140" s="355"/>
      <c r="G140" s="368"/>
      <c r="H140" s="368"/>
      <c r="I140" s="369"/>
      <c r="J140" s="368"/>
      <c r="K140" s="368"/>
      <c r="L140" s="369"/>
      <c r="M140" s="368"/>
      <c r="N140" s="369"/>
      <c r="O140" s="368"/>
      <c r="P140" s="368"/>
      <c r="Q140" s="354"/>
    </row>
    <row r="141" spans="1:31" ht="23.25" customHeight="1">
      <c r="A141" s="344" t="s">
        <v>1948</v>
      </c>
      <c r="B141" s="344" t="s">
        <v>1518</v>
      </c>
      <c r="C141" s="365" t="s">
        <v>1948</v>
      </c>
      <c r="D141" s="354" t="s">
        <v>344</v>
      </c>
      <c r="E141" s="354" t="s">
        <v>396</v>
      </c>
      <c r="F141" s="355" t="s">
        <v>255</v>
      </c>
      <c r="G141" s="368">
        <v>1</v>
      </c>
      <c r="H141" s="368">
        <f>합산자재!H11</f>
        <v>827.87705000000005</v>
      </c>
      <c r="I141" s="369">
        <f>IF(G141*H141&lt;&gt;0, TRUNC(G141*H141, 1), "")</f>
        <v>827.8</v>
      </c>
      <c r="J141" s="368">
        <v>1</v>
      </c>
      <c r="K141" s="368">
        <f>합산자재!I11</f>
        <v>0</v>
      </c>
      <c r="L141" s="369" t="str">
        <f>IF(G141*K141&lt;&gt;0, TRUNC(G141*K141, 1), "")</f>
        <v/>
      </c>
      <c r="M141" s="368">
        <f>합산자재!J11</f>
        <v>0</v>
      </c>
      <c r="N141" s="369" t="str">
        <f>IF(G141*M141&lt;&gt;0, TRUNC(G141*M141, 1), "")</f>
        <v/>
      </c>
      <c r="O141" s="368">
        <f t="shared" ref="O141:O146" si="47">IF((H141+K141+M141)=0, "", (H141+K141+M141))</f>
        <v>827.87705000000005</v>
      </c>
      <c r="P141" s="368">
        <f t="shared" ref="P141:P146" si="48">IF(SUM(I141,L141,N141)&lt;&gt;0,SUM(I141,L141,N141),"")</f>
        <v>827.8</v>
      </c>
      <c r="Q141" s="354"/>
      <c r="AB141" s="347">
        <f>I141</f>
        <v>827.8</v>
      </c>
      <c r="AC141" s="347">
        <f>G141*H141</f>
        <v>827.87705000000005</v>
      </c>
    </row>
    <row r="142" spans="1:31" ht="23.25" customHeight="1">
      <c r="A142" s="344" t="s">
        <v>1925</v>
      </c>
      <c r="B142" s="344" t="s">
        <v>1518</v>
      </c>
      <c r="C142" s="365" t="s">
        <v>1925</v>
      </c>
      <c r="D142" s="354" t="s">
        <v>1926</v>
      </c>
      <c r="E142" s="354" t="s">
        <v>1927</v>
      </c>
      <c r="F142" s="355" t="s">
        <v>212</v>
      </c>
      <c r="G142" s="368">
        <v>1</v>
      </c>
      <c r="H142" s="368">
        <f>TRUNC(AB142*옵션!$B$31/100,1)</f>
        <v>124</v>
      </c>
      <c r="I142" s="369">
        <f>IF(G142*H142&lt;&gt;0, TRUNC(G142*H142, 1), "")</f>
        <v>124</v>
      </c>
      <c r="J142" s="368">
        <v>1</v>
      </c>
      <c r="K142" s="368"/>
      <c r="L142" s="369" t="str">
        <f>IF(G142*K142&lt;&gt;0, TRUNC(G142*K142, 1), "")</f>
        <v/>
      </c>
      <c r="M142" s="368"/>
      <c r="N142" s="369" t="str">
        <f>IF(G142*M142&lt;&gt;0, TRUNC(G142*M142, 1), "")</f>
        <v/>
      </c>
      <c r="O142" s="368">
        <f t="shared" si="47"/>
        <v>124</v>
      </c>
      <c r="P142" s="368">
        <f t="shared" si="48"/>
        <v>124</v>
      </c>
      <c r="Q142" s="354"/>
      <c r="AB142" s="347">
        <f>TRUNC(SUM(AB140:AB141))</f>
        <v>827</v>
      </c>
    </row>
    <row r="143" spans="1:31" ht="23.25" customHeight="1">
      <c r="A143" s="344" t="s">
        <v>1885</v>
      </c>
      <c r="B143" s="344" t="s">
        <v>1518</v>
      </c>
      <c r="C143" s="365" t="s">
        <v>1885</v>
      </c>
      <c r="D143" s="354" t="s">
        <v>1886</v>
      </c>
      <c r="E143" s="354" t="s">
        <v>1887</v>
      </c>
      <c r="F143" s="355" t="s">
        <v>212</v>
      </c>
      <c r="G143" s="368">
        <v>1</v>
      </c>
      <c r="H143" s="368">
        <f>IF(TRUNC((AD143+AC143)/$AD$3,1)*$AD$3-AD143 &lt;0, AC143, TRUNC((AD143+AC143)/$AD$3,1)*$AD$3-AD143)</f>
        <v>16.5</v>
      </c>
      <c r="I143" s="369">
        <f>H143</f>
        <v>16.5</v>
      </c>
      <c r="J143" s="368">
        <v>1</v>
      </c>
      <c r="K143" s="368"/>
      <c r="L143" s="369" t="str">
        <f>IF(G143*K143&lt;&gt;0, TRUNC(G143*K143, 1), "")</f>
        <v/>
      </c>
      <c r="M143" s="368"/>
      <c r="N143" s="369" t="str">
        <f>IF(G143*M143&lt;&gt;0, TRUNC(G143*M143, 1), "")</f>
        <v/>
      </c>
      <c r="O143" s="368">
        <f t="shared" si="47"/>
        <v>16.5</v>
      </c>
      <c r="P143" s="368">
        <f t="shared" si="48"/>
        <v>16.5</v>
      </c>
      <c r="Q143" s="354"/>
      <c r="AC143" s="347">
        <f>TRUNC(TRUNC(SUM(AC140:AC142))*옵션!$B$33/100,1)</f>
        <v>16.5</v>
      </c>
      <c r="AD143" s="347">
        <f>TRUNC(SUM(I140:I142))+TRUNC(SUM(N140:N142))</f>
        <v>951</v>
      </c>
    </row>
    <row r="144" spans="1:31" ht="23.25" customHeight="1">
      <c r="A144" s="344" t="s">
        <v>1850</v>
      </c>
      <c r="B144" s="344" t="s">
        <v>1518</v>
      </c>
      <c r="C144" s="365" t="s">
        <v>1850</v>
      </c>
      <c r="D144" s="354" t="s">
        <v>1664</v>
      </c>
      <c r="E144" s="354" t="s">
        <v>1851</v>
      </c>
      <c r="F144" s="355" t="s">
        <v>1852</v>
      </c>
      <c r="G144" s="368">
        <f>일위노임!G63</f>
        <v>0.13</v>
      </c>
      <c r="H144" s="368">
        <f>합산자재!H120</f>
        <v>0</v>
      </c>
      <c r="I144" s="369" t="str">
        <f>IF(G144*H144&lt;&gt;0, TRUNC(G144*H144, 1), "")</f>
        <v/>
      </c>
      <c r="J144" s="368">
        <v>0.13</v>
      </c>
      <c r="K144" s="368">
        <f>합산자재!I120</f>
        <v>229252.87931000002</v>
      </c>
      <c r="L144" s="369">
        <f>IF(G144*K144&lt;&gt;0, TRUNC(G144*K144, 1), "")</f>
        <v>29802.799999999999</v>
      </c>
      <c r="M144" s="368">
        <f>합산자재!J120</f>
        <v>0</v>
      </c>
      <c r="N144" s="369" t="str">
        <f>IF(G144*M144&lt;&gt;0, TRUNC(G144*M144, 1), "")</f>
        <v/>
      </c>
      <c r="O144" s="368">
        <f t="shared" si="47"/>
        <v>229252.87931000002</v>
      </c>
      <c r="P144" s="368">
        <f t="shared" si="48"/>
        <v>29802.799999999999</v>
      </c>
      <c r="Q144" s="354"/>
      <c r="AE144" s="347">
        <f>L144</f>
        <v>29802.799999999999</v>
      </c>
    </row>
    <row r="145" spans="1:31" ht="23.25" customHeight="1">
      <c r="A145" s="344" t="s">
        <v>1853</v>
      </c>
      <c r="B145" s="344" t="s">
        <v>1518</v>
      </c>
      <c r="C145" s="365" t="s">
        <v>1853</v>
      </c>
      <c r="D145" s="354" t="s">
        <v>1854</v>
      </c>
      <c r="E145" s="354" t="s">
        <v>1855</v>
      </c>
      <c r="F145" s="355" t="s">
        <v>212</v>
      </c>
      <c r="G145" s="368">
        <v>1</v>
      </c>
      <c r="H145" s="368">
        <f>IF(TRUNC((AD146+AC146)/$AE$3,1)*$AE$3-AD146 &lt;0, AC146, TRUNC((AD146+AC146)/$AE$3,1)*$AE$3-AD146)</f>
        <v>596</v>
      </c>
      <c r="I145" s="369">
        <f>H145</f>
        <v>596</v>
      </c>
      <c r="J145" s="368">
        <v>1</v>
      </c>
      <c r="K145" s="368"/>
      <c r="L145" s="369" t="str">
        <f>IF(G145*K145&lt;&gt;0, TRUNC(G145*K145, 1), "")</f>
        <v/>
      </c>
      <c r="M145" s="368"/>
      <c r="N145" s="369" t="str">
        <f>IF(G145*M145&lt;&gt;0, TRUNC(G145*M145, 1), "")</f>
        <v/>
      </c>
      <c r="O145" s="368">
        <f t="shared" si="47"/>
        <v>596</v>
      </c>
      <c r="P145" s="368">
        <f t="shared" si="48"/>
        <v>596</v>
      </c>
      <c r="Q145" s="354"/>
    </row>
    <row r="146" spans="1:31" ht="23.25" customHeight="1">
      <c r="B146" s="344" t="s">
        <v>715</v>
      </c>
      <c r="D146" s="354" t="s">
        <v>216</v>
      </c>
      <c r="E146" s="354"/>
      <c r="F146" s="355"/>
      <c r="G146" s="368"/>
      <c r="H146" s="368"/>
      <c r="I146" s="369">
        <f>TRUNC(SUM(I140:I145))</f>
        <v>1564</v>
      </c>
      <c r="J146" s="368"/>
      <c r="K146" s="368"/>
      <c r="L146" s="369">
        <f>TRUNC(SUM(L140:L145))</f>
        <v>29802</v>
      </c>
      <c r="M146" s="368"/>
      <c r="N146" s="369">
        <f>TRUNC(SUM(N140:N145))</f>
        <v>0</v>
      </c>
      <c r="O146" s="368" t="str">
        <f t="shared" si="47"/>
        <v/>
      </c>
      <c r="P146" s="368">
        <f t="shared" si="48"/>
        <v>31366</v>
      </c>
      <c r="Q146" s="354"/>
      <c r="AC146" s="347">
        <f>TRUNC(AE146*옵션!$B$36/100,1)</f>
        <v>596</v>
      </c>
      <c r="AD146" s="347">
        <f>TRUNC(SUM(L140:L144))</f>
        <v>29802</v>
      </c>
      <c r="AE146" s="347">
        <f>TRUNC(SUM(AE140:AE145))</f>
        <v>29802</v>
      </c>
    </row>
    <row r="147" spans="1:31" ht="23.25" customHeight="1">
      <c r="D147" s="354"/>
      <c r="E147" s="354"/>
      <c r="F147" s="355"/>
      <c r="G147" s="368"/>
      <c r="H147" s="368"/>
      <c r="I147" s="369"/>
      <c r="J147" s="368"/>
      <c r="K147" s="368"/>
      <c r="L147" s="369"/>
      <c r="M147" s="368"/>
      <c r="N147" s="369"/>
      <c r="O147" s="368"/>
      <c r="P147" s="368"/>
      <c r="Q147" s="354"/>
    </row>
    <row r="148" spans="1:31" ht="23.25" customHeight="1">
      <c r="A148" s="344" t="s">
        <v>588</v>
      </c>
      <c r="B148" s="344" t="s">
        <v>1833</v>
      </c>
      <c r="C148" s="365" t="s">
        <v>1949</v>
      </c>
      <c r="D148" s="714" t="s">
        <v>1950</v>
      </c>
      <c r="E148" s="715"/>
      <c r="F148" s="355"/>
      <c r="G148" s="368"/>
      <c r="H148" s="368"/>
      <c r="I148" s="369"/>
      <c r="J148" s="368"/>
      <c r="K148" s="368"/>
      <c r="L148" s="369"/>
      <c r="M148" s="368"/>
      <c r="N148" s="369"/>
      <c r="O148" s="368"/>
      <c r="P148" s="368"/>
      <c r="Q148" s="354"/>
    </row>
    <row r="149" spans="1:31" ht="23.25" customHeight="1">
      <c r="A149" s="344" t="s">
        <v>1951</v>
      </c>
      <c r="B149" s="344" t="s">
        <v>1519</v>
      </c>
      <c r="C149" s="365" t="s">
        <v>1951</v>
      </c>
      <c r="D149" s="354" t="s">
        <v>344</v>
      </c>
      <c r="E149" s="354" t="s">
        <v>254</v>
      </c>
      <c r="F149" s="355" t="s">
        <v>255</v>
      </c>
      <c r="G149" s="368">
        <v>1</v>
      </c>
      <c r="H149" s="368">
        <f>합산자재!H12</f>
        <v>1658.41039</v>
      </c>
      <c r="I149" s="369">
        <f>IF(G149*H149&lt;&gt;0, TRUNC(G149*H149, 1), "")</f>
        <v>1658.4</v>
      </c>
      <c r="J149" s="368">
        <v>1</v>
      </c>
      <c r="K149" s="368">
        <f>합산자재!I12</f>
        <v>0</v>
      </c>
      <c r="L149" s="369" t="str">
        <f>IF(G149*K149&lt;&gt;0, TRUNC(G149*K149, 1), "")</f>
        <v/>
      </c>
      <c r="M149" s="368">
        <f>합산자재!J12</f>
        <v>0</v>
      </c>
      <c r="N149" s="369" t="str">
        <f>IF(G149*M149&lt;&gt;0, TRUNC(G149*M149, 1), "")</f>
        <v/>
      </c>
      <c r="O149" s="368">
        <f t="shared" ref="O149:O154" si="49">IF((H149+K149+M149)=0, "", (H149+K149+M149))</f>
        <v>1658.41039</v>
      </c>
      <c r="P149" s="368">
        <f t="shared" ref="P149:P154" si="50">IF(SUM(I149,L149,N149)&lt;&gt;0,SUM(I149,L149,N149),"")</f>
        <v>1658.4</v>
      </c>
      <c r="Q149" s="354"/>
      <c r="AB149" s="347">
        <f>I149</f>
        <v>1658.4</v>
      </c>
      <c r="AC149" s="347">
        <f>G149*H149</f>
        <v>1658.41039</v>
      </c>
    </row>
    <row r="150" spans="1:31" ht="23.25" customHeight="1">
      <c r="A150" s="344" t="s">
        <v>1925</v>
      </c>
      <c r="B150" s="344" t="s">
        <v>1519</v>
      </c>
      <c r="C150" s="365" t="s">
        <v>1925</v>
      </c>
      <c r="D150" s="354" t="s">
        <v>1926</v>
      </c>
      <c r="E150" s="354" t="s">
        <v>1927</v>
      </c>
      <c r="F150" s="355" t="s">
        <v>212</v>
      </c>
      <c r="G150" s="368">
        <v>1</v>
      </c>
      <c r="H150" s="368">
        <f>TRUNC(AB150*옵션!$B$31/100,1)</f>
        <v>248.7</v>
      </c>
      <c r="I150" s="369">
        <f>IF(G150*H150&lt;&gt;0, TRUNC(G150*H150, 1), "")</f>
        <v>248.7</v>
      </c>
      <c r="J150" s="368">
        <v>1</v>
      </c>
      <c r="K150" s="368"/>
      <c r="L150" s="369" t="str">
        <f>IF(G150*K150&lt;&gt;0, TRUNC(G150*K150, 1), "")</f>
        <v/>
      </c>
      <c r="M150" s="368"/>
      <c r="N150" s="369" t="str">
        <f>IF(G150*M150&lt;&gt;0, TRUNC(G150*M150, 1), "")</f>
        <v/>
      </c>
      <c r="O150" s="368">
        <f t="shared" si="49"/>
        <v>248.7</v>
      </c>
      <c r="P150" s="368">
        <f t="shared" si="50"/>
        <v>248.7</v>
      </c>
      <c r="Q150" s="354"/>
      <c r="AB150" s="347">
        <f>TRUNC(SUM(AB148:AB149))</f>
        <v>1658</v>
      </c>
    </row>
    <row r="151" spans="1:31" ht="23.25" customHeight="1">
      <c r="A151" s="344" t="s">
        <v>1885</v>
      </c>
      <c r="B151" s="344" t="s">
        <v>1519</v>
      </c>
      <c r="C151" s="365" t="s">
        <v>1885</v>
      </c>
      <c r="D151" s="354" t="s">
        <v>1886</v>
      </c>
      <c r="E151" s="354" t="s">
        <v>1887</v>
      </c>
      <c r="F151" s="355" t="s">
        <v>212</v>
      </c>
      <c r="G151" s="368">
        <v>1</v>
      </c>
      <c r="H151" s="368">
        <f>IF(TRUNC((AD151+AC151)/$AD$3,1)*$AD$3-AD151 &lt;0, AC151, TRUNC((AD151+AC151)/$AD$3,1)*$AD$3-AD151)</f>
        <v>33.099999999999909</v>
      </c>
      <c r="I151" s="369">
        <f>H151</f>
        <v>33.099999999999909</v>
      </c>
      <c r="J151" s="368">
        <v>1</v>
      </c>
      <c r="K151" s="368"/>
      <c r="L151" s="369" t="str">
        <f>IF(G151*K151&lt;&gt;0, TRUNC(G151*K151, 1), "")</f>
        <v/>
      </c>
      <c r="M151" s="368"/>
      <c r="N151" s="369" t="str">
        <f>IF(G151*M151&lt;&gt;0, TRUNC(G151*M151, 1), "")</f>
        <v/>
      </c>
      <c r="O151" s="368">
        <f t="shared" si="49"/>
        <v>33.099999999999909</v>
      </c>
      <c r="P151" s="368">
        <f t="shared" si="50"/>
        <v>33.099999999999909</v>
      </c>
      <c r="Q151" s="354"/>
      <c r="AC151" s="347">
        <f>TRUNC(TRUNC(SUM(AC148:AC150))*옵션!$B$33/100,1)</f>
        <v>33.1</v>
      </c>
      <c r="AD151" s="347">
        <f>TRUNC(SUM(I148:I150))+TRUNC(SUM(N148:N150))</f>
        <v>1907</v>
      </c>
    </row>
    <row r="152" spans="1:31" ht="23.25" customHeight="1">
      <c r="A152" s="344" t="s">
        <v>1850</v>
      </c>
      <c r="B152" s="344" t="s">
        <v>1519</v>
      </c>
      <c r="C152" s="365" t="s">
        <v>1850</v>
      </c>
      <c r="D152" s="354" t="s">
        <v>1664</v>
      </c>
      <c r="E152" s="354" t="s">
        <v>1851</v>
      </c>
      <c r="F152" s="355" t="s">
        <v>1852</v>
      </c>
      <c r="G152" s="368">
        <f>일위노임!G66</f>
        <v>0.28000000000000003</v>
      </c>
      <c r="H152" s="368">
        <f>합산자재!H120</f>
        <v>0</v>
      </c>
      <c r="I152" s="369" t="str">
        <f>IF(G152*H152&lt;&gt;0, TRUNC(G152*H152, 1), "")</f>
        <v/>
      </c>
      <c r="J152" s="368">
        <v>0.28000000000000003</v>
      </c>
      <c r="K152" s="368">
        <f>합산자재!I120</f>
        <v>229252.87931000002</v>
      </c>
      <c r="L152" s="369">
        <f>IF(G152*K152&lt;&gt;0, TRUNC(G152*K152, 1), "")</f>
        <v>64190.8</v>
      </c>
      <c r="M152" s="368">
        <f>합산자재!J120</f>
        <v>0</v>
      </c>
      <c r="N152" s="369" t="str">
        <f>IF(G152*M152&lt;&gt;0, TRUNC(G152*M152, 1), "")</f>
        <v/>
      </c>
      <c r="O152" s="368">
        <f t="shared" si="49"/>
        <v>229252.87931000002</v>
      </c>
      <c r="P152" s="368">
        <f t="shared" si="50"/>
        <v>64190.8</v>
      </c>
      <c r="Q152" s="354"/>
      <c r="AE152" s="347">
        <f>L152</f>
        <v>64190.8</v>
      </c>
    </row>
    <row r="153" spans="1:31" ht="23.25" customHeight="1">
      <c r="A153" s="344" t="s">
        <v>1853</v>
      </c>
      <c r="B153" s="344" t="s">
        <v>1519</v>
      </c>
      <c r="C153" s="365" t="s">
        <v>1853</v>
      </c>
      <c r="D153" s="354" t="s">
        <v>1854</v>
      </c>
      <c r="E153" s="354" t="s">
        <v>1855</v>
      </c>
      <c r="F153" s="355" t="s">
        <v>212</v>
      </c>
      <c r="G153" s="368">
        <v>1</v>
      </c>
      <c r="H153" s="368">
        <f>IF(TRUNC((AD154+AC154)/$AE$3,1)*$AE$3-AD154 &lt;0, AC154, TRUNC((AD154+AC154)/$AE$3,1)*$AE$3-AD154)</f>
        <v>1283.8000000000029</v>
      </c>
      <c r="I153" s="369">
        <f>H153</f>
        <v>1283.8000000000029</v>
      </c>
      <c r="J153" s="368">
        <v>1</v>
      </c>
      <c r="K153" s="368"/>
      <c r="L153" s="369" t="str">
        <f>IF(G153*K153&lt;&gt;0, TRUNC(G153*K153, 1), "")</f>
        <v/>
      </c>
      <c r="M153" s="368"/>
      <c r="N153" s="369" t="str">
        <f>IF(G153*M153&lt;&gt;0, TRUNC(G153*M153, 1), "")</f>
        <v/>
      </c>
      <c r="O153" s="368">
        <f t="shared" si="49"/>
        <v>1283.8000000000029</v>
      </c>
      <c r="P153" s="368">
        <f t="shared" si="50"/>
        <v>1283.8000000000029</v>
      </c>
      <c r="Q153" s="354"/>
    </row>
    <row r="154" spans="1:31" ht="23.25" customHeight="1">
      <c r="B154" s="344" t="s">
        <v>715</v>
      </c>
      <c r="D154" s="354" t="s">
        <v>216</v>
      </c>
      <c r="E154" s="354"/>
      <c r="F154" s="355"/>
      <c r="G154" s="368"/>
      <c r="H154" s="368"/>
      <c r="I154" s="369">
        <f>TRUNC(SUM(I148:I153))</f>
        <v>3224</v>
      </c>
      <c r="J154" s="368"/>
      <c r="K154" s="368"/>
      <c r="L154" s="369">
        <f>TRUNC(SUM(L148:L153))</f>
        <v>64190</v>
      </c>
      <c r="M154" s="368"/>
      <c r="N154" s="369">
        <f>TRUNC(SUM(N148:N153))</f>
        <v>0</v>
      </c>
      <c r="O154" s="368" t="str">
        <f t="shared" si="49"/>
        <v/>
      </c>
      <c r="P154" s="368">
        <f t="shared" si="50"/>
        <v>67414</v>
      </c>
      <c r="Q154" s="354"/>
      <c r="AC154" s="347">
        <f>TRUNC(AE154*옵션!$B$36/100,1)</f>
        <v>1283.8</v>
      </c>
      <c r="AD154" s="347">
        <f>TRUNC(SUM(L148:L152))</f>
        <v>64190</v>
      </c>
      <c r="AE154" s="347">
        <f>TRUNC(SUM(AE148:AE153))</f>
        <v>64190</v>
      </c>
    </row>
    <row r="155" spans="1:31" ht="23.25" customHeight="1">
      <c r="D155" s="354"/>
      <c r="E155" s="354"/>
      <c r="F155" s="355"/>
      <c r="G155" s="368"/>
      <c r="H155" s="368"/>
      <c r="I155" s="369"/>
      <c r="J155" s="368"/>
      <c r="K155" s="368"/>
      <c r="L155" s="369"/>
      <c r="M155" s="368"/>
      <c r="N155" s="369"/>
      <c r="O155" s="368"/>
      <c r="P155" s="368"/>
      <c r="Q155" s="354"/>
    </row>
    <row r="156" spans="1:31" ht="23.25" customHeight="1">
      <c r="A156" s="344" t="s">
        <v>764</v>
      </c>
      <c r="B156" s="344" t="s">
        <v>1833</v>
      </c>
      <c r="C156" s="365" t="s">
        <v>1952</v>
      </c>
      <c r="D156" s="714" t="s">
        <v>1953</v>
      </c>
      <c r="E156" s="715"/>
      <c r="F156" s="355"/>
      <c r="G156" s="368"/>
      <c r="H156" s="368"/>
      <c r="I156" s="369"/>
      <c r="J156" s="368"/>
      <c r="K156" s="368"/>
      <c r="L156" s="369"/>
      <c r="M156" s="368"/>
      <c r="N156" s="369"/>
      <c r="O156" s="368"/>
      <c r="P156" s="368"/>
      <c r="Q156" s="354"/>
    </row>
    <row r="157" spans="1:31" ht="23.25" customHeight="1">
      <c r="A157" s="344" t="s">
        <v>1954</v>
      </c>
      <c r="B157" s="344" t="s">
        <v>1521</v>
      </c>
      <c r="C157" s="365" t="s">
        <v>1954</v>
      </c>
      <c r="D157" s="354" t="s">
        <v>344</v>
      </c>
      <c r="E157" s="354" t="s">
        <v>397</v>
      </c>
      <c r="F157" s="355" t="s">
        <v>255</v>
      </c>
      <c r="G157" s="368">
        <v>1</v>
      </c>
      <c r="H157" s="368">
        <f>합산자재!H13</f>
        <v>3273.43471</v>
      </c>
      <c r="I157" s="369">
        <f>IF(G157*H157&lt;&gt;0, TRUNC(G157*H157, 1), "")</f>
        <v>3273.4</v>
      </c>
      <c r="J157" s="368">
        <v>1</v>
      </c>
      <c r="K157" s="368">
        <f>합산자재!I13</f>
        <v>0</v>
      </c>
      <c r="L157" s="369" t="str">
        <f>IF(G157*K157&lt;&gt;0, TRUNC(G157*K157, 1), "")</f>
        <v/>
      </c>
      <c r="M157" s="368">
        <f>합산자재!J13</f>
        <v>0</v>
      </c>
      <c r="N157" s="369" t="str">
        <f>IF(G157*M157&lt;&gt;0, TRUNC(G157*M157, 1), "")</f>
        <v/>
      </c>
      <c r="O157" s="368">
        <f t="shared" ref="O157:O162" si="51">IF((H157+K157+M157)=0, "", (H157+K157+M157))</f>
        <v>3273.43471</v>
      </c>
      <c r="P157" s="368">
        <f t="shared" ref="P157:P162" si="52">IF(SUM(I157,L157,N157)&lt;&gt;0,SUM(I157,L157,N157),"")</f>
        <v>3273.4</v>
      </c>
      <c r="Q157" s="354"/>
      <c r="AB157" s="347">
        <f>I157</f>
        <v>3273.4</v>
      </c>
      <c r="AC157" s="347">
        <f>G157*H157</f>
        <v>3273.43471</v>
      </c>
    </row>
    <row r="158" spans="1:31" ht="23.25" customHeight="1">
      <c r="A158" s="344" t="s">
        <v>1925</v>
      </c>
      <c r="B158" s="344" t="s">
        <v>1521</v>
      </c>
      <c r="C158" s="365" t="s">
        <v>1925</v>
      </c>
      <c r="D158" s="354" t="s">
        <v>1926</v>
      </c>
      <c r="E158" s="354" t="s">
        <v>1927</v>
      </c>
      <c r="F158" s="355" t="s">
        <v>212</v>
      </c>
      <c r="G158" s="368">
        <v>1</v>
      </c>
      <c r="H158" s="368">
        <f>TRUNC(AB158*옵션!$B$31/100,1)</f>
        <v>490.9</v>
      </c>
      <c r="I158" s="369">
        <f>IF(G158*H158&lt;&gt;0, TRUNC(G158*H158, 1), "")</f>
        <v>490.9</v>
      </c>
      <c r="J158" s="368">
        <v>1</v>
      </c>
      <c r="K158" s="368"/>
      <c r="L158" s="369" t="str">
        <f>IF(G158*K158&lt;&gt;0, TRUNC(G158*K158, 1), "")</f>
        <v/>
      </c>
      <c r="M158" s="368"/>
      <c r="N158" s="369" t="str">
        <f>IF(G158*M158&lt;&gt;0, TRUNC(G158*M158, 1), "")</f>
        <v/>
      </c>
      <c r="O158" s="368">
        <f t="shared" si="51"/>
        <v>490.9</v>
      </c>
      <c r="P158" s="368">
        <f t="shared" si="52"/>
        <v>490.9</v>
      </c>
      <c r="Q158" s="354"/>
      <c r="AB158" s="347">
        <f>TRUNC(SUM(AB156:AB157))</f>
        <v>3273</v>
      </c>
    </row>
    <row r="159" spans="1:31" ht="23.25" customHeight="1">
      <c r="A159" s="344" t="s">
        <v>1885</v>
      </c>
      <c r="B159" s="344" t="s">
        <v>1521</v>
      </c>
      <c r="C159" s="365" t="s">
        <v>1885</v>
      </c>
      <c r="D159" s="354" t="s">
        <v>1886</v>
      </c>
      <c r="E159" s="354" t="s">
        <v>1887</v>
      </c>
      <c r="F159" s="355" t="s">
        <v>212</v>
      </c>
      <c r="G159" s="368">
        <v>1</v>
      </c>
      <c r="H159" s="368">
        <f>IF(TRUNC((AD159+AC159)/$AD$3,1)*$AD$3-AD159 &lt;0, AC159, TRUNC((AD159+AC159)/$AD$3,1)*$AD$3-AD159)</f>
        <v>65.400000000000091</v>
      </c>
      <c r="I159" s="369">
        <f>H159</f>
        <v>65.400000000000091</v>
      </c>
      <c r="J159" s="368">
        <v>1</v>
      </c>
      <c r="K159" s="368"/>
      <c r="L159" s="369" t="str">
        <f>IF(G159*K159&lt;&gt;0, TRUNC(G159*K159, 1), "")</f>
        <v/>
      </c>
      <c r="M159" s="368"/>
      <c r="N159" s="369" t="str">
        <f>IF(G159*M159&lt;&gt;0, TRUNC(G159*M159, 1), "")</f>
        <v/>
      </c>
      <c r="O159" s="368">
        <f t="shared" si="51"/>
        <v>65.400000000000091</v>
      </c>
      <c r="P159" s="368">
        <f t="shared" si="52"/>
        <v>65.400000000000091</v>
      </c>
      <c r="Q159" s="354"/>
      <c r="AC159" s="347">
        <f>TRUNC(TRUNC(SUM(AC156:AC158))*옵션!$B$33/100,1)</f>
        <v>65.400000000000006</v>
      </c>
      <c r="AD159" s="347">
        <f>TRUNC(SUM(I156:I158))+TRUNC(SUM(N156:N158))</f>
        <v>3764</v>
      </c>
    </row>
    <row r="160" spans="1:31" ht="23.25" customHeight="1">
      <c r="A160" s="344" t="s">
        <v>1850</v>
      </c>
      <c r="B160" s="344" t="s">
        <v>1521</v>
      </c>
      <c r="C160" s="365" t="s">
        <v>1850</v>
      </c>
      <c r="D160" s="354" t="s">
        <v>1664</v>
      </c>
      <c r="E160" s="354" t="s">
        <v>1851</v>
      </c>
      <c r="F160" s="355" t="s">
        <v>1852</v>
      </c>
      <c r="G160" s="368">
        <f>일위노임!G69</f>
        <v>0.46</v>
      </c>
      <c r="H160" s="368">
        <f>합산자재!H120</f>
        <v>0</v>
      </c>
      <c r="I160" s="369" t="str">
        <f>IF(G160*H160&lt;&gt;0, TRUNC(G160*H160, 1), "")</f>
        <v/>
      </c>
      <c r="J160" s="368">
        <v>0.46</v>
      </c>
      <c r="K160" s="368">
        <f>합산자재!I120</f>
        <v>229252.87931000002</v>
      </c>
      <c r="L160" s="369">
        <f>IF(G160*K160&lt;&gt;0, TRUNC(G160*K160, 1), "")</f>
        <v>105456.3</v>
      </c>
      <c r="M160" s="368">
        <f>합산자재!J120</f>
        <v>0</v>
      </c>
      <c r="N160" s="369" t="str">
        <f>IF(G160*M160&lt;&gt;0, TRUNC(G160*M160, 1), "")</f>
        <v/>
      </c>
      <c r="O160" s="368">
        <f t="shared" si="51"/>
        <v>229252.87931000002</v>
      </c>
      <c r="P160" s="368">
        <f t="shared" si="52"/>
        <v>105456.3</v>
      </c>
      <c r="Q160" s="354"/>
      <c r="AE160" s="347">
        <f>L160</f>
        <v>105456.3</v>
      </c>
    </row>
    <row r="161" spans="1:31" ht="23.25" customHeight="1">
      <c r="A161" s="344" t="s">
        <v>1853</v>
      </c>
      <c r="B161" s="344" t="s">
        <v>1521</v>
      </c>
      <c r="C161" s="365" t="s">
        <v>1853</v>
      </c>
      <c r="D161" s="354" t="s">
        <v>1854</v>
      </c>
      <c r="E161" s="354" t="s">
        <v>1855</v>
      </c>
      <c r="F161" s="355" t="s">
        <v>212</v>
      </c>
      <c r="G161" s="368">
        <v>1</v>
      </c>
      <c r="H161" s="368">
        <f>IF(TRUNC((AD162+AC162)/$AE$3,1)*$AE$3-AD162 &lt;0, AC162, TRUNC((AD162+AC162)/$AE$3,1)*$AE$3-AD162)</f>
        <v>2109.1000000000058</v>
      </c>
      <c r="I161" s="369">
        <f>H161</f>
        <v>2109.1000000000058</v>
      </c>
      <c r="J161" s="368">
        <v>1</v>
      </c>
      <c r="K161" s="368"/>
      <c r="L161" s="369" t="str">
        <f>IF(G161*K161&lt;&gt;0, TRUNC(G161*K161, 1), "")</f>
        <v/>
      </c>
      <c r="M161" s="368"/>
      <c r="N161" s="369" t="str">
        <f>IF(G161*M161&lt;&gt;0, TRUNC(G161*M161, 1), "")</f>
        <v/>
      </c>
      <c r="O161" s="368">
        <f t="shared" si="51"/>
        <v>2109.1000000000058</v>
      </c>
      <c r="P161" s="368">
        <f t="shared" si="52"/>
        <v>2109.1000000000058</v>
      </c>
      <c r="Q161" s="354"/>
    </row>
    <row r="162" spans="1:31" ht="23.25" customHeight="1">
      <c r="B162" s="344" t="s">
        <v>715</v>
      </c>
      <c r="D162" s="354" t="s">
        <v>216</v>
      </c>
      <c r="E162" s="354"/>
      <c r="F162" s="355"/>
      <c r="G162" s="368"/>
      <c r="H162" s="368"/>
      <c r="I162" s="369">
        <f>TRUNC(SUM(I156:I161))</f>
        <v>5938</v>
      </c>
      <c r="J162" s="368"/>
      <c r="K162" s="368"/>
      <c r="L162" s="369">
        <f>TRUNC(SUM(L156:L161))</f>
        <v>105456</v>
      </c>
      <c r="M162" s="368"/>
      <c r="N162" s="369">
        <f>TRUNC(SUM(N156:N161))</f>
        <v>0</v>
      </c>
      <c r="O162" s="368" t="str">
        <f t="shared" si="51"/>
        <v/>
      </c>
      <c r="P162" s="368">
        <f t="shared" si="52"/>
        <v>111394</v>
      </c>
      <c r="Q162" s="354"/>
      <c r="AC162" s="347">
        <f>TRUNC(AE162*옵션!$B$36/100,1)</f>
        <v>2109.1</v>
      </c>
      <c r="AD162" s="347">
        <f>TRUNC(SUM(L156:L160))</f>
        <v>105456</v>
      </c>
      <c r="AE162" s="347">
        <f>TRUNC(SUM(AE156:AE161))</f>
        <v>105456</v>
      </c>
    </row>
    <row r="163" spans="1:31" ht="23.25" customHeight="1">
      <c r="D163" s="354"/>
      <c r="E163" s="354"/>
      <c r="F163" s="355"/>
      <c r="G163" s="368"/>
      <c r="H163" s="368"/>
      <c r="I163" s="369"/>
      <c r="J163" s="368"/>
      <c r="K163" s="368"/>
      <c r="L163" s="369"/>
      <c r="M163" s="368"/>
      <c r="N163" s="369"/>
      <c r="O163" s="368"/>
      <c r="P163" s="368"/>
      <c r="Q163" s="354"/>
    </row>
    <row r="164" spans="1:31" ht="23.25" customHeight="1">
      <c r="A164" s="344" t="s">
        <v>837</v>
      </c>
      <c r="B164" s="344" t="s">
        <v>1833</v>
      </c>
      <c r="C164" s="365" t="s">
        <v>1955</v>
      </c>
      <c r="D164" s="714" t="s">
        <v>1956</v>
      </c>
      <c r="E164" s="715"/>
      <c r="F164" s="355"/>
      <c r="G164" s="368"/>
      <c r="H164" s="368"/>
      <c r="I164" s="369"/>
      <c r="J164" s="368"/>
      <c r="K164" s="368"/>
      <c r="L164" s="369"/>
      <c r="M164" s="368"/>
      <c r="N164" s="369"/>
      <c r="O164" s="368"/>
      <c r="P164" s="368"/>
      <c r="Q164" s="354"/>
    </row>
    <row r="165" spans="1:31" ht="23.25" customHeight="1">
      <c r="A165" s="344" t="s">
        <v>1957</v>
      </c>
      <c r="B165" s="344" t="s">
        <v>1522</v>
      </c>
      <c r="C165" s="365" t="s">
        <v>1957</v>
      </c>
      <c r="D165" s="354" t="s">
        <v>437</v>
      </c>
      <c r="E165" s="354" t="s">
        <v>1958</v>
      </c>
      <c r="F165" s="355" t="s">
        <v>255</v>
      </c>
      <c r="G165" s="368">
        <v>1</v>
      </c>
      <c r="H165" s="368">
        <f>합산자재!H14</f>
        <v>217.81578000000002</v>
      </c>
      <c r="I165" s="369">
        <f>IF(G165*H165&lt;&gt;0, TRUNC(G165*H165, 1), "")</f>
        <v>217.8</v>
      </c>
      <c r="J165" s="368">
        <v>1</v>
      </c>
      <c r="K165" s="368">
        <f>합산자재!I14</f>
        <v>0</v>
      </c>
      <c r="L165" s="369" t="str">
        <f>IF(G165*K165&lt;&gt;0, TRUNC(G165*K165, 1), "")</f>
        <v/>
      </c>
      <c r="M165" s="368">
        <f>합산자재!J14</f>
        <v>0</v>
      </c>
      <c r="N165" s="369" t="str">
        <f>IF(G165*M165&lt;&gt;0, TRUNC(G165*M165, 1), "")</f>
        <v/>
      </c>
      <c r="O165" s="368">
        <f t="shared" ref="O165:O170" si="53">IF((H165+K165+M165)=0, "", (H165+K165+M165))</f>
        <v>217.81578000000002</v>
      </c>
      <c r="P165" s="368">
        <f t="shared" ref="P165:P170" si="54">IF(SUM(I165,L165,N165)&lt;&gt;0,SUM(I165,L165,N165),"")</f>
        <v>217.8</v>
      </c>
      <c r="Q165" s="354"/>
      <c r="AA165" s="347">
        <f>I165</f>
        <v>217.8</v>
      </c>
      <c r="AC165" s="347">
        <f>G165*H165</f>
        <v>217.81578000000002</v>
      </c>
    </row>
    <row r="166" spans="1:31" ht="23.25" customHeight="1">
      <c r="A166" s="344" t="s">
        <v>1959</v>
      </c>
      <c r="B166" s="344" t="s">
        <v>1522</v>
      </c>
      <c r="C166" s="365" t="s">
        <v>1959</v>
      </c>
      <c r="D166" s="354" t="s">
        <v>1926</v>
      </c>
      <c r="E166" s="354" t="s">
        <v>1960</v>
      </c>
      <c r="F166" s="355" t="s">
        <v>212</v>
      </c>
      <c r="G166" s="368">
        <v>1</v>
      </c>
      <c r="H166" s="368">
        <f>TRUNC(AA166*옵션!$B$32/100,1)</f>
        <v>86.8</v>
      </c>
      <c r="I166" s="369">
        <f>IF(G166*H166&lt;&gt;0, TRUNC(G166*H166, 1), "")</f>
        <v>86.8</v>
      </c>
      <c r="J166" s="368">
        <v>1</v>
      </c>
      <c r="K166" s="368"/>
      <c r="L166" s="369" t="str">
        <f>IF(G166*K166&lt;&gt;0, TRUNC(G166*K166, 1), "")</f>
        <v/>
      </c>
      <c r="M166" s="368"/>
      <c r="N166" s="369" t="str">
        <f>IF(G166*M166&lt;&gt;0, TRUNC(G166*M166, 1), "")</f>
        <v/>
      </c>
      <c r="O166" s="368">
        <f t="shared" si="53"/>
        <v>86.8</v>
      </c>
      <c r="P166" s="368">
        <f t="shared" si="54"/>
        <v>86.8</v>
      </c>
      <c r="Q166" s="354"/>
      <c r="AA166" s="347">
        <f>TRUNC(SUM(AA164:AA165))</f>
        <v>217</v>
      </c>
    </row>
    <row r="167" spans="1:31" ht="23.25" customHeight="1">
      <c r="A167" s="344" t="s">
        <v>1885</v>
      </c>
      <c r="B167" s="344" t="s">
        <v>1522</v>
      </c>
      <c r="C167" s="365" t="s">
        <v>1885</v>
      </c>
      <c r="D167" s="354" t="s">
        <v>1886</v>
      </c>
      <c r="E167" s="354" t="s">
        <v>1887</v>
      </c>
      <c r="F167" s="355" t="s">
        <v>212</v>
      </c>
      <c r="G167" s="368">
        <v>1</v>
      </c>
      <c r="H167" s="368">
        <f>IF(TRUNC((AD167+AC167)/$AD$3,1)*$AD$3-AD167 &lt;0, AC167, TRUNC((AD167+AC167)/$AD$3,1)*$AD$3-AD167)</f>
        <v>4.3000000000000114</v>
      </c>
      <c r="I167" s="369">
        <f>H167</f>
        <v>4.3000000000000114</v>
      </c>
      <c r="J167" s="368">
        <v>1</v>
      </c>
      <c r="K167" s="368"/>
      <c r="L167" s="369" t="str">
        <f>IF(G167*K167&lt;&gt;0, TRUNC(G167*K167, 1), "")</f>
        <v/>
      </c>
      <c r="M167" s="368"/>
      <c r="N167" s="369" t="str">
        <f>IF(G167*M167&lt;&gt;0, TRUNC(G167*M167, 1), "")</f>
        <v/>
      </c>
      <c r="O167" s="368">
        <f t="shared" si="53"/>
        <v>4.3000000000000114</v>
      </c>
      <c r="P167" s="368">
        <f t="shared" si="54"/>
        <v>4.3000000000000114</v>
      </c>
      <c r="Q167" s="354"/>
      <c r="AC167" s="347">
        <f>TRUNC(TRUNC(SUM(AC164:AC166))*옵션!$B$33/100,1)</f>
        <v>4.3</v>
      </c>
      <c r="AD167" s="347">
        <f>TRUNC(SUM(I164:I166))+TRUNC(SUM(N164:N166))</f>
        <v>304</v>
      </c>
    </row>
    <row r="168" spans="1:31" ht="23.25" customHeight="1">
      <c r="A168" s="344" t="s">
        <v>1850</v>
      </c>
      <c r="B168" s="344" t="s">
        <v>1522</v>
      </c>
      <c r="C168" s="365" t="s">
        <v>1850</v>
      </c>
      <c r="D168" s="354" t="s">
        <v>1664</v>
      </c>
      <c r="E168" s="354" t="s">
        <v>1851</v>
      </c>
      <c r="F168" s="355" t="s">
        <v>1852</v>
      </c>
      <c r="G168" s="368">
        <f>일위노임!G72</f>
        <v>4.8000000000000001E-2</v>
      </c>
      <c r="H168" s="368">
        <f>합산자재!H120</f>
        <v>0</v>
      </c>
      <c r="I168" s="369" t="str">
        <f>IF(G168*H168&lt;&gt;0, TRUNC(G168*H168, 1), "")</f>
        <v/>
      </c>
      <c r="J168" s="368">
        <v>4.8000000000000001E-2</v>
      </c>
      <c r="K168" s="368">
        <f>합산자재!I120</f>
        <v>229252.87931000002</v>
      </c>
      <c r="L168" s="369">
        <f>IF(G168*K168&lt;&gt;0, TRUNC(G168*K168, 1), "")</f>
        <v>11004.1</v>
      </c>
      <c r="M168" s="368">
        <f>합산자재!J120</f>
        <v>0</v>
      </c>
      <c r="N168" s="369" t="str">
        <f>IF(G168*M168&lt;&gt;0, TRUNC(G168*M168, 1), "")</f>
        <v/>
      </c>
      <c r="O168" s="368">
        <f t="shared" si="53"/>
        <v>229252.87931000002</v>
      </c>
      <c r="P168" s="368">
        <f t="shared" si="54"/>
        <v>11004.1</v>
      </c>
      <c r="Q168" s="354"/>
      <c r="AE168" s="347">
        <f>L168</f>
        <v>11004.1</v>
      </c>
    </row>
    <row r="169" spans="1:31" ht="23.25" customHeight="1">
      <c r="A169" s="344" t="s">
        <v>1853</v>
      </c>
      <c r="B169" s="344" t="s">
        <v>1522</v>
      </c>
      <c r="C169" s="365" t="s">
        <v>1853</v>
      </c>
      <c r="D169" s="354" t="s">
        <v>1854</v>
      </c>
      <c r="E169" s="354" t="s">
        <v>1855</v>
      </c>
      <c r="F169" s="355" t="s">
        <v>212</v>
      </c>
      <c r="G169" s="368">
        <v>1</v>
      </c>
      <c r="H169" s="368">
        <f>IF(TRUNC((AD170+AC170)/$AE$3,1)*$AE$3-AD170 &lt;0, AC170, TRUNC((AD170+AC170)/$AE$3,1)*$AE$3-AD170)</f>
        <v>220</v>
      </c>
      <c r="I169" s="369">
        <f>H169</f>
        <v>220</v>
      </c>
      <c r="J169" s="368">
        <v>1</v>
      </c>
      <c r="K169" s="368"/>
      <c r="L169" s="369" t="str">
        <f>IF(G169*K169&lt;&gt;0, TRUNC(G169*K169, 1), "")</f>
        <v/>
      </c>
      <c r="M169" s="368"/>
      <c r="N169" s="369" t="str">
        <f>IF(G169*M169&lt;&gt;0, TRUNC(G169*M169, 1), "")</f>
        <v/>
      </c>
      <c r="O169" s="368">
        <f t="shared" si="53"/>
        <v>220</v>
      </c>
      <c r="P169" s="368">
        <f t="shared" si="54"/>
        <v>220</v>
      </c>
      <c r="Q169" s="354"/>
    </row>
    <row r="170" spans="1:31" ht="23.25" customHeight="1">
      <c r="B170" s="344" t="s">
        <v>715</v>
      </c>
      <c r="D170" s="354" t="s">
        <v>216</v>
      </c>
      <c r="E170" s="354"/>
      <c r="F170" s="355"/>
      <c r="G170" s="368"/>
      <c r="H170" s="368"/>
      <c r="I170" s="369">
        <f>TRUNC(SUM(I164:I169))</f>
        <v>528</v>
      </c>
      <c r="J170" s="368"/>
      <c r="K170" s="368"/>
      <c r="L170" s="369">
        <f>TRUNC(SUM(L164:L169))</f>
        <v>11004</v>
      </c>
      <c r="M170" s="368"/>
      <c r="N170" s="369">
        <f>TRUNC(SUM(N164:N169))</f>
        <v>0</v>
      </c>
      <c r="O170" s="368" t="str">
        <f t="shared" si="53"/>
        <v/>
      </c>
      <c r="P170" s="368">
        <f t="shared" si="54"/>
        <v>11532</v>
      </c>
      <c r="Q170" s="354"/>
      <c r="AC170" s="347">
        <f>TRUNC(AE170*옵션!$B$36/100,1)</f>
        <v>220</v>
      </c>
      <c r="AD170" s="347">
        <f>TRUNC(SUM(L164:L168))</f>
        <v>11004</v>
      </c>
      <c r="AE170" s="347">
        <f>TRUNC(SUM(AE164:AE169))</f>
        <v>11004</v>
      </c>
    </row>
    <row r="171" spans="1:31" ht="23.25" customHeight="1">
      <c r="D171" s="354"/>
      <c r="E171" s="354"/>
      <c r="F171" s="355"/>
      <c r="G171" s="368"/>
      <c r="H171" s="368"/>
      <c r="I171" s="369"/>
      <c r="J171" s="368"/>
      <c r="K171" s="368"/>
      <c r="L171" s="369"/>
      <c r="M171" s="368"/>
      <c r="N171" s="369"/>
      <c r="O171" s="368"/>
      <c r="P171" s="368"/>
      <c r="Q171" s="354"/>
    </row>
    <row r="172" spans="1:31" ht="23.25" customHeight="1">
      <c r="A172" s="344" t="s">
        <v>860</v>
      </c>
      <c r="B172" s="344" t="s">
        <v>1833</v>
      </c>
      <c r="C172" s="365" t="s">
        <v>1961</v>
      </c>
      <c r="D172" s="714" t="s">
        <v>1962</v>
      </c>
      <c r="E172" s="715"/>
      <c r="F172" s="355"/>
      <c r="G172" s="368"/>
      <c r="H172" s="368"/>
      <c r="I172" s="369"/>
      <c r="J172" s="368"/>
      <c r="K172" s="368"/>
      <c r="L172" s="369"/>
      <c r="M172" s="368"/>
      <c r="N172" s="369"/>
      <c r="O172" s="368"/>
      <c r="P172" s="368"/>
      <c r="Q172" s="354"/>
    </row>
    <row r="173" spans="1:31" ht="23.25" customHeight="1">
      <c r="A173" s="344" t="s">
        <v>1963</v>
      </c>
      <c r="B173" s="344" t="s">
        <v>1524</v>
      </c>
      <c r="C173" s="365" t="s">
        <v>1963</v>
      </c>
      <c r="D173" s="354" t="s">
        <v>437</v>
      </c>
      <c r="E173" s="354" t="s">
        <v>1964</v>
      </c>
      <c r="F173" s="355" t="s">
        <v>255</v>
      </c>
      <c r="G173" s="368">
        <v>1</v>
      </c>
      <c r="H173" s="368">
        <f>합산자재!H15</f>
        <v>270.05615</v>
      </c>
      <c r="I173" s="369">
        <f>IF(G173*H173&lt;&gt;0, TRUNC(G173*H173, 1), "")</f>
        <v>270</v>
      </c>
      <c r="J173" s="368">
        <v>1</v>
      </c>
      <c r="K173" s="368">
        <f>합산자재!I15</f>
        <v>0</v>
      </c>
      <c r="L173" s="369" t="str">
        <f>IF(G173*K173&lt;&gt;0, TRUNC(G173*K173, 1), "")</f>
        <v/>
      </c>
      <c r="M173" s="368">
        <f>합산자재!J15</f>
        <v>0</v>
      </c>
      <c r="N173" s="369" t="str">
        <f>IF(G173*M173&lt;&gt;0, TRUNC(G173*M173, 1), "")</f>
        <v/>
      </c>
      <c r="O173" s="368">
        <f t="shared" ref="O173:O178" si="55">IF((H173+K173+M173)=0, "", (H173+K173+M173))</f>
        <v>270.05615</v>
      </c>
      <c r="P173" s="368">
        <f t="shared" ref="P173:P178" si="56">IF(SUM(I173,L173,N173)&lt;&gt;0,SUM(I173,L173,N173),"")</f>
        <v>270</v>
      </c>
      <c r="Q173" s="354"/>
      <c r="AA173" s="347">
        <f>I173</f>
        <v>270</v>
      </c>
      <c r="AC173" s="347">
        <f>G173*H173</f>
        <v>270.05615</v>
      </c>
    </row>
    <row r="174" spans="1:31" ht="23.25" customHeight="1">
      <c r="A174" s="344" t="s">
        <v>1959</v>
      </c>
      <c r="B174" s="344" t="s">
        <v>1524</v>
      </c>
      <c r="C174" s="365" t="s">
        <v>1959</v>
      </c>
      <c r="D174" s="354" t="s">
        <v>1926</v>
      </c>
      <c r="E174" s="354" t="s">
        <v>1960</v>
      </c>
      <c r="F174" s="355" t="s">
        <v>212</v>
      </c>
      <c r="G174" s="368">
        <v>1</v>
      </c>
      <c r="H174" s="368">
        <f>TRUNC(AA174*옵션!$B$32/100,1)</f>
        <v>108</v>
      </c>
      <c r="I174" s="369">
        <f>IF(G174*H174&lt;&gt;0, TRUNC(G174*H174, 1), "")</f>
        <v>108</v>
      </c>
      <c r="J174" s="368">
        <v>1</v>
      </c>
      <c r="K174" s="368"/>
      <c r="L174" s="369" t="str">
        <f>IF(G174*K174&lt;&gt;0, TRUNC(G174*K174, 1), "")</f>
        <v/>
      </c>
      <c r="M174" s="368"/>
      <c r="N174" s="369" t="str">
        <f>IF(G174*M174&lt;&gt;0, TRUNC(G174*M174, 1), "")</f>
        <v/>
      </c>
      <c r="O174" s="368">
        <f t="shared" si="55"/>
        <v>108</v>
      </c>
      <c r="P174" s="368">
        <f t="shared" si="56"/>
        <v>108</v>
      </c>
      <c r="Q174" s="354"/>
      <c r="AA174" s="347">
        <f>TRUNC(SUM(AA172:AA173))</f>
        <v>270</v>
      </c>
    </row>
    <row r="175" spans="1:31" ht="23.25" customHeight="1">
      <c r="A175" s="344" t="s">
        <v>1885</v>
      </c>
      <c r="B175" s="344" t="s">
        <v>1524</v>
      </c>
      <c r="C175" s="365" t="s">
        <v>1885</v>
      </c>
      <c r="D175" s="354" t="s">
        <v>1886</v>
      </c>
      <c r="E175" s="354" t="s">
        <v>1887</v>
      </c>
      <c r="F175" s="355" t="s">
        <v>212</v>
      </c>
      <c r="G175" s="368">
        <v>1</v>
      </c>
      <c r="H175" s="368">
        <f>IF(TRUNC((AD175+AC175)/$AD$3,1)*$AD$3-AD175 &lt;0, AC175, TRUNC((AD175+AC175)/$AD$3,1)*$AD$3-AD175)</f>
        <v>5.3999999999999773</v>
      </c>
      <c r="I175" s="369">
        <f>H175</f>
        <v>5.3999999999999773</v>
      </c>
      <c r="J175" s="368">
        <v>1</v>
      </c>
      <c r="K175" s="368"/>
      <c r="L175" s="369" t="str">
        <f>IF(G175*K175&lt;&gt;0, TRUNC(G175*K175, 1), "")</f>
        <v/>
      </c>
      <c r="M175" s="368"/>
      <c r="N175" s="369" t="str">
        <f>IF(G175*M175&lt;&gt;0, TRUNC(G175*M175, 1), "")</f>
        <v/>
      </c>
      <c r="O175" s="368">
        <f t="shared" si="55"/>
        <v>5.3999999999999773</v>
      </c>
      <c r="P175" s="368">
        <f t="shared" si="56"/>
        <v>5.3999999999999773</v>
      </c>
      <c r="Q175" s="354"/>
      <c r="AC175" s="347">
        <f>TRUNC(TRUNC(SUM(AC172:AC174))*옵션!$B$33/100,1)</f>
        <v>5.4</v>
      </c>
      <c r="AD175" s="347">
        <f>TRUNC(SUM(I172:I174))+TRUNC(SUM(N172:N174))</f>
        <v>378</v>
      </c>
    </row>
    <row r="176" spans="1:31" ht="23.25" customHeight="1">
      <c r="A176" s="344" t="s">
        <v>1850</v>
      </c>
      <c r="B176" s="344" t="s">
        <v>1524</v>
      </c>
      <c r="C176" s="365" t="s">
        <v>1850</v>
      </c>
      <c r="D176" s="354" t="s">
        <v>1664</v>
      </c>
      <c r="E176" s="354" t="s">
        <v>1851</v>
      </c>
      <c r="F176" s="355" t="s">
        <v>1852</v>
      </c>
      <c r="G176" s="368">
        <f>일위노임!G75</f>
        <v>6.4000000000000001E-2</v>
      </c>
      <c r="H176" s="368">
        <f>합산자재!H120</f>
        <v>0</v>
      </c>
      <c r="I176" s="369" t="str">
        <f>IF(G176*H176&lt;&gt;0, TRUNC(G176*H176, 1), "")</f>
        <v/>
      </c>
      <c r="J176" s="368">
        <v>6.4000000000000001E-2</v>
      </c>
      <c r="K176" s="368">
        <f>합산자재!I120</f>
        <v>229252.87931000002</v>
      </c>
      <c r="L176" s="369">
        <f>IF(G176*K176&lt;&gt;0, TRUNC(G176*K176, 1), "")</f>
        <v>14672.1</v>
      </c>
      <c r="M176" s="368">
        <f>합산자재!J120</f>
        <v>0</v>
      </c>
      <c r="N176" s="369" t="str">
        <f>IF(G176*M176&lt;&gt;0, TRUNC(G176*M176, 1), "")</f>
        <v/>
      </c>
      <c r="O176" s="368">
        <f t="shared" si="55"/>
        <v>229252.87931000002</v>
      </c>
      <c r="P176" s="368">
        <f t="shared" si="56"/>
        <v>14672.1</v>
      </c>
      <c r="Q176" s="354"/>
      <c r="AE176" s="347">
        <f>L176</f>
        <v>14672.1</v>
      </c>
    </row>
    <row r="177" spans="1:31" ht="23.25" customHeight="1">
      <c r="A177" s="344" t="s">
        <v>1853</v>
      </c>
      <c r="B177" s="344" t="s">
        <v>1524</v>
      </c>
      <c r="C177" s="365" t="s">
        <v>1853</v>
      </c>
      <c r="D177" s="354" t="s">
        <v>1854</v>
      </c>
      <c r="E177" s="354" t="s">
        <v>1855</v>
      </c>
      <c r="F177" s="355" t="s">
        <v>212</v>
      </c>
      <c r="G177" s="368">
        <v>1</v>
      </c>
      <c r="H177" s="368">
        <f>IF(TRUNC((AD178+AC178)/$AE$3,1)*$AE$3-AD178 &lt;0, AC178, TRUNC((AD178+AC178)/$AE$3,1)*$AE$3-AD178)</f>
        <v>293.39999999999964</v>
      </c>
      <c r="I177" s="369">
        <f>H177</f>
        <v>293.39999999999964</v>
      </c>
      <c r="J177" s="368">
        <v>1</v>
      </c>
      <c r="K177" s="368"/>
      <c r="L177" s="369" t="str">
        <f>IF(G177*K177&lt;&gt;0, TRUNC(G177*K177, 1), "")</f>
        <v/>
      </c>
      <c r="M177" s="368"/>
      <c r="N177" s="369" t="str">
        <f>IF(G177*M177&lt;&gt;0, TRUNC(G177*M177, 1), "")</f>
        <v/>
      </c>
      <c r="O177" s="368">
        <f t="shared" si="55"/>
        <v>293.39999999999964</v>
      </c>
      <c r="P177" s="368">
        <f t="shared" si="56"/>
        <v>293.39999999999964</v>
      </c>
      <c r="Q177" s="354"/>
    </row>
    <row r="178" spans="1:31" ht="23.25" customHeight="1">
      <c r="B178" s="344" t="s">
        <v>715</v>
      </c>
      <c r="D178" s="354" t="s">
        <v>216</v>
      </c>
      <c r="E178" s="354"/>
      <c r="F178" s="355"/>
      <c r="G178" s="368"/>
      <c r="H178" s="368"/>
      <c r="I178" s="369">
        <f>TRUNC(SUM(I172:I177))</f>
        <v>676</v>
      </c>
      <c r="J178" s="368"/>
      <c r="K178" s="368"/>
      <c r="L178" s="369">
        <f>TRUNC(SUM(L172:L177))</f>
        <v>14672</v>
      </c>
      <c r="M178" s="368"/>
      <c r="N178" s="369">
        <f>TRUNC(SUM(N172:N177))</f>
        <v>0</v>
      </c>
      <c r="O178" s="368" t="str">
        <f t="shared" si="55"/>
        <v/>
      </c>
      <c r="P178" s="368">
        <f t="shared" si="56"/>
        <v>15348</v>
      </c>
      <c r="Q178" s="354"/>
      <c r="AC178" s="347">
        <f>TRUNC(AE178*옵션!$B$36/100,1)</f>
        <v>293.39999999999998</v>
      </c>
      <c r="AD178" s="347">
        <f>TRUNC(SUM(L172:L176))</f>
        <v>14672</v>
      </c>
      <c r="AE178" s="347">
        <f>TRUNC(SUM(AE172:AE177))</f>
        <v>14672</v>
      </c>
    </row>
    <row r="179" spans="1:31" ht="23.25" customHeight="1">
      <c r="D179" s="354"/>
      <c r="E179" s="354"/>
      <c r="F179" s="355"/>
      <c r="G179" s="368"/>
      <c r="H179" s="368"/>
      <c r="I179" s="369"/>
      <c r="J179" s="368"/>
      <c r="K179" s="368"/>
      <c r="L179" s="369"/>
      <c r="M179" s="368"/>
      <c r="N179" s="369"/>
      <c r="O179" s="368"/>
      <c r="P179" s="368"/>
      <c r="Q179" s="354"/>
    </row>
    <row r="180" spans="1:31" ht="23.25" customHeight="1">
      <c r="A180" s="344" t="s">
        <v>721</v>
      </c>
      <c r="B180" s="344" t="s">
        <v>1833</v>
      </c>
      <c r="C180" s="365" t="s">
        <v>1965</v>
      </c>
      <c r="D180" s="714" t="s">
        <v>1966</v>
      </c>
      <c r="E180" s="715"/>
      <c r="F180" s="355"/>
      <c r="G180" s="368"/>
      <c r="H180" s="368"/>
      <c r="I180" s="369"/>
      <c r="J180" s="368"/>
      <c r="K180" s="368"/>
      <c r="L180" s="369"/>
      <c r="M180" s="368"/>
      <c r="N180" s="369"/>
      <c r="O180" s="368"/>
      <c r="P180" s="368"/>
      <c r="Q180" s="354"/>
    </row>
    <row r="181" spans="1:31" ht="23.25" customHeight="1">
      <c r="A181" s="344" t="s">
        <v>1967</v>
      </c>
      <c r="B181" s="344" t="s">
        <v>1526</v>
      </c>
      <c r="C181" s="365" t="s">
        <v>1967</v>
      </c>
      <c r="D181" s="354" t="s">
        <v>256</v>
      </c>
      <c r="E181" s="354" t="s">
        <v>346</v>
      </c>
      <c r="F181" s="355" t="s">
        <v>255</v>
      </c>
      <c r="G181" s="368">
        <v>1</v>
      </c>
      <c r="H181" s="368">
        <f>합산자재!H16</f>
        <v>270.05615</v>
      </c>
      <c r="I181" s="369">
        <f>IF(G181*H181&lt;&gt;0, TRUNC(G181*H181, 1), "")</f>
        <v>270</v>
      </c>
      <c r="J181" s="368">
        <v>1</v>
      </c>
      <c r="K181" s="368">
        <f>합산자재!I16</f>
        <v>0</v>
      </c>
      <c r="L181" s="369" t="str">
        <f t="shared" ref="L181:L186" si="57">IF(G181*K181&lt;&gt;0, TRUNC(G181*K181, 1), "")</f>
        <v/>
      </c>
      <c r="M181" s="368">
        <f>합산자재!J16</f>
        <v>0</v>
      </c>
      <c r="N181" s="369" t="str">
        <f t="shared" ref="N181:N186" si="58">IF(G181*M181&lt;&gt;0, TRUNC(G181*M181, 1), "")</f>
        <v/>
      </c>
      <c r="O181" s="368">
        <f t="shared" ref="O181:O187" si="59">IF((H181+K181+M181)=0, "", (H181+K181+M181))</f>
        <v>270.05615</v>
      </c>
      <c r="P181" s="368">
        <f t="shared" ref="P181:P187" si="60">IF(SUM(I181,L181,N181)&lt;&gt;0,SUM(I181,L181,N181),"")</f>
        <v>270</v>
      </c>
      <c r="Q181" s="354"/>
      <c r="AB181" s="347">
        <f>I181</f>
        <v>270</v>
      </c>
      <c r="AC181" s="347">
        <f>G181*H181</f>
        <v>270.05615</v>
      </c>
    </row>
    <row r="182" spans="1:31" ht="23.25" customHeight="1">
      <c r="A182" s="344" t="s">
        <v>1925</v>
      </c>
      <c r="B182" s="344" t="s">
        <v>1526</v>
      </c>
      <c r="C182" s="365" t="s">
        <v>1925</v>
      </c>
      <c r="D182" s="354" t="s">
        <v>1926</v>
      </c>
      <c r="E182" s="354" t="s">
        <v>1927</v>
      </c>
      <c r="F182" s="355" t="s">
        <v>212</v>
      </c>
      <c r="G182" s="368">
        <v>1</v>
      </c>
      <c r="H182" s="368">
        <f>TRUNC(AB182*옵션!$B$31/100,1)</f>
        <v>40.5</v>
      </c>
      <c r="I182" s="369">
        <f>IF(G182*H182&lt;&gt;0, TRUNC(G182*H182, 1), "")</f>
        <v>40.5</v>
      </c>
      <c r="J182" s="368">
        <v>1</v>
      </c>
      <c r="K182" s="368"/>
      <c r="L182" s="369" t="str">
        <f t="shared" si="57"/>
        <v/>
      </c>
      <c r="M182" s="368"/>
      <c r="N182" s="369" t="str">
        <f t="shared" si="58"/>
        <v/>
      </c>
      <c r="O182" s="368">
        <f t="shared" si="59"/>
        <v>40.5</v>
      </c>
      <c r="P182" s="368">
        <f t="shared" si="60"/>
        <v>40.5</v>
      </c>
      <c r="Q182" s="354"/>
      <c r="AB182" s="347">
        <f>TRUNC(SUM(AB180:AB181))</f>
        <v>270</v>
      </c>
    </row>
    <row r="183" spans="1:31" ht="23.25" customHeight="1">
      <c r="A183" s="344" t="s">
        <v>1885</v>
      </c>
      <c r="B183" s="344" t="s">
        <v>1526</v>
      </c>
      <c r="C183" s="365" t="s">
        <v>1885</v>
      </c>
      <c r="D183" s="354" t="s">
        <v>1886</v>
      </c>
      <c r="E183" s="354" t="s">
        <v>1887</v>
      </c>
      <c r="F183" s="355" t="s">
        <v>212</v>
      </c>
      <c r="G183" s="368">
        <v>1</v>
      </c>
      <c r="H183" s="368">
        <f>IF(TRUNC((AD183+AC183)/$AD$3,1)*$AD$3-AD183 &lt;0, AC183, TRUNC((AD183+AC183)/$AD$3,1)*$AD$3-AD183)</f>
        <v>5.3999999999999773</v>
      </c>
      <c r="I183" s="369">
        <f>H183</f>
        <v>5.3999999999999773</v>
      </c>
      <c r="J183" s="368">
        <v>1</v>
      </c>
      <c r="K183" s="368"/>
      <c r="L183" s="369" t="str">
        <f t="shared" si="57"/>
        <v/>
      </c>
      <c r="M183" s="368"/>
      <c r="N183" s="369" t="str">
        <f t="shared" si="58"/>
        <v/>
      </c>
      <c r="O183" s="368">
        <f t="shared" si="59"/>
        <v>5.3999999999999773</v>
      </c>
      <c r="P183" s="368">
        <f t="shared" si="60"/>
        <v>5.3999999999999773</v>
      </c>
      <c r="Q183" s="354"/>
      <c r="AC183" s="347">
        <f>TRUNC(TRUNC(SUM(AC180:AC182))*옵션!$B$33/100,1)</f>
        <v>5.4</v>
      </c>
      <c r="AD183" s="347">
        <f>TRUNC(SUM(I180:I182))+TRUNC(SUM(N180:N182))</f>
        <v>310</v>
      </c>
    </row>
    <row r="184" spans="1:31" ht="23.25" customHeight="1">
      <c r="A184" s="344" t="s">
        <v>1968</v>
      </c>
      <c r="B184" s="344" t="s">
        <v>1526</v>
      </c>
      <c r="C184" s="365" t="s">
        <v>1968</v>
      </c>
      <c r="D184" s="354" t="s">
        <v>1664</v>
      </c>
      <c r="E184" s="354" t="s">
        <v>1969</v>
      </c>
      <c r="F184" s="355" t="s">
        <v>1852</v>
      </c>
      <c r="G184" s="368">
        <f>일위노임!G79</f>
        <v>6.0000000000000001E-3</v>
      </c>
      <c r="H184" s="368">
        <f>합산자재!H123</f>
        <v>0</v>
      </c>
      <c r="I184" s="369" t="str">
        <f>IF(G184*H184&lt;&gt;0, TRUNC(G184*H184, 1), "")</f>
        <v/>
      </c>
      <c r="J184" s="368">
        <v>6.0000000000000001E-3</v>
      </c>
      <c r="K184" s="368">
        <f>합산자재!I123</f>
        <v>336167.66638000001</v>
      </c>
      <c r="L184" s="369">
        <f t="shared" si="57"/>
        <v>2017</v>
      </c>
      <c r="M184" s="368">
        <f>합산자재!J123</f>
        <v>0</v>
      </c>
      <c r="N184" s="369" t="str">
        <f t="shared" si="58"/>
        <v/>
      </c>
      <c r="O184" s="368">
        <f t="shared" si="59"/>
        <v>336167.66638000001</v>
      </c>
      <c r="P184" s="368">
        <f t="shared" si="60"/>
        <v>2017</v>
      </c>
      <c r="Q184" s="354"/>
      <c r="AE184" s="347">
        <f>L184</f>
        <v>2017</v>
      </c>
    </row>
    <row r="185" spans="1:31" ht="23.25" customHeight="1">
      <c r="A185" s="344" t="s">
        <v>1888</v>
      </c>
      <c r="B185" s="344" t="s">
        <v>1526</v>
      </c>
      <c r="C185" s="365" t="s">
        <v>1888</v>
      </c>
      <c r="D185" s="354" t="s">
        <v>1664</v>
      </c>
      <c r="E185" s="354" t="s">
        <v>1889</v>
      </c>
      <c r="F185" s="355" t="s">
        <v>1852</v>
      </c>
      <c r="G185" s="368">
        <f>일위노임!G80</f>
        <v>1.4E-2</v>
      </c>
      <c r="H185" s="368">
        <f>합산자재!H125</f>
        <v>0</v>
      </c>
      <c r="I185" s="369" t="str">
        <f>IF(G185*H185&lt;&gt;0, TRUNC(G185*H185, 1), "")</f>
        <v/>
      </c>
      <c r="J185" s="368">
        <v>1.4E-2</v>
      </c>
      <c r="K185" s="368">
        <f>합산자재!I125</f>
        <v>131495.20930000002</v>
      </c>
      <c r="L185" s="369">
        <f t="shared" si="57"/>
        <v>1840.9</v>
      </c>
      <c r="M185" s="368">
        <f>합산자재!J125</f>
        <v>0</v>
      </c>
      <c r="N185" s="369" t="str">
        <f t="shared" si="58"/>
        <v/>
      </c>
      <c r="O185" s="368">
        <f t="shared" si="59"/>
        <v>131495.20930000002</v>
      </c>
      <c r="P185" s="368">
        <f t="shared" si="60"/>
        <v>1840.9</v>
      </c>
      <c r="Q185" s="354"/>
      <c r="AE185" s="347">
        <f>L185</f>
        <v>1840.9</v>
      </c>
    </row>
    <row r="186" spans="1:31" ht="23.25" customHeight="1">
      <c r="A186" s="344" t="s">
        <v>1853</v>
      </c>
      <c r="B186" s="344" t="s">
        <v>1526</v>
      </c>
      <c r="C186" s="365" t="s">
        <v>1853</v>
      </c>
      <c r="D186" s="354" t="s">
        <v>1854</v>
      </c>
      <c r="E186" s="354" t="s">
        <v>1855</v>
      </c>
      <c r="F186" s="355" t="s">
        <v>212</v>
      </c>
      <c r="G186" s="368">
        <v>1</v>
      </c>
      <c r="H186" s="368">
        <f>IF(TRUNC((AD187+AC187)/$AE$3,1)*$AE$3-AD187 &lt;0, AC187, TRUNC((AD187+AC187)/$AE$3,1)*$AE$3-AD187)</f>
        <v>77.099999999999909</v>
      </c>
      <c r="I186" s="369">
        <f>H186</f>
        <v>77.099999999999909</v>
      </c>
      <c r="J186" s="368">
        <v>1</v>
      </c>
      <c r="K186" s="368"/>
      <c r="L186" s="369" t="str">
        <f t="shared" si="57"/>
        <v/>
      </c>
      <c r="M186" s="368"/>
      <c r="N186" s="369" t="str">
        <f t="shared" si="58"/>
        <v/>
      </c>
      <c r="O186" s="368">
        <f t="shared" si="59"/>
        <v>77.099999999999909</v>
      </c>
      <c r="P186" s="368">
        <f t="shared" si="60"/>
        <v>77.099999999999909</v>
      </c>
      <c r="Q186" s="354"/>
    </row>
    <row r="187" spans="1:31" ht="23.25" customHeight="1">
      <c r="B187" s="344" t="s">
        <v>715</v>
      </c>
      <c r="D187" s="354" t="s">
        <v>216</v>
      </c>
      <c r="E187" s="354"/>
      <c r="F187" s="355"/>
      <c r="G187" s="368"/>
      <c r="H187" s="368"/>
      <c r="I187" s="369">
        <f>TRUNC(SUM(I180:I186))</f>
        <v>393</v>
      </c>
      <c r="J187" s="368"/>
      <c r="K187" s="368"/>
      <c r="L187" s="369">
        <f>TRUNC(SUM(L180:L186))</f>
        <v>3857</v>
      </c>
      <c r="M187" s="368"/>
      <c r="N187" s="369">
        <f>TRUNC(SUM(N180:N186))</f>
        <v>0</v>
      </c>
      <c r="O187" s="368" t="str">
        <f t="shared" si="59"/>
        <v/>
      </c>
      <c r="P187" s="368">
        <f t="shared" si="60"/>
        <v>4250</v>
      </c>
      <c r="Q187" s="354"/>
      <c r="AC187" s="347">
        <f>TRUNC(AE187*옵션!$B$36/100,1)</f>
        <v>77.099999999999994</v>
      </c>
      <c r="AD187" s="347">
        <f>TRUNC(SUM(L180:L185))</f>
        <v>3857</v>
      </c>
      <c r="AE187" s="347">
        <f>TRUNC(SUM(AE180:AE186))</f>
        <v>3857</v>
      </c>
    </row>
    <row r="188" spans="1:31" ht="23.25" customHeight="1">
      <c r="D188" s="354"/>
      <c r="E188" s="354"/>
      <c r="F188" s="355"/>
      <c r="G188" s="368"/>
      <c r="H188" s="368"/>
      <c r="I188" s="369"/>
      <c r="J188" s="368"/>
      <c r="K188" s="368"/>
      <c r="L188" s="369"/>
      <c r="M188" s="368"/>
      <c r="N188" s="369"/>
      <c r="O188" s="368"/>
      <c r="P188" s="368"/>
      <c r="Q188" s="354"/>
    </row>
    <row r="189" spans="1:31" ht="23.25" customHeight="1">
      <c r="A189" s="344" t="s">
        <v>724</v>
      </c>
      <c r="B189" s="344" t="s">
        <v>1833</v>
      </c>
      <c r="C189" s="365" t="s">
        <v>1970</v>
      </c>
      <c r="D189" s="714" t="s">
        <v>1971</v>
      </c>
      <c r="E189" s="715"/>
      <c r="F189" s="355"/>
      <c r="G189" s="368"/>
      <c r="H189" s="368"/>
      <c r="I189" s="369"/>
      <c r="J189" s="368"/>
      <c r="K189" s="368"/>
      <c r="L189" s="369"/>
      <c r="M189" s="368"/>
      <c r="N189" s="369"/>
      <c r="O189" s="368"/>
      <c r="P189" s="368"/>
      <c r="Q189" s="354"/>
    </row>
    <row r="190" spans="1:31" ht="23.25" customHeight="1">
      <c r="A190" s="344" t="s">
        <v>1972</v>
      </c>
      <c r="B190" s="344" t="s">
        <v>1528</v>
      </c>
      <c r="C190" s="365" t="s">
        <v>1972</v>
      </c>
      <c r="D190" s="354" t="s">
        <v>256</v>
      </c>
      <c r="E190" s="354" t="s">
        <v>347</v>
      </c>
      <c r="F190" s="355" t="s">
        <v>255</v>
      </c>
      <c r="G190" s="368">
        <v>1</v>
      </c>
      <c r="H190" s="368">
        <f>합산자재!H17</f>
        <v>2036.489</v>
      </c>
      <c r="I190" s="369">
        <f>IF(G190*H190&lt;&gt;0, TRUNC(G190*H190, 1), "")</f>
        <v>2036.4</v>
      </c>
      <c r="J190" s="368">
        <v>1</v>
      </c>
      <c r="K190" s="368">
        <f>합산자재!I17</f>
        <v>0</v>
      </c>
      <c r="L190" s="369" t="str">
        <f t="shared" ref="L190:L195" si="61">IF(G190*K190&lt;&gt;0, TRUNC(G190*K190, 1), "")</f>
        <v/>
      </c>
      <c r="M190" s="368">
        <f>합산자재!J17</f>
        <v>0</v>
      </c>
      <c r="N190" s="369" t="str">
        <f t="shared" ref="N190:N195" si="62">IF(G190*M190&lt;&gt;0, TRUNC(G190*M190, 1), "")</f>
        <v/>
      </c>
      <c r="O190" s="368">
        <f t="shared" ref="O190:O196" si="63">IF((H190+K190+M190)=0, "", (H190+K190+M190))</f>
        <v>2036.489</v>
      </c>
      <c r="P190" s="368">
        <f t="shared" ref="P190:P196" si="64">IF(SUM(I190,L190,N190)&lt;&gt;0,SUM(I190,L190,N190),"")</f>
        <v>2036.4</v>
      </c>
      <c r="Q190" s="354"/>
      <c r="AB190" s="347">
        <f>I190</f>
        <v>2036.4</v>
      </c>
      <c r="AC190" s="347">
        <f>G190*H190</f>
        <v>2036.489</v>
      </c>
    </row>
    <row r="191" spans="1:31" ht="23.25" customHeight="1">
      <c r="A191" s="344" t="s">
        <v>1925</v>
      </c>
      <c r="B191" s="344" t="s">
        <v>1528</v>
      </c>
      <c r="C191" s="365" t="s">
        <v>1925</v>
      </c>
      <c r="D191" s="354" t="s">
        <v>1926</v>
      </c>
      <c r="E191" s="354" t="s">
        <v>1927</v>
      </c>
      <c r="F191" s="355" t="s">
        <v>212</v>
      </c>
      <c r="G191" s="368">
        <v>1</v>
      </c>
      <c r="H191" s="368">
        <f>TRUNC(AB191*옵션!$B$31/100,1)</f>
        <v>305.39999999999998</v>
      </c>
      <c r="I191" s="369">
        <f>IF(G191*H191&lt;&gt;0, TRUNC(G191*H191, 1), "")</f>
        <v>305.39999999999998</v>
      </c>
      <c r="J191" s="368">
        <v>1</v>
      </c>
      <c r="K191" s="368"/>
      <c r="L191" s="369" t="str">
        <f t="shared" si="61"/>
        <v/>
      </c>
      <c r="M191" s="368"/>
      <c r="N191" s="369" t="str">
        <f t="shared" si="62"/>
        <v/>
      </c>
      <c r="O191" s="368">
        <f t="shared" si="63"/>
        <v>305.39999999999998</v>
      </c>
      <c r="P191" s="368">
        <f t="shared" si="64"/>
        <v>305.39999999999998</v>
      </c>
      <c r="Q191" s="354"/>
      <c r="AB191" s="347">
        <f>TRUNC(SUM(AB189:AB190))</f>
        <v>2036</v>
      </c>
    </row>
    <row r="192" spans="1:31" ht="23.25" customHeight="1">
      <c r="A192" s="344" t="s">
        <v>1885</v>
      </c>
      <c r="B192" s="344" t="s">
        <v>1528</v>
      </c>
      <c r="C192" s="365" t="s">
        <v>1885</v>
      </c>
      <c r="D192" s="354" t="s">
        <v>1886</v>
      </c>
      <c r="E192" s="354" t="s">
        <v>1887</v>
      </c>
      <c r="F192" s="355" t="s">
        <v>212</v>
      </c>
      <c r="G192" s="368">
        <v>1</v>
      </c>
      <c r="H192" s="368">
        <f>IF(TRUNC((AD192+AC192)/$AD$3,1)*$AD$3-AD192 &lt;0, AC192, TRUNC((AD192+AC192)/$AD$3,1)*$AD$3-AD192)</f>
        <v>40.699999999999818</v>
      </c>
      <c r="I192" s="369">
        <f>H192</f>
        <v>40.699999999999818</v>
      </c>
      <c r="J192" s="368">
        <v>1</v>
      </c>
      <c r="K192" s="368"/>
      <c r="L192" s="369" t="str">
        <f t="shared" si="61"/>
        <v/>
      </c>
      <c r="M192" s="368"/>
      <c r="N192" s="369" t="str">
        <f t="shared" si="62"/>
        <v/>
      </c>
      <c r="O192" s="368">
        <f t="shared" si="63"/>
        <v>40.699999999999818</v>
      </c>
      <c r="P192" s="368">
        <f t="shared" si="64"/>
        <v>40.699999999999818</v>
      </c>
      <c r="Q192" s="354"/>
      <c r="AC192" s="347">
        <f>TRUNC(TRUNC(SUM(AC189:AC191))*옵션!$B$33/100,1)</f>
        <v>40.700000000000003</v>
      </c>
      <c r="AD192" s="347">
        <f>TRUNC(SUM(I189:I191))+TRUNC(SUM(N189:N191))</f>
        <v>2341</v>
      </c>
    </row>
    <row r="193" spans="1:31" ht="23.25" customHeight="1">
      <c r="A193" s="344" t="s">
        <v>1968</v>
      </c>
      <c r="B193" s="344" t="s">
        <v>1528</v>
      </c>
      <c r="C193" s="365" t="s">
        <v>1968</v>
      </c>
      <c r="D193" s="354" t="s">
        <v>1664</v>
      </c>
      <c r="E193" s="354" t="s">
        <v>1969</v>
      </c>
      <c r="F193" s="355" t="s">
        <v>1852</v>
      </c>
      <c r="G193" s="368">
        <f>일위노임!G84</f>
        <v>1.6E-2</v>
      </c>
      <c r="H193" s="368">
        <f>합산자재!H123</f>
        <v>0</v>
      </c>
      <c r="I193" s="369" t="str">
        <f>IF(G193*H193&lt;&gt;0, TRUNC(G193*H193, 1), "")</f>
        <v/>
      </c>
      <c r="J193" s="368">
        <v>1.6E-2</v>
      </c>
      <c r="K193" s="368">
        <f>합산자재!I123</f>
        <v>336167.66638000001</v>
      </c>
      <c r="L193" s="369">
        <f t="shared" si="61"/>
        <v>5378.6</v>
      </c>
      <c r="M193" s="368">
        <f>합산자재!J123</f>
        <v>0</v>
      </c>
      <c r="N193" s="369" t="str">
        <f t="shared" si="62"/>
        <v/>
      </c>
      <c r="O193" s="368">
        <f t="shared" si="63"/>
        <v>336167.66638000001</v>
      </c>
      <c r="P193" s="368">
        <f t="shared" si="64"/>
        <v>5378.6</v>
      </c>
      <c r="Q193" s="354"/>
      <c r="AE193" s="347">
        <f>L193</f>
        <v>5378.6</v>
      </c>
    </row>
    <row r="194" spans="1:31" ht="23.25" customHeight="1">
      <c r="A194" s="344" t="s">
        <v>1888</v>
      </c>
      <c r="B194" s="344" t="s">
        <v>1528</v>
      </c>
      <c r="C194" s="365" t="s">
        <v>1888</v>
      </c>
      <c r="D194" s="354" t="s">
        <v>1664</v>
      </c>
      <c r="E194" s="354" t="s">
        <v>1889</v>
      </c>
      <c r="F194" s="355" t="s">
        <v>1852</v>
      </c>
      <c r="G194" s="368">
        <f>일위노임!G85</f>
        <v>4.8000000000000001E-2</v>
      </c>
      <c r="H194" s="368">
        <f>합산자재!H125</f>
        <v>0</v>
      </c>
      <c r="I194" s="369" t="str">
        <f>IF(G194*H194&lt;&gt;0, TRUNC(G194*H194, 1), "")</f>
        <v/>
      </c>
      <c r="J194" s="368">
        <v>4.8000000000000001E-2</v>
      </c>
      <c r="K194" s="368">
        <f>합산자재!I125</f>
        <v>131495.20930000002</v>
      </c>
      <c r="L194" s="369">
        <f t="shared" si="61"/>
        <v>6311.7</v>
      </c>
      <c r="M194" s="368">
        <f>합산자재!J125</f>
        <v>0</v>
      </c>
      <c r="N194" s="369" t="str">
        <f t="shared" si="62"/>
        <v/>
      </c>
      <c r="O194" s="368">
        <f t="shared" si="63"/>
        <v>131495.20930000002</v>
      </c>
      <c r="P194" s="368">
        <f t="shared" si="64"/>
        <v>6311.7</v>
      </c>
      <c r="Q194" s="354"/>
      <c r="AE194" s="347">
        <f>L194</f>
        <v>6311.7</v>
      </c>
    </row>
    <row r="195" spans="1:31" ht="23.25" customHeight="1">
      <c r="A195" s="344" t="s">
        <v>1853</v>
      </c>
      <c r="B195" s="344" t="s">
        <v>1528</v>
      </c>
      <c r="C195" s="365" t="s">
        <v>1853</v>
      </c>
      <c r="D195" s="354" t="s">
        <v>1854</v>
      </c>
      <c r="E195" s="354" t="s">
        <v>1855</v>
      </c>
      <c r="F195" s="355" t="s">
        <v>212</v>
      </c>
      <c r="G195" s="368">
        <v>1</v>
      </c>
      <c r="H195" s="368">
        <f>IF(TRUNC((AD196+AC196)/$AE$3,1)*$AE$3-AD196 &lt;0, AC196, TRUNC((AD196+AC196)/$AE$3,1)*$AE$3-AD196)</f>
        <v>233.79999999999927</v>
      </c>
      <c r="I195" s="369">
        <f>H195</f>
        <v>233.79999999999927</v>
      </c>
      <c r="J195" s="368">
        <v>1</v>
      </c>
      <c r="K195" s="368"/>
      <c r="L195" s="369" t="str">
        <f t="shared" si="61"/>
        <v/>
      </c>
      <c r="M195" s="368"/>
      <c r="N195" s="369" t="str">
        <f t="shared" si="62"/>
        <v/>
      </c>
      <c r="O195" s="368">
        <f t="shared" si="63"/>
        <v>233.79999999999927</v>
      </c>
      <c r="P195" s="368">
        <f t="shared" si="64"/>
        <v>233.79999999999927</v>
      </c>
      <c r="Q195" s="354"/>
    </row>
    <row r="196" spans="1:31" ht="23.25" customHeight="1">
      <c r="B196" s="344" t="s">
        <v>715</v>
      </c>
      <c r="D196" s="354" t="s">
        <v>216</v>
      </c>
      <c r="E196" s="354"/>
      <c r="F196" s="355"/>
      <c r="G196" s="368"/>
      <c r="H196" s="368"/>
      <c r="I196" s="369">
        <f>TRUNC(SUM(I189:I195))</f>
        <v>2616</v>
      </c>
      <c r="J196" s="368"/>
      <c r="K196" s="368"/>
      <c r="L196" s="369">
        <f>TRUNC(SUM(L189:L195))</f>
        <v>11690</v>
      </c>
      <c r="M196" s="368"/>
      <c r="N196" s="369">
        <f>TRUNC(SUM(N189:N195))</f>
        <v>0</v>
      </c>
      <c r="O196" s="368" t="str">
        <f t="shared" si="63"/>
        <v/>
      </c>
      <c r="P196" s="368">
        <f t="shared" si="64"/>
        <v>14306</v>
      </c>
      <c r="Q196" s="354"/>
      <c r="AC196" s="347">
        <f>TRUNC(AE196*옵션!$B$36/100,1)</f>
        <v>233.8</v>
      </c>
      <c r="AD196" s="347">
        <f>TRUNC(SUM(L189:L194))</f>
        <v>11690</v>
      </c>
      <c r="AE196" s="347">
        <f>TRUNC(SUM(AE189:AE195))</f>
        <v>11690</v>
      </c>
    </row>
    <row r="197" spans="1:31" ht="23.25" customHeight="1">
      <c r="D197" s="354"/>
      <c r="E197" s="354"/>
      <c r="F197" s="355"/>
      <c r="G197" s="368"/>
      <c r="H197" s="368"/>
      <c r="I197" s="369"/>
      <c r="J197" s="368"/>
      <c r="K197" s="368"/>
      <c r="L197" s="369"/>
      <c r="M197" s="368"/>
      <c r="N197" s="369"/>
      <c r="O197" s="368"/>
      <c r="P197" s="368"/>
      <c r="Q197" s="354"/>
    </row>
    <row r="198" spans="1:31" ht="23.25" customHeight="1">
      <c r="A198" s="344" t="s">
        <v>863</v>
      </c>
      <c r="B198" s="344" t="s">
        <v>1833</v>
      </c>
      <c r="C198" s="365" t="s">
        <v>1973</v>
      </c>
      <c r="D198" s="714" t="s">
        <v>1974</v>
      </c>
      <c r="E198" s="715"/>
      <c r="F198" s="355"/>
      <c r="G198" s="368"/>
      <c r="H198" s="368"/>
      <c r="I198" s="369"/>
      <c r="J198" s="368"/>
      <c r="K198" s="368"/>
      <c r="L198" s="369"/>
      <c r="M198" s="368"/>
      <c r="N198" s="369"/>
      <c r="O198" s="368"/>
      <c r="P198" s="368"/>
      <c r="Q198" s="354"/>
    </row>
    <row r="199" spans="1:31" ht="23.25" customHeight="1">
      <c r="A199" s="344" t="s">
        <v>1975</v>
      </c>
      <c r="B199" s="344" t="s">
        <v>1530</v>
      </c>
      <c r="C199" s="365" t="s">
        <v>1975</v>
      </c>
      <c r="D199" s="354" t="s">
        <v>446</v>
      </c>
      <c r="E199" s="354" t="s">
        <v>447</v>
      </c>
      <c r="F199" s="355" t="s">
        <v>255</v>
      </c>
      <c r="G199" s="368">
        <v>1</v>
      </c>
      <c r="H199" s="368">
        <f>합산자재!H18</f>
        <v>318.75480000000005</v>
      </c>
      <c r="I199" s="369">
        <f>IF(G199*H199&lt;&gt;0, TRUNC(G199*H199, 1), "")</f>
        <v>318.7</v>
      </c>
      <c r="J199" s="368">
        <v>1</v>
      </c>
      <c r="K199" s="368">
        <f>합산자재!I18</f>
        <v>0</v>
      </c>
      <c r="L199" s="369" t="str">
        <f>IF(G199*K199&lt;&gt;0, TRUNC(G199*K199, 1), "")</f>
        <v/>
      </c>
      <c r="M199" s="368">
        <f>합산자재!J18</f>
        <v>0</v>
      </c>
      <c r="N199" s="369" t="str">
        <f>IF(G199*M199&lt;&gt;0, TRUNC(G199*M199, 1), "")</f>
        <v/>
      </c>
      <c r="O199" s="368">
        <f t="shared" ref="O199:O204" si="65">IF((H199+K199+M199)=0, "", (H199+K199+M199))</f>
        <v>318.75480000000005</v>
      </c>
      <c r="P199" s="368">
        <f t="shared" ref="P199:P204" si="66">IF(SUM(I199,L199,N199)&lt;&gt;0,SUM(I199,L199,N199),"")</f>
        <v>318.7</v>
      </c>
      <c r="Q199" s="354"/>
      <c r="AB199" s="347">
        <f>I199</f>
        <v>318.7</v>
      </c>
      <c r="AC199" s="347">
        <f>G199*H199</f>
        <v>318.75480000000005</v>
      </c>
    </row>
    <row r="200" spans="1:31" ht="23.25" customHeight="1">
      <c r="A200" s="344" t="s">
        <v>1925</v>
      </c>
      <c r="B200" s="344" t="s">
        <v>1530</v>
      </c>
      <c r="C200" s="365" t="s">
        <v>1925</v>
      </c>
      <c r="D200" s="354" t="s">
        <v>1926</v>
      </c>
      <c r="E200" s="354" t="s">
        <v>1927</v>
      </c>
      <c r="F200" s="355" t="s">
        <v>212</v>
      </c>
      <c r="G200" s="368">
        <v>1</v>
      </c>
      <c r="H200" s="368">
        <f>TRUNC(AB200*옵션!$B$31/100,1)</f>
        <v>47.7</v>
      </c>
      <c r="I200" s="369">
        <f>IF(G200*H200&lt;&gt;0, TRUNC(G200*H200, 1), "")</f>
        <v>47.7</v>
      </c>
      <c r="J200" s="368">
        <v>1</v>
      </c>
      <c r="K200" s="368"/>
      <c r="L200" s="369" t="str">
        <f>IF(G200*K200&lt;&gt;0, TRUNC(G200*K200, 1), "")</f>
        <v/>
      </c>
      <c r="M200" s="368"/>
      <c r="N200" s="369" t="str">
        <f>IF(G200*M200&lt;&gt;0, TRUNC(G200*M200, 1), "")</f>
        <v/>
      </c>
      <c r="O200" s="368">
        <f t="shared" si="65"/>
        <v>47.7</v>
      </c>
      <c r="P200" s="368">
        <f t="shared" si="66"/>
        <v>47.7</v>
      </c>
      <c r="Q200" s="354"/>
      <c r="AB200" s="347">
        <f>TRUNC(SUM(AB198:AB199))</f>
        <v>318</v>
      </c>
    </row>
    <row r="201" spans="1:31" ht="23.25" customHeight="1">
      <c r="A201" s="344" t="s">
        <v>1885</v>
      </c>
      <c r="B201" s="344" t="s">
        <v>1530</v>
      </c>
      <c r="C201" s="365" t="s">
        <v>1885</v>
      </c>
      <c r="D201" s="354" t="s">
        <v>1886</v>
      </c>
      <c r="E201" s="354" t="s">
        <v>1887</v>
      </c>
      <c r="F201" s="355" t="s">
        <v>212</v>
      </c>
      <c r="G201" s="368">
        <v>1</v>
      </c>
      <c r="H201" s="368">
        <f>IF(TRUNC((AD201+AC201)/$AD$3,1)*$AD$3-AD201 &lt;0, AC201, TRUNC((AD201+AC201)/$AD$3,1)*$AD$3-AD201)</f>
        <v>6.3000000000000114</v>
      </c>
      <c r="I201" s="369">
        <f>H201</f>
        <v>6.3000000000000114</v>
      </c>
      <c r="J201" s="368">
        <v>1</v>
      </c>
      <c r="K201" s="368"/>
      <c r="L201" s="369" t="str">
        <f>IF(G201*K201&lt;&gt;0, TRUNC(G201*K201, 1), "")</f>
        <v/>
      </c>
      <c r="M201" s="368"/>
      <c r="N201" s="369" t="str">
        <f>IF(G201*M201&lt;&gt;0, TRUNC(G201*M201, 1), "")</f>
        <v/>
      </c>
      <c r="O201" s="368">
        <f t="shared" si="65"/>
        <v>6.3000000000000114</v>
      </c>
      <c r="P201" s="368">
        <f t="shared" si="66"/>
        <v>6.3000000000000114</v>
      </c>
      <c r="Q201" s="354"/>
      <c r="AC201" s="347">
        <f>TRUNC(TRUNC(SUM(AC198:AC200))*옵션!$B$33/100,1)</f>
        <v>6.3</v>
      </c>
      <c r="AD201" s="347">
        <f>TRUNC(SUM(I198:I200))+TRUNC(SUM(N198:N200))</f>
        <v>366</v>
      </c>
    </row>
    <row r="202" spans="1:31" ht="23.25" customHeight="1">
      <c r="A202" s="344" t="s">
        <v>1850</v>
      </c>
      <c r="B202" s="344" t="s">
        <v>1530</v>
      </c>
      <c r="C202" s="365" t="s">
        <v>1850</v>
      </c>
      <c r="D202" s="354" t="s">
        <v>1664</v>
      </c>
      <c r="E202" s="354" t="s">
        <v>1851</v>
      </c>
      <c r="F202" s="355" t="s">
        <v>1852</v>
      </c>
      <c r="G202" s="368">
        <f>일위노임!G88</f>
        <v>4.3999999999999997E-2</v>
      </c>
      <c r="H202" s="368">
        <f>합산자재!H120</f>
        <v>0</v>
      </c>
      <c r="I202" s="369" t="str">
        <f>IF(G202*H202&lt;&gt;0, TRUNC(G202*H202, 1), "")</f>
        <v/>
      </c>
      <c r="J202" s="368">
        <v>4.3999999999999997E-2</v>
      </c>
      <c r="K202" s="368">
        <f>합산자재!I120</f>
        <v>229252.87931000002</v>
      </c>
      <c r="L202" s="369">
        <f>IF(G202*K202&lt;&gt;0, TRUNC(G202*K202, 1), "")</f>
        <v>10087.1</v>
      </c>
      <c r="M202" s="368">
        <f>합산자재!J120</f>
        <v>0</v>
      </c>
      <c r="N202" s="369" t="str">
        <f>IF(G202*M202&lt;&gt;0, TRUNC(G202*M202, 1), "")</f>
        <v/>
      </c>
      <c r="O202" s="368">
        <f t="shared" si="65"/>
        <v>229252.87931000002</v>
      </c>
      <c r="P202" s="368">
        <f t="shared" si="66"/>
        <v>10087.1</v>
      </c>
      <c r="Q202" s="354"/>
      <c r="AE202" s="347">
        <f>L202</f>
        <v>10087.1</v>
      </c>
    </row>
    <row r="203" spans="1:31" ht="23.25" customHeight="1">
      <c r="A203" s="344" t="s">
        <v>1853</v>
      </c>
      <c r="B203" s="344" t="s">
        <v>1530</v>
      </c>
      <c r="C203" s="365" t="s">
        <v>1853</v>
      </c>
      <c r="D203" s="354" t="s">
        <v>1854</v>
      </c>
      <c r="E203" s="354" t="s">
        <v>1855</v>
      </c>
      <c r="F203" s="355" t="s">
        <v>212</v>
      </c>
      <c r="G203" s="368">
        <v>1</v>
      </c>
      <c r="H203" s="368">
        <f>IF(TRUNC((AD204+AC204)/$AE$3,1)*$AE$3-AD204 &lt;0, AC204, TRUNC((AD204+AC204)/$AE$3,1)*$AE$3-AD204)</f>
        <v>201.70000000000073</v>
      </c>
      <c r="I203" s="369">
        <f>H203</f>
        <v>201.70000000000073</v>
      </c>
      <c r="J203" s="368">
        <v>1</v>
      </c>
      <c r="K203" s="368"/>
      <c r="L203" s="369" t="str">
        <f>IF(G203*K203&lt;&gt;0, TRUNC(G203*K203, 1), "")</f>
        <v/>
      </c>
      <c r="M203" s="368"/>
      <c r="N203" s="369" t="str">
        <f>IF(G203*M203&lt;&gt;0, TRUNC(G203*M203, 1), "")</f>
        <v/>
      </c>
      <c r="O203" s="368">
        <f t="shared" si="65"/>
        <v>201.70000000000073</v>
      </c>
      <c r="P203" s="368">
        <f t="shared" si="66"/>
        <v>201.70000000000073</v>
      </c>
      <c r="Q203" s="354"/>
    </row>
    <row r="204" spans="1:31" ht="23.25" customHeight="1">
      <c r="B204" s="344" t="s">
        <v>715</v>
      </c>
      <c r="D204" s="354" t="s">
        <v>216</v>
      </c>
      <c r="E204" s="354"/>
      <c r="F204" s="355"/>
      <c r="G204" s="368"/>
      <c r="H204" s="368"/>
      <c r="I204" s="369">
        <f>(SUM(I198:I203))</f>
        <v>574.40000000000077</v>
      </c>
      <c r="J204" s="368"/>
      <c r="K204" s="368"/>
      <c r="L204" s="369">
        <f>TRUNC(SUM(L198:L203))</f>
        <v>10087</v>
      </c>
      <c r="M204" s="368"/>
      <c r="N204" s="369">
        <f>TRUNC(SUM(N198:N203))</f>
        <v>0</v>
      </c>
      <c r="O204" s="368" t="str">
        <f t="shared" si="65"/>
        <v/>
      </c>
      <c r="P204" s="368">
        <f t="shared" si="66"/>
        <v>10661.400000000001</v>
      </c>
      <c r="Q204" s="354"/>
      <c r="AC204" s="347">
        <f>TRUNC(AE204*옵션!$B$36/100,1)</f>
        <v>201.7</v>
      </c>
      <c r="AD204" s="347">
        <f>TRUNC(SUM(L198:L202))</f>
        <v>10087</v>
      </c>
      <c r="AE204" s="347">
        <f>TRUNC(SUM(AE198:AE203))</f>
        <v>10087</v>
      </c>
    </row>
    <row r="205" spans="1:31" ht="23.25" customHeight="1">
      <c r="D205" s="354"/>
      <c r="E205" s="354"/>
      <c r="F205" s="355"/>
      <c r="G205" s="368"/>
      <c r="H205" s="368"/>
      <c r="I205" s="369"/>
      <c r="J205" s="368"/>
      <c r="K205" s="368"/>
      <c r="L205" s="369"/>
      <c r="M205" s="368"/>
      <c r="N205" s="369"/>
      <c r="O205" s="368"/>
      <c r="P205" s="368"/>
      <c r="Q205" s="354"/>
    </row>
    <row r="206" spans="1:31" ht="23.25" customHeight="1">
      <c r="A206" s="344" t="s">
        <v>949</v>
      </c>
      <c r="B206" s="344" t="s">
        <v>1833</v>
      </c>
      <c r="C206" s="365" t="s">
        <v>1976</v>
      </c>
      <c r="D206" s="714" t="s">
        <v>1977</v>
      </c>
      <c r="E206" s="715"/>
      <c r="F206" s="355"/>
      <c r="G206" s="368"/>
      <c r="H206" s="368"/>
      <c r="I206" s="369"/>
      <c r="J206" s="368"/>
      <c r="K206" s="368"/>
      <c r="L206" s="369"/>
      <c r="M206" s="368"/>
      <c r="N206" s="369"/>
      <c r="O206" s="368"/>
      <c r="P206" s="368"/>
      <c r="Q206" s="354"/>
    </row>
    <row r="207" spans="1:31" ht="23.25" customHeight="1">
      <c r="A207" s="344" t="s">
        <v>1978</v>
      </c>
      <c r="B207" s="344" t="s">
        <v>1532</v>
      </c>
      <c r="C207" s="365" t="s">
        <v>1978</v>
      </c>
      <c r="D207" s="354" t="s">
        <v>446</v>
      </c>
      <c r="E207" s="354" t="s">
        <v>523</v>
      </c>
      <c r="F207" s="355" t="s">
        <v>255</v>
      </c>
      <c r="G207" s="368">
        <v>1</v>
      </c>
      <c r="H207" s="368">
        <f>합산자재!H19</f>
        <v>714.54201</v>
      </c>
      <c r="I207" s="369">
        <f>IF(G207*H207&lt;&gt;0, TRUNC(G207*H207, 1), "")</f>
        <v>714.5</v>
      </c>
      <c r="J207" s="368">
        <v>1</v>
      </c>
      <c r="K207" s="368">
        <f>합산자재!I19</f>
        <v>0</v>
      </c>
      <c r="L207" s="369" t="str">
        <f>IF(G207*K207&lt;&gt;0, TRUNC(G207*K207, 1), "")</f>
        <v/>
      </c>
      <c r="M207" s="368">
        <f>합산자재!J19</f>
        <v>0</v>
      </c>
      <c r="N207" s="369" t="str">
        <f>IF(G207*M207&lt;&gt;0, TRUNC(G207*M207, 1), "")</f>
        <v/>
      </c>
      <c r="O207" s="368">
        <f t="shared" ref="O207:O212" si="67">IF((H207+K207+M207)=0, "", (H207+K207+M207))</f>
        <v>714.54201</v>
      </c>
      <c r="P207" s="368">
        <f t="shared" ref="P207:P212" si="68">IF(SUM(I207,L207,N207)&lt;&gt;0,SUM(I207,L207,N207),"")</f>
        <v>714.5</v>
      </c>
      <c r="Q207" s="354"/>
      <c r="AB207" s="347">
        <f>I207</f>
        <v>714.5</v>
      </c>
      <c r="AC207" s="347">
        <f>G207*H207</f>
        <v>714.54201</v>
      </c>
    </row>
    <row r="208" spans="1:31" ht="23.25" customHeight="1">
      <c r="A208" s="344" t="s">
        <v>1925</v>
      </c>
      <c r="B208" s="344" t="s">
        <v>1532</v>
      </c>
      <c r="C208" s="365" t="s">
        <v>1925</v>
      </c>
      <c r="D208" s="354" t="s">
        <v>1926</v>
      </c>
      <c r="E208" s="354" t="s">
        <v>1927</v>
      </c>
      <c r="F208" s="355" t="s">
        <v>212</v>
      </c>
      <c r="G208" s="368">
        <v>1</v>
      </c>
      <c r="H208" s="368">
        <f>TRUNC(AB208*옵션!$B$31/100,1)</f>
        <v>107.1</v>
      </c>
      <c r="I208" s="369">
        <f>IF(G208*H208&lt;&gt;0, TRUNC(G208*H208, 1), "")</f>
        <v>107.1</v>
      </c>
      <c r="J208" s="368">
        <v>1</v>
      </c>
      <c r="K208" s="368"/>
      <c r="L208" s="369" t="str">
        <f>IF(G208*K208&lt;&gt;0, TRUNC(G208*K208, 1), "")</f>
        <v/>
      </c>
      <c r="M208" s="368"/>
      <c r="N208" s="369" t="str">
        <f>IF(G208*M208&lt;&gt;0, TRUNC(G208*M208, 1), "")</f>
        <v/>
      </c>
      <c r="O208" s="368">
        <f t="shared" si="67"/>
        <v>107.1</v>
      </c>
      <c r="P208" s="368">
        <f t="shared" si="68"/>
        <v>107.1</v>
      </c>
      <c r="Q208" s="354"/>
      <c r="AB208" s="347">
        <f>TRUNC(SUM(AB206:AB207))</f>
        <v>714</v>
      </c>
    </row>
    <row r="209" spans="1:31" ht="23.25" customHeight="1">
      <c r="A209" s="344" t="s">
        <v>1885</v>
      </c>
      <c r="B209" s="344" t="s">
        <v>1532</v>
      </c>
      <c r="C209" s="365" t="s">
        <v>1885</v>
      </c>
      <c r="D209" s="354" t="s">
        <v>1886</v>
      </c>
      <c r="E209" s="354" t="s">
        <v>1887</v>
      </c>
      <c r="F209" s="355" t="s">
        <v>212</v>
      </c>
      <c r="G209" s="368">
        <v>1</v>
      </c>
      <c r="H209" s="368">
        <f>IF(TRUNC((AD209+AC209)/$AD$3,1)*$AD$3-AD209 &lt;0, AC209, TRUNC((AD209+AC209)/$AD$3,1)*$AD$3-AD209)</f>
        <v>14.200000000000045</v>
      </c>
      <c r="I209" s="369">
        <f>H209</f>
        <v>14.200000000000045</v>
      </c>
      <c r="J209" s="368">
        <v>1</v>
      </c>
      <c r="K209" s="368"/>
      <c r="L209" s="369" t="str">
        <f>IF(G209*K209&lt;&gt;0, TRUNC(G209*K209, 1), "")</f>
        <v/>
      </c>
      <c r="M209" s="368"/>
      <c r="N209" s="369" t="str">
        <f>IF(G209*M209&lt;&gt;0, TRUNC(G209*M209, 1), "")</f>
        <v/>
      </c>
      <c r="O209" s="368">
        <f t="shared" si="67"/>
        <v>14.200000000000045</v>
      </c>
      <c r="P209" s="368">
        <f t="shared" si="68"/>
        <v>14.200000000000045</v>
      </c>
      <c r="Q209" s="354"/>
      <c r="AC209" s="347">
        <f>TRUNC(TRUNC(SUM(AC206:AC208))*옵션!$B$33/100,1)</f>
        <v>14.2</v>
      </c>
      <c r="AD209" s="347">
        <f>TRUNC(SUM(I206:I208))+TRUNC(SUM(N206:N208))</f>
        <v>821</v>
      </c>
    </row>
    <row r="210" spans="1:31" ht="23.25" customHeight="1">
      <c r="A210" s="344" t="s">
        <v>1850</v>
      </c>
      <c r="B210" s="344" t="s">
        <v>1532</v>
      </c>
      <c r="C210" s="365" t="s">
        <v>1850</v>
      </c>
      <c r="D210" s="354" t="s">
        <v>1664</v>
      </c>
      <c r="E210" s="354" t="s">
        <v>1851</v>
      </c>
      <c r="F210" s="355" t="s">
        <v>1852</v>
      </c>
      <c r="G210" s="368">
        <f>일위노임!G91</f>
        <v>5.8999999999999997E-2</v>
      </c>
      <c r="H210" s="368">
        <f>합산자재!H120</f>
        <v>0</v>
      </c>
      <c r="I210" s="369" t="str">
        <f>IF(G210*H210&lt;&gt;0, TRUNC(G210*H210, 1), "")</f>
        <v/>
      </c>
      <c r="J210" s="368">
        <v>5.8999999999999997E-2</v>
      </c>
      <c r="K210" s="368">
        <f>합산자재!I120</f>
        <v>229252.87931000002</v>
      </c>
      <c r="L210" s="369">
        <f>IF(G210*K210&lt;&gt;0, TRUNC(G210*K210, 1), "")</f>
        <v>13525.9</v>
      </c>
      <c r="M210" s="368">
        <f>합산자재!J120</f>
        <v>0</v>
      </c>
      <c r="N210" s="369" t="str">
        <f>IF(G210*M210&lt;&gt;0, TRUNC(G210*M210, 1), "")</f>
        <v/>
      </c>
      <c r="O210" s="368">
        <f t="shared" si="67"/>
        <v>229252.87931000002</v>
      </c>
      <c r="P210" s="368">
        <f t="shared" si="68"/>
        <v>13525.9</v>
      </c>
      <c r="Q210" s="354"/>
      <c r="AE210" s="347">
        <f>L210</f>
        <v>13525.9</v>
      </c>
    </row>
    <row r="211" spans="1:31" ht="23.25" customHeight="1">
      <c r="A211" s="344" t="s">
        <v>1853</v>
      </c>
      <c r="B211" s="344" t="s">
        <v>1532</v>
      </c>
      <c r="C211" s="365" t="s">
        <v>1853</v>
      </c>
      <c r="D211" s="354" t="s">
        <v>1854</v>
      </c>
      <c r="E211" s="354" t="s">
        <v>1855</v>
      </c>
      <c r="F211" s="355" t="s">
        <v>212</v>
      </c>
      <c r="G211" s="368">
        <v>1</v>
      </c>
      <c r="H211" s="368">
        <f>IF(TRUNC((AD212+AC212)/$AE$3,1)*$AE$3-AD212 &lt;0, AC212, TRUNC((AD212+AC212)/$AE$3,1)*$AE$3-AD212)</f>
        <v>270.5</v>
      </c>
      <c r="I211" s="369">
        <f>H211</f>
        <v>270.5</v>
      </c>
      <c r="J211" s="368">
        <v>1</v>
      </c>
      <c r="K211" s="368"/>
      <c r="L211" s="369" t="str">
        <f>IF(G211*K211&lt;&gt;0, TRUNC(G211*K211, 1), "")</f>
        <v/>
      </c>
      <c r="M211" s="368"/>
      <c r="N211" s="369" t="str">
        <f>IF(G211*M211&lt;&gt;0, TRUNC(G211*M211, 1), "")</f>
        <v/>
      </c>
      <c r="O211" s="368">
        <f t="shared" si="67"/>
        <v>270.5</v>
      </c>
      <c r="P211" s="368">
        <f t="shared" si="68"/>
        <v>270.5</v>
      </c>
      <c r="Q211" s="354"/>
    </row>
    <row r="212" spans="1:31" ht="23.25" customHeight="1">
      <c r="B212" s="344" t="s">
        <v>715</v>
      </c>
      <c r="D212" s="354" t="s">
        <v>216</v>
      </c>
      <c r="E212" s="354"/>
      <c r="F212" s="355"/>
      <c r="G212" s="368"/>
      <c r="H212" s="368"/>
      <c r="I212" s="369">
        <f>TRUNC(SUM(I206:I211))</f>
        <v>1106</v>
      </c>
      <c r="J212" s="368"/>
      <c r="K212" s="368"/>
      <c r="L212" s="369">
        <f>TRUNC(SUM(L206:L211))</f>
        <v>13525</v>
      </c>
      <c r="M212" s="368"/>
      <c r="N212" s="369">
        <f>TRUNC(SUM(N206:N211))</f>
        <v>0</v>
      </c>
      <c r="O212" s="368" t="str">
        <f t="shared" si="67"/>
        <v/>
      </c>
      <c r="P212" s="368">
        <f t="shared" si="68"/>
        <v>14631</v>
      </c>
      <c r="Q212" s="354"/>
      <c r="AC212" s="347">
        <f>TRUNC(AE212*옵션!$B$36/100,1)</f>
        <v>270.5</v>
      </c>
      <c r="AD212" s="347">
        <f>TRUNC(SUM(L206:L210))</f>
        <v>13525</v>
      </c>
      <c r="AE212" s="347">
        <f>TRUNC(SUM(AE206:AE211))</f>
        <v>13525</v>
      </c>
    </row>
    <row r="213" spans="1:31" ht="23.25" customHeight="1">
      <c r="D213" s="354"/>
      <c r="E213" s="354"/>
      <c r="F213" s="355"/>
      <c r="G213" s="368"/>
      <c r="H213" s="368"/>
      <c r="I213" s="369"/>
      <c r="J213" s="368"/>
      <c r="K213" s="368"/>
      <c r="L213" s="369"/>
      <c r="M213" s="368"/>
      <c r="N213" s="369"/>
      <c r="O213" s="368"/>
      <c r="P213" s="368"/>
      <c r="Q213" s="354"/>
    </row>
    <row r="214" spans="1:31" ht="23.25" customHeight="1">
      <c r="A214" s="344" t="s">
        <v>952</v>
      </c>
      <c r="B214" s="344" t="s">
        <v>1833</v>
      </c>
      <c r="C214" s="365" t="s">
        <v>1979</v>
      </c>
      <c r="D214" s="714" t="s">
        <v>1980</v>
      </c>
      <c r="E214" s="715"/>
      <c r="F214" s="355"/>
      <c r="G214" s="368"/>
      <c r="H214" s="368"/>
      <c r="I214" s="369"/>
      <c r="J214" s="368"/>
      <c r="K214" s="368"/>
      <c r="L214" s="369"/>
      <c r="M214" s="368"/>
      <c r="N214" s="369"/>
      <c r="O214" s="368"/>
      <c r="P214" s="368"/>
      <c r="Q214" s="354"/>
    </row>
    <row r="215" spans="1:31" ht="23.25" customHeight="1">
      <c r="A215" s="344" t="s">
        <v>1981</v>
      </c>
      <c r="B215" s="344" t="s">
        <v>1534</v>
      </c>
      <c r="C215" s="365" t="s">
        <v>1981</v>
      </c>
      <c r="D215" s="354" t="s">
        <v>446</v>
      </c>
      <c r="E215" s="354" t="s">
        <v>524</v>
      </c>
      <c r="F215" s="355" t="s">
        <v>255</v>
      </c>
      <c r="G215" s="368">
        <v>1</v>
      </c>
      <c r="H215" s="368">
        <f>합산자재!H20</f>
        <v>1221.8934000000002</v>
      </c>
      <c r="I215" s="369">
        <f>IF(G215*H215&lt;&gt;0, TRUNC(G215*H215, 1), "")</f>
        <v>1221.8</v>
      </c>
      <c r="J215" s="368">
        <v>1</v>
      </c>
      <c r="K215" s="368">
        <f>합산자재!I20</f>
        <v>0</v>
      </c>
      <c r="L215" s="369" t="str">
        <f>IF(G215*K215&lt;&gt;0, TRUNC(G215*K215, 1), "")</f>
        <v/>
      </c>
      <c r="M215" s="368">
        <f>합산자재!J20</f>
        <v>0</v>
      </c>
      <c r="N215" s="369" t="str">
        <f>IF(G215*M215&lt;&gt;0, TRUNC(G215*M215, 1), "")</f>
        <v/>
      </c>
      <c r="O215" s="368">
        <f t="shared" ref="O215:O220" si="69">IF((H215+K215+M215)=0, "", (H215+K215+M215))</f>
        <v>1221.8934000000002</v>
      </c>
      <c r="P215" s="368">
        <f t="shared" ref="P215:P220" si="70">IF(SUM(I215,L215,N215)&lt;&gt;0,SUM(I215,L215,N215),"")</f>
        <v>1221.8</v>
      </c>
      <c r="Q215" s="354"/>
      <c r="AB215" s="347">
        <f>I215</f>
        <v>1221.8</v>
      </c>
      <c r="AC215" s="347">
        <f>G215*H215</f>
        <v>1221.8934000000002</v>
      </c>
    </row>
    <row r="216" spans="1:31" ht="23.25" customHeight="1">
      <c r="A216" s="344" t="s">
        <v>1925</v>
      </c>
      <c r="B216" s="344" t="s">
        <v>1534</v>
      </c>
      <c r="C216" s="365" t="s">
        <v>1925</v>
      </c>
      <c r="D216" s="354" t="s">
        <v>1926</v>
      </c>
      <c r="E216" s="354" t="s">
        <v>1927</v>
      </c>
      <c r="F216" s="355" t="s">
        <v>212</v>
      </c>
      <c r="G216" s="368">
        <v>1</v>
      </c>
      <c r="H216" s="368">
        <f>TRUNC(AB216*옵션!$B$31/100,1)</f>
        <v>183.1</v>
      </c>
      <c r="I216" s="369">
        <f>IF(G216*H216&lt;&gt;0, TRUNC(G216*H216, 1), "")</f>
        <v>183.1</v>
      </c>
      <c r="J216" s="368">
        <v>1</v>
      </c>
      <c r="K216" s="368"/>
      <c r="L216" s="369" t="str">
        <f>IF(G216*K216&lt;&gt;0, TRUNC(G216*K216, 1), "")</f>
        <v/>
      </c>
      <c r="M216" s="368"/>
      <c r="N216" s="369" t="str">
        <f>IF(G216*M216&lt;&gt;0, TRUNC(G216*M216, 1), "")</f>
        <v/>
      </c>
      <c r="O216" s="368">
        <f t="shared" si="69"/>
        <v>183.1</v>
      </c>
      <c r="P216" s="368">
        <f t="shared" si="70"/>
        <v>183.1</v>
      </c>
      <c r="Q216" s="354"/>
      <c r="AB216" s="347">
        <f>TRUNC(SUM(AB214:AB215))</f>
        <v>1221</v>
      </c>
    </row>
    <row r="217" spans="1:31" ht="23.25" customHeight="1">
      <c r="A217" s="344" t="s">
        <v>1885</v>
      </c>
      <c r="B217" s="344" t="s">
        <v>1534</v>
      </c>
      <c r="C217" s="365" t="s">
        <v>1885</v>
      </c>
      <c r="D217" s="354" t="s">
        <v>1886</v>
      </c>
      <c r="E217" s="354" t="s">
        <v>1887</v>
      </c>
      <c r="F217" s="355" t="s">
        <v>212</v>
      </c>
      <c r="G217" s="368">
        <v>1</v>
      </c>
      <c r="H217" s="368">
        <f>IF(TRUNC((AD217+AC217)/$AD$3,1)*$AD$3-AD217 &lt;0, AC217, TRUNC((AD217+AC217)/$AD$3,1)*$AD$3-AD217)</f>
        <v>24.400000000000091</v>
      </c>
      <c r="I217" s="369">
        <f>H217</f>
        <v>24.400000000000091</v>
      </c>
      <c r="J217" s="368">
        <v>1</v>
      </c>
      <c r="K217" s="368"/>
      <c r="L217" s="369" t="str">
        <f>IF(G217*K217&lt;&gt;0, TRUNC(G217*K217, 1), "")</f>
        <v/>
      </c>
      <c r="M217" s="368"/>
      <c r="N217" s="369" t="str">
        <f>IF(G217*M217&lt;&gt;0, TRUNC(G217*M217, 1), "")</f>
        <v/>
      </c>
      <c r="O217" s="368">
        <f t="shared" si="69"/>
        <v>24.400000000000091</v>
      </c>
      <c r="P217" s="368">
        <f t="shared" si="70"/>
        <v>24.400000000000091</v>
      </c>
      <c r="Q217" s="354"/>
      <c r="AC217" s="347">
        <f>TRUNC(TRUNC(SUM(AC214:AC216))*옵션!$B$33/100,1)</f>
        <v>24.4</v>
      </c>
      <c r="AD217" s="347">
        <f>TRUNC(SUM(I214:I216))+TRUNC(SUM(N214:N216))</f>
        <v>1404</v>
      </c>
    </row>
    <row r="218" spans="1:31" ht="23.25" customHeight="1">
      <c r="A218" s="344" t="s">
        <v>1850</v>
      </c>
      <c r="B218" s="344" t="s">
        <v>1534</v>
      </c>
      <c r="C218" s="365" t="s">
        <v>1850</v>
      </c>
      <c r="D218" s="354" t="s">
        <v>1664</v>
      </c>
      <c r="E218" s="354" t="s">
        <v>1851</v>
      </c>
      <c r="F218" s="355" t="s">
        <v>1852</v>
      </c>
      <c r="G218" s="368">
        <f>일위노임!G94</f>
        <v>8.6999999999999994E-2</v>
      </c>
      <c r="H218" s="368">
        <f>합산자재!H120</f>
        <v>0</v>
      </c>
      <c r="I218" s="369" t="str">
        <f>IF(G218*H218&lt;&gt;0, TRUNC(G218*H218, 1), "")</f>
        <v/>
      </c>
      <c r="J218" s="368">
        <v>8.6999999999999994E-2</v>
      </c>
      <c r="K218" s="368">
        <f>합산자재!I120</f>
        <v>229252.87931000002</v>
      </c>
      <c r="L218" s="369">
        <f>IF(G218*K218&lt;&gt;0, TRUNC(G218*K218, 1), "")</f>
        <v>19945</v>
      </c>
      <c r="M218" s="368">
        <f>합산자재!J120</f>
        <v>0</v>
      </c>
      <c r="N218" s="369" t="str">
        <f>IF(G218*M218&lt;&gt;0, TRUNC(G218*M218, 1), "")</f>
        <v/>
      </c>
      <c r="O218" s="368">
        <f t="shared" si="69"/>
        <v>229252.87931000002</v>
      </c>
      <c r="P218" s="368">
        <f t="shared" si="70"/>
        <v>19945</v>
      </c>
      <c r="Q218" s="354"/>
      <c r="AE218" s="347">
        <f>L218</f>
        <v>19945</v>
      </c>
    </row>
    <row r="219" spans="1:31" ht="23.25" customHeight="1">
      <c r="A219" s="344" t="s">
        <v>1853</v>
      </c>
      <c r="B219" s="344" t="s">
        <v>1534</v>
      </c>
      <c r="C219" s="365" t="s">
        <v>1853</v>
      </c>
      <c r="D219" s="354" t="s">
        <v>1854</v>
      </c>
      <c r="E219" s="354" t="s">
        <v>1855</v>
      </c>
      <c r="F219" s="355" t="s">
        <v>212</v>
      </c>
      <c r="G219" s="368">
        <v>1</v>
      </c>
      <c r="H219" s="368">
        <f>IF(TRUNC((AD220+AC220)/$AE$3,1)*$AE$3-AD220 &lt;0, AC220, TRUNC((AD220+AC220)/$AE$3,1)*$AE$3-AD220)</f>
        <v>398.90000000000146</v>
      </c>
      <c r="I219" s="369">
        <f>H219</f>
        <v>398.90000000000146</v>
      </c>
      <c r="J219" s="368">
        <v>1</v>
      </c>
      <c r="K219" s="368"/>
      <c r="L219" s="369" t="str">
        <f>IF(G219*K219&lt;&gt;0, TRUNC(G219*K219, 1), "")</f>
        <v/>
      </c>
      <c r="M219" s="368"/>
      <c r="N219" s="369" t="str">
        <f>IF(G219*M219&lt;&gt;0, TRUNC(G219*M219, 1), "")</f>
        <v/>
      </c>
      <c r="O219" s="368">
        <f t="shared" si="69"/>
        <v>398.90000000000146</v>
      </c>
      <c r="P219" s="368">
        <f t="shared" si="70"/>
        <v>398.90000000000146</v>
      </c>
      <c r="Q219" s="354"/>
    </row>
    <row r="220" spans="1:31" ht="23.25" customHeight="1">
      <c r="B220" s="344" t="s">
        <v>715</v>
      </c>
      <c r="D220" s="354" t="s">
        <v>216</v>
      </c>
      <c r="E220" s="354"/>
      <c r="F220" s="355"/>
      <c r="G220" s="368"/>
      <c r="H220" s="368"/>
      <c r="I220" s="369">
        <f>TRUNC(SUM(I214:I219))</f>
        <v>1828</v>
      </c>
      <c r="J220" s="368"/>
      <c r="K220" s="368"/>
      <c r="L220" s="369">
        <f>TRUNC(SUM(L214:L219))</f>
        <v>19945</v>
      </c>
      <c r="M220" s="368"/>
      <c r="N220" s="369">
        <f>TRUNC(SUM(N214:N219))</f>
        <v>0</v>
      </c>
      <c r="O220" s="368" t="str">
        <f t="shared" si="69"/>
        <v/>
      </c>
      <c r="P220" s="368">
        <f t="shared" si="70"/>
        <v>21773</v>
      </c>
      <c r="Q220" s="354"/>
      <c r="AC220" s="347">
        <f>TRUNC(AE220*옵션!$B$36/100,1)</f>
        <v>398.9</v>
      </c>
      <c r="AD220" s="347">
        <f>TRUNC(SUM(L214:L218))</f>
        <v>19945</v>
      </c>
      <c r="AE220" s="347">
        <f>TRUNC(SUM(AE214:AE219))</f>
        <v>19945</v>
      </c>
    </row>
    <row r="221" spans="1:31" ht="23.25" customHeight="1">
      <c r="D221" s="354"/>
      <c r="E221" s="354"/>
      <c r="F221" s="355"/>
      <c r="G221" s="368"/>
      <c r="H221" s="368"/>
      <c r="I221" s="369"/>
      <c r="J221" s="368"/>
      <c r="K221" s="368"/>
      <c r="L221" s="369"/>
      <c r="M221" s="368"/>
      <c r="N221" s="369"/>
      <c r="O221" s="368"/>
      <c r="P221" s="368"/>
      <c r="Q221" s="354"/>
    </row>
    <row r="222" spans="1:31" ht="23.25" customHeight="1">
      <c r="A222" s="344" t="s">
        <v>955</v>
      </c>
      <c r="B222" s="344" t="s">
        <v>1833</v>
      </c>
      <c r="C222" s="365" t="s">
        <v>1982</v>
      </c>
      <c r="D222" s="714" t="s">
        <v>1983</v>
      </c>
      <c r="E222" s="715"/>
      <c r="F222" s="355"/>
      <c r="G222" s="368"/>
      <c r="H222" s="368"/>
      <c r="I222" s="369"/>
      <c r="J222" s="368"/>
      <c r="K222" s="368"/>
      <c r="L222" s="369"/>
      <c r="M222" s="368"/>
      <c r="N222" s="369"/>
      <c r="O222" s="368"/>
      <c r="P222" s="368"/>
      <c r="Q222" s="354"/>
    </row>
    <row r="223" spans="1:31" ht="23.25" customHeight="1">
      <c r="A223" s="344" t="s">
        <v>1984</v>
      </c>
      <c r="B223" s="344" t="s">
        <v>1536</v>
      </c>
      <c r="C223" s="365" t="s">
        <v>1984</v>
      </c>
      <c r="D223" s="354" t="s">
        <v>446</v>
      </c>
      <c r="E223" s="354" t="s">
        <v>525</v>
      </c>
      <c r="F223" s="355" t="s">
        <v>265</v>
      </c>
      <c r="G223" s="368">
        <v>1</v>
      </c>
      <c r="H223" s="368">
        <f>합산자재!H21</f>
        <v>708.34400000000005</v>
      </c>
      <c r="I223" s="369">
        <f>IF(G223*H223&lt;&gt;0, TRUNC(G223*H223, 1), "")</f>
        <v>708.3</v>
      </c>
      <c r="J223" s="368">
        <v>1</v>
      </c>
      <c r="K223" s="368">
        <f>합산자재!I21</f>
        <v>0</v>
      </c>
      <c r="L223" s="369" t="str">
        <f>IF(G223*K223&lt;&gt;0, TRUNC(G223*K223, 1), "")</f>
        <v/>
      </c>
      <c r="M223" s="368">
        <f>합산자재!J21</f>
        <v>0</v>
      </c>
      <c r="N223" s="369" t="str">
        <f>IF(G223*M223&lt;&gt;0, TRUNC(G223*M223, 1), "")</f>
        <v/>
      </c>
      <c r="O223" s="368">
        <f>IF((H223+K223+M223)=0, "", (H223+K223+M223))</f>
        <v>708.34400000000005</v>
      </c>
      <c r="P223" s="368">
        <f>IF(SUM(I223,L223,N223)&lt;&gt;0,SUM(I223,L223,N223),"")</f>
        <v>708.3</v>
      </c>
      <c r="Q223" s="354"/>
    </row>
    <row r="224" spans="1:31" ht="23.25" customHeight="1">
      <c r="B224" s="344" t="s">
        <v>715</v>
      </c>
      <c r="D224" s="354" t="s">
        <v>216</v>
      </c>
      <c r="E224" s="354"/>
      <c r="F224" s="355"/>
      <c r="G224" s="368"/>
      <c r="H224" s="368"/>
      <c r="I224" s="369">
        <f>TRUNC(SUM(I222:I223))</f>
        <v>708</v>
      </c>
      <c r="J224" s="368"/>
      <c r="K224" s="368"/>
      <c r="L224" s="369">
        <f>TRUNC(SUM(L222:L223))</f>
        <v>0</v>
      </c>
      <c r="M224" s="368"/>
      <c r="N224" s="369">
        <f>TRUNC(SUM(N222:N223))</f>
        <v>0</v>
      </c>
      <c r="O224" s="368" t="str">
        <f>IF((H224+K224+M224)=0, "", (H224+K224+M224))</f>
        <v/>
      </c>
      <c r="P224" s="368">
        <f>IF(SUM(I224,L224,N224)&lt;&gt;0,SUM(I224,L224,N224),"")</f>
        <v>708</v>
      </c>
      <c r="Q224" s="354"/>
      <c r="AE224" s="347">
        <f>TRUNC(SUM(AE222:AE223))</f>
        <v>0</v>
      </c>
    </row>
    <row r="225" spans="1:31" ht="23.25" customHeight="1">
      <c r="D225" s="354"/>
      <c r="E225" s="354"/>
      <c r="F225" s="355"/>
      <c r="G225" s="368"/>
      <c r="H225" s="368"/>
      <c r="I225" s="369"/>
      <c r="J225" s="368"/>
      <c r="K225" s="368"/>
      <c r="L225" s="369"/>
      <c r="M225" s="368"/>
      <c r="N225" s="369"/>
      <c r="O225" s="368"/>
      <c r="P225" s="368"/>
      <c r="Q225" s="354"/>
    </row>
    <row r="226" spans="1:31" ht="23.25" customHeight="1">
      <c r="A226" s="344" t="s">
        <v>958</v>
      </c>
      <c r="B226" s="344" t="s">
        <v>1833</v>
      </c>
      <c r="C226" s="365" t="s">
        <v>1985</v>
      </c>
      <c r="D226" s="714" t="s">
        <v>1986</v>
      </c>
      <c r="E226" s="715"/>
      <c r="F226" s="355"/>
      <c r="G226" s="368"/>
      <c r="H226" s="368"/>
      <c r="I226" s="369"/>
      <c r="J226" s="368"/>
      <c r="K226" s="368"/>
      <c r="L226" s="369"/>
      <c r="M226" s="368"/>
      <c r="N226" s="369"/>
      <c r="O226" s="368"/>
      <c r="P226" s="368"/>
      <c r="Q226" s="354"/>
    </row>
    <row r="227" spans="1:31" ht="23.25" customHeight="1">
      <c r="A227" s="344" t="s">
        <v>1987</v>
      </c>
      <c r="B227" s="358" t="s">
        <v>1538</v>
      </c>
      <c r="C227" s="365" t="s">
        <v>1987</v>
      </c>
      <c r="D227" s="354" t="s">
        <v>446</v>
      </c>
      <c r="E227" s="354" t="s">
        <v>526</v>
      </c>
      <c r="F227" s="355" t="s">
        <v>265</v>
      </c>
      <c r="G227" s="368">
        <v>1</v>
      </c>
      <c r="H227" s="368">
        <f>합산자재!H22</f>
        <v>1239.6020000000001</v>
      </c>
      <c r="I227" s="369">
        <f>IF(G227*H227&lt;&gt;0, TRUNC(G227*H227, 1), "")</f>
        <v>1239.5999999999999</v>
      </c>
      <c r="J227" s="368">
        <v>1</v>
      </c>
      <c r="K227" s="368">
        <f>합산자재!I22</f>
        <v>0</v>
      </c>
      <c r="L227" s="369" t="str">
        <f>IF(G227*K227&lt;&gt;0, TRUNC(G227*K227, 1), "")</f>
        <v/>
      </c>
      <c r="M227" s="368">
        <f>합산자재!J22</f>
        <v>0</v>
      </c>
      <c r="N227" s="369" t="str">
        <f>IF(G227*M227&lt;&gt;0, TRUNC(G227*M227, 1), "")</f>
        <v/>
      </c>
      <c r="O227" s="368">
        <f>IF((H227+K227+M227)=0, "", (H227+K227+M227))</f>
        <v>1239.6020000000001</v>
      </c>
      <c r="P227" s="368">
        <f>IF(SUM(I227,L227,N227)&lt;&gt;0,SUM(I227,L227,N227),"")</f>
        <v>1239.5999999999999</v>
      </c>
      <c r="Q227" s="354"/>
    </row>
    <row r="228" spans="1:31" ht="23.25" customHeight="1">
      <c r="B228" s="344" t="s">
        <v>715</v>
      </c>
      <c r="D228" s="354" t="s">
        <v>216</v>
      </c>
      <c r="E228" s="354"/>
      <c r="F228" s="355"/>
      <c r="G228" s="368"/>
      <c r="H228" s="368"/>
      <c r="I228" s="369">
        <f>TRUNC(SUM(I226:I227))</f>
        <v>1239</v>
      </c>
      <c r="J228" s="368"/>
      <c r="K228" s="368"/>
      <c r="L228" s="369">
        <f>TRUNC(SUM(L226:L227))</f>
        <v>0</v>
      </c>
      <c r="M228" s="368"/>
      <c r="N228" s="369">
        <f>TRUNC(SUM(N226:N227))</f>
        <v>0</v>
      </c>
      <c r="O228" s="368" t="str">
        <f>IF((H228+K228+M228)=0, "", (H228+K228+M228))</f>
        <v/>
      </c>
      <c r="P228" s="368">
        <f>IF(SUM(I228,L228,N228)&lt;&gt;0,SUM(I228,L228,N228),"")</f>
        <v>1239</v>
      </c>
      <c r="Q228" s="354"/>
      <c r="AE228" s="347">
        <f>TRUNC(SUM(AE226:AE227))</f>
        <v>0</v>
      </c>
    </row>
    <row r="229" spans="1:31" ht="23.25" customHeight="1">
      <c r="D229" s="354"/>
      <c r="E229" s="354"/>
      <c r="F229" s="355"/>
      <c r="G229" s="368"/>
      <c r="H229" s="368"/>
      <c r="I229" s="369"/>
      <c r="J229" s="368"/>
      <c r="K229" s="368"/>
      <c r="L229" s="369"/>
      <c r="M229" s="368"/>
      <c r="N229" s="369"/>
      <c r="O229" s="368"/>
      <c r="P229" s="368"/>
      <c r="Q229" s="354"/>
    </row>
    <row r="230" spans="1:31" ht="23.25" customHeight="1">
      <c r="A230" s="344" t="s">
        <v>727</v>
      </c>
      <c r="B230" s="344" t="s">
        <v>1833</v>
      </c>
      <c r="C230" s="365" t="s">
        <v>1988</v>
      </c>
      <c r="D230" s="714" t="s">
        <v>1989</v>
      </c>
      <c r="E230" s="715"/>
      <c r="F230" s="355"/>
      <c r="G230" s="368"/>
      <c r="H230" s="368"/>
      <c r="I230" s="369"/>
      <c r="J230" s="368"/>
      <c r="K230" s="368"/>
      <c r="L230" s="369"/>
      <c r="M230" s="368"/>
      <c r="N230" s="369"/>
      <c r="O230" s="368"/>
      <c r="P230" s="368"/>
      <c r="Q230" s="354"/>
    </row>
    <row r="231" spans="1:31" ht="23.25" customHeight="1">
      <c r="A231" s="344" t="s">
        <v>1990</v>
      </c>
      <c r="B231" s="344" t="s">
        <v>1540</v>
      </c>
      <c r="C231" s="365" t="s">
        <v>1990</v>
      </c>
      <c r="D231" s="354" t="s">
        <v>260</v>
      </c>
      <c r="E231" s="354" t="s">
        <v>348</v>
      </c>
      <c r="F231" s="355" t="s">
        <v>262</v>
      </c>
      <c r="G231" s="368">
        <v>1</v>
      </c>
      <c r="H231" s="368">
        <f>합산자재!H23</f>
        <v>9429.8294999999998</v>
      </c>
      <c r="I231" s="369">
        <f>IF(G231*H231&lt;&gt;0, TRUNC(G231*H231, 1), "")</f>
        <v>9429.7999999999993</v>
      </c>
      <c r="J231" s="368">
        <v>1</v>
      </c>
      <c r="K231" s="368">
        <f>합산자재!I23</f>
        <v>0</v>
      </c>
      <c r="L231" s="369" t="str">
        <f>IF(G231*K231&lt;&gt;0, TRUNC(G231*K231, 1), "")</f>
        <v/>
      </c>
      <c r="M231" s="368">
        <f>합산자재!J23</f>
        <v>0</v>
      </c>
      <c r="N231" s="369" t="str">
        <f>IF(G231*M231&lt;&gt;0, TRUNC(G231*M231, 1), "")</f>
        <v/>
      </c>
      <c r="O231" s="368">
        <f>IF((H231+K231+M231)=0, "", (H231+K231+M231))</f>
        <v>9429.8294999999998</v>
      </c>
      <c r="P231" s="368">
        <f>IF(SUM(I231,L231,N231)&lt;&gt;0,SUM(I231,L231,N231),"")</f>
        <v>9429.7999999999993</v>
      </c>
      <c r="Q231" s="354"/>
    </row>
    <row r="232" spans="1:31" ht="23.25" customHeight="1">
      <c r="A232" s="344" t="s">
        <v>1991</v>
      </c>
      <c r="B232" s="344" t="s">
        <v>1540</v>
      </c>
      <c r="C232" s="365" t="s">
        <v>1991</v>
      </c>
      <c r="D232" s="354" t="s">
        <v>1664</v>
      </c>
      <c r="E232" s="354" t="s">
        <v>1992</v>
      </c>
      <c r="F232" s="355" t="s">
        <v>1852</v>
      </c>
      <c r="G232" s="368">
        <f>일위노임!G98</f>
        <v>0.13200000000000001</v>
      </c>
      <c r="H232" s="368">
        <f>합산자재!H121</f>
        <v>0</v>
      </c>
      <c r="I232" s="369" t="str">
        <f>IF(G232*H232&lt;&gt;0, TRUNC(G232*H232, 1), "")</f>
        <v/>
      </c>
      <c r="J232" s="368">
        <v>0.13200000000000001</v>
      </c>
      <c r="K232" s="368">
        <f>합산자재!I121</f>
        <v>240586.38331</v>
      </c>
      <c r="L232" s="369">
        <f>IF(G232*K232&lt;&gt;0, TRUNC(G232*K232, 1), "")</f>
        <v>31757.4</v>
      </c>
      <c r="M232" s="368">
        <f>합산자재!J121</f>
        <v>0</v>
      </c>
      <c r="N232" s="369" t="str">
        <f>IF(G232*M232&lt;&gt;0, TRUNC(G232*M232, 1), "")</f>
        <v/>
      </c>
      <c r="O232" s="368">
        <f>IF((H232+K232+M232)=0, "", (H232+K232+M232))</f>
        <v>240586.38331</v>
      </c>
      <c r="P232" s="368">
        <f>IF(SUM(I232,L232,N232)&lt;&gt;0,SUM(I232,L232,N232),"")</f>
        <v>31757.4</v>
      </c>
      <c r="Q232" s="354"/>
      <c r="AE232" s="347">
        <f>L232</f>
        <v>31757.4</v>
      </c>
    </row>
    <row r="233" spans="1:31" ht="23.25" customHeight="1">
      <c r="A233" s="344" t="s">
        <v>1888</v>
      </c>
      <c r="B233" s="344" t="s">
        <v>1540</v>
      </c>
      <c r="C233" s="365" t="s">
        <v>1888</v>
      </c>
      <c r="D233" s="354" t="s">
        <v>1664</v>
      </c>
      <c r="E233" s="354" t="s">
        <v>1889</v>
      </c>
      <c r="F233" s="355" t="s">
        <v>1852</v>
      </c>
      <c r="G233" s="368">
        <f>일위노임!G99</f>
        <v>0.13200000000000001</v>
      </c>
      <c r="H233" s="368">
        <f>합산자재!H125</f>
        <v>0</v>
      </c>
      <c r="I233" s="369" t="str">
        <f>IF(G233*H233&lt;&gt;0, TRUNC(G233*H233, 1), "")</f>
        <v/>
      </c>
      <c r="J233" s="368">
        <v>0.13200000000000001</v>
      </c>
      <c r="K233" s="368">
        <f>합산자재!I125</f>
        <v>131495.20930000002</v>
      </c>
      <c r="L233" s="369">
        <f>IF(G233*K233&lt;&gt;0, TRUNC(G233*K233, 1), "")</f>
        <v>17357.3</v>
      </c>
      <c r="M233" s="368">
        <f>합산자재!J125</f>
        <v>0</v>
      </c>
      <c r="N233" s="369" t="str">
        <f>IF(G233*M233&lt;&gt;0, TRUNC(G233*M233, 1), "")</f>
        <v/>
      </c>
      <c r="O233" s="368">
        <f>IF((H233+K233+M233)=0, "", (H233+K233+M233))</f>
        <v>131495.20930000002</v>
      </c>
      <c r="P233" s="368">
        <f>IF(SUM(I233,L233,N233)&lt;&gt;0,SUM(I233,L233,N233),"")</f>
        <v>17357.3</v>
      </c>
      <c r="Q233" s="354"/>
      <c r="AE233" s="347">
        <f>L233</f>
        <v>17357.3</v>
      </c>
    </row>
    <row r="234" spans="1:31" ht="23.25" customHeight="1">
      <c r="A234" s="344" t="s">
        <v>1853</v>
      </c>
      <c r="B234" s="344" t="s">
        <v>1540</v>
      </c>
      <c r="C234" s="365" t="s">
        <v>1853</v>
      </c>
      <c r="D234" s="354" t="s">
        <v>1854</v>
      </c>
      <c r="E234" s="354" t="s">
        <v>1855</v>
      </c>
      <c r="F234" s="355" t="s">
        <v>212</v>
      </c>
      <c r="G234" s="368">
        <v>1</v>
      </c>
      <c r="H234" s="368">
        <f>IF(TRUNC((AD235+AC235)/$AE$3,1)*$AE$3-AD235 &lt;0, AC235, TRUNC((AD235+AC235)/$AE$3,1)*$AE$3-AD235)</f>
        <v>982.19999999999709</v>
      </c>
      <c r="I234" s="369">
        <f>H234</f>
        <v>982.19999999999709</v>
      </c>
      <c r="J234" s="368">
        <v>1</v>
      </c>
      <c r="K234" s="368"/>
      <c r="L234" s="369" t="str">
        <f>IF(G234*K234&lt;&gt;0, TRUNC(G234*K234, 1), "")</f>
        <v/>
      </c>
      <c r="M234" s="368"/>
      <c r="N234" s="369" t="str">
        <f>IF(G234*M234&lt;&gt;0, TRUNC(G234*M234, 1), "")</f>
        <v/>
      </c>
      <c r="O234" s="368">
        <f>IF((H234+K234+M234)=0, "", (H234+K234+M234))</f>
        <v>982.19999999999709</v>
      </c>
      <c r="P234" s="368">
        <f>IF(SUM(I234,L234,N234)&lt;&gt;0,SUM(I234,L234,N234),"")</f>
        <v>982.19999999999709</v>
      </c>
      <c r="Q234" s="354"/>
    </row>
    <row r="235" spans="1:31" ht="23.25" customHeight="1">
      <c r="B235" s="344" t="s">
        <v>715</v>
      </c>
      <c r="D235" s="354" t="s">
        <v>216</v>
      </c>
      <c r="E235" s="354"/>
      <c r="F235" s="355"/>
      <c r="G235" s="368"/>
      <c r="H235" s="368"/>
      <c r="I235" s="369">
        <f>TRUNC(SUM(I230:I234))</f>
        <v>10412</v>
      </c>
      <c r="J235" s="368"/>
      <c r="K235" s="368"/>
      <c r="L235" s="369">
        <f>TRUNC(SUM(L230:L234))</f>
        <v>49114</v>
      </c>
      <c r="M235" s="368"/>
      <c r="N235" s="369">
        <f>TRUNC(SUM(N230:N234))</f>
        <v>0</v>
      </c>
      <c r="O235" s="368" t="str">
        <f>IF((H235+K235+M235)=0, "", (H235+K235+M235))</f>
        <v/>
      </c>
      <c r="P235" s="368">
        <f>IF(SUM(I235,L235,N235)&lt;&gt;0,SUM(I235,L235,N235),"")</f>
        <v>59526</v>
      </c>
      <c r="Q235" s="354"/>
      <c r="AC235" s="347">
        <f>TRUNC(AE235*옵션!$B$36/100,1)</f>
        <v>982.2</v>
      </c>
      <c r="AD235" s="347">
        <f>TRUNC(SUM(L230:L233))</f>
        <v>49114</v>
      </c>
      <c r="AE235" s="347">
        <f>TRUNC(SUM(AE230:AE234))</f>
        <v>49114</v>
      </c>
    </row>
    <row r="236" spans="1:31" ht="23.25" customHeight="1">
      <c r="D236" s="354"/>
      <c r="E236" s="354"/>
      <c r="F236" s="355"/>
      <c r="G236" s="368"/>
      <c r="H236" s="368"/>
      <c r="I236" s="369"/>
      <c r="J236" s="368"/>
      <c r="K236" s="368"/>
      <c r="L236" s="369"/>
      <c r="M236" s="368"/>
      <c r="N236" s="369"/>
      <c r="O236" s="368"/>
      <c r="P236" s="368"/>
      <c r="Q236" s="354"/>
    </row>
    <row r="237" spans="1:31" ht="23.25" customHeight="1">
      <c r="A237" s="344" t="s">
        <v>608</v>
      </c>
      <c r="B237" s="344" t="s">
        <v>1833</v>
      </c>
      <c r="C237" s="365" t="s">
        <v>1993</v>
      </c>
      <c r="D237" s="714" t="s">
        <v>1994</v>
      </c>
      <c r="E237" s="715"/>
      <c r="F237" s="355"/>
      <c r="G237" s="368"/>
      <c r="H237" s="368"/>
      <c r="I237" s="369"/>
      <c r="J237" s="368"/>
      <c r="K237" s="368"/>
      <c r="L237" s="369"/>
      <c r="M237" s="368"/>
      <c r="N237" s="369"/>
      <c r="O237" s="368"/>
      <c r="P237" s="368"/>
      <c r="Q237" s="354"/>
    </row>
    <row r="238" spans="1:31" ht="23.25" customHeight="1">
      <c r="A238" s="344" t="s">
        <v>1995</v>
      </c>
      <c r="B238" s="344" t="s">
        <v>1541</v>
      </c>
      <c r="C238" s="365" t="s">
        <v>1995</v>
      </c>
      <c r="D238" s="354" t="s">
        <v>260</v>
      </c>
      <c r="E238" s="354" t="s">
        <v>261</v>
      </c>
      <c r="F238" s="355" t="s">
        <v>262</v>
      </c>
      <c r="G238" s="368">
        <v>1</v>
      </c>
      <c r="H238" s="368">
        <f>합산자재!H24</f>
        <v>14875.224</v>
      </c>
      <c r="I238" s="369">
        <f>IF(G238*H238&lt;&gt;0, TRUNC(G238*H238, 1), "")</f>
        <v>14875.2</v>
      </c>
      <c r="J238" s="368">
        <v>1</v>
      </c>
      <c r="K238" s="368">
        <f>합산자재!I24</f>
        <v>0</v>
      </c>
      <c r="L238" s="369" t="str">
        <f>IF(G238*K238&lt;&gt;0, TRUNC(G238*K238, 1), "")</f>
        <v/>
      </c>
      <c r="M238" s="368">
        <f>합산자재!J24</f>
        <v>0</v>
      </c>
      <c r="N238" s="369" t="str">
        <f>IF(G238*M238&lt;&gt;0, TRUNC(G238*M238, 1), "")</f>
        <v/>
      </c>
      <c r="O238" s="368">
        <f>IF((H238+K238+M238)=0, "", (H238+K238+M238))</f>
        <v>14875.224</v>
      </c>
      <c r="P238" s="368">
        <f>IF(SUM(I238,L238,N238)&lt;&gt;0,SUM(I238,L238,N238),"")</f>
        <v>14875.2</v>
      </c>
      <c r="Q238" s="354"/>
    </row>
    <row r="239" spans="1:31" ht="23.25" customHeight="1">
      <c r="A239" s="344" t="s">
        <v>1991</v>
      </c>
      <c r="B239" s="344" t="s">
        <v>1541</v>
      </c>
      <c r="C239" s="365" t="s">
        <v>1991</v>
      </c>
      <c r="D239" s="354" t="s">
        <v>1664</v>
      </c>
      <c r="E239" s="354" t="s">
        <v>1992</v>
      </c>
      <c r="F239" s="355" t="s">
        <v>1852</v>
      </c>
      <c r="G239" s="368">
        <f>일위노임!G103</f>
        <v>0.13200000000000001</v>
      </c>
      <c r="H239" s="368">
        <f>합산자재!H121</f>
        <v>0</v>
      </c>
      <c r="I239" s="369" t="str">
        <f>IF(G239*H239&lt;&gt;0, TRUNC(G239*H239, 1), "")</f>
        <v/>
      </c>
      <c r="J239" s="368">
        <v>0.13200000000000001</v>
      </c>
      <c r="K239" s="368">
        <f>합산자재!I121</f>
        <v>240586.38331</v>
      </c>
      <c r="L239" s="369">
        <f>IF(G239*K239&lt;&gt;0, TRUNC(G239*K239, 1), "")</f>
        <v>31757.4</v>
      </c>
      <c r="M239" s="368">
        <f>합산자재!J121</f>
        <v>0</v>
      </c>
      <c r="N239" s="369" t="str">
        <f>IF(G239*M239&lt;&gt;0, TRUNC(G239*M239, 1), "")</f>
        <v/>
      </c>
      <c r="O239" s="368">
        <f>IF((H239+K239+M239)=0, "", (H239+K239+M239))</f>
        <v>240586.38331</v>
      </c>
      <c r="P239" s="368">
        <f>IF(SUM(I239,L239,N239)&lt;&gt;0,SUM(I239,L239,N239),"")</f>
        <v>31757.4</v>
      </c>
      <c r="Q239" s="354"/>
      <c r="AE239" s="347">
        <f>L239</f>
        <v>31757.4</v>
      </c>
    </row>
    <row r="240" spans="1:31" ht="23.25" customHeight="1">
      <c r="A240" s="344" t="s">
        <v>1888</v>
      </c>
      <c r="B240" s="344" t="s">
        <v>1541</v>
      </c>
      <c r="C240" s="365" t="s">
        <v>1888</v>
      </c>
      <c r="D240" s="354" t="s">
        <v>1664</v>
      </c>
      <c r="E240" s="354" t="s">
        <v>1889</v>
      </c>
      <c r="F240" s="355" t="s">
        <v>1852</v>
      </c>
      <c r="G240" s="368">
        <f>일위노임!G104</f>
        <v>0.13200000000000001</v>
      </c>
      <c r="H240" s="368">
        <f>합산자재!H125</f>
        <v>0</v>
      </c>
      <c r="I240" s="369" t="str">
        <f>IF(G240*H240&lt;&gt;0, TRUNC(G240*H240, 1), "")</f>
        <v/>
      </c>
      <c r="J240" s="368">
        <v>0.13200000000000001</v>
      </c>
      <c r="K240" s="368">
        <f>합산자재!I125</f>
        <v>131495.20930000002</v>
      </c>
      <c r="L240" s="369">
        <f>IF(G240*K240&lt;&gt;0, TRUNC(G240*K240, 1), "")</f>
        <v>17357.3</v>
      </c>
      <c r="M240" s="368">
        <f>합산자재!J125</f>
        <v>0</v>
      </c>
      <c r="N240" s="369" t="str">
        <f>IF(G240*M240&lt;&gt;0, TRUNC(G240*M240, 1), "")</f>
        <v/>
      </c>
      <c r="O240" s="368">
        <f>IF((H240+K240+M240)=0, "", (H240+K240+M240))</f>
        <v>131495.20930000002</v>
      </c>
      <c r="P240" s="368">
        <f>IF(SUM(I240,L240,N240)&lt;&gt;0,SUM(I240,L240,N240),"")</f>
        <v>17357.3</v>
      </c>
      <c r="Q240" s="354"/>
      <c r="AE240" s="347">
        <f>L240</f>
        <v>17357.3</v>
      </c>
    </row>
    <row r="241" spans="1:31" ht="23.25" customHeight="1">
      <c r="A241" s="344" t="s">
        <v>1853</v>
      </c>
      <c r="B241" s="344" t="s">
        <v>1541</v>
      </c>
      <c r="C241" s="365" t="s">
        <v>1853</v>
      </c>
      <c r="D241" s="354" t="s">
        <v>1854</v>
      </c>
      <c r="E241" s="354" t="s">
        <v>1855</v>
      </c>
      <c r="F241" s="355" t="s">
        <v>212</v>
      </c>
      <c r="G241" s="368">
        <v>1</v>
      </c>
      <c r="H241" s="368">
        <f>IF(TRUNC((AD242+AC242)/$AE$3,1)*$AE$3-AD242 &lt;0, AC242, TRUNC((AD242+AC242)/$AE$3,1)*$AE$3-AD242)</f>
        <v>982.19999999999709</v>
      </c>
      <c r="I241" s="369">
        <f>H241</f>
        <v>982.19999999999709</v>
      </c>
      <c r="J241" s="368">
        <v>1</v>
      </c>
      <c r="K241" s="368"/>
      <c r="L241" s="369" t="str">
        <f>IF(G241*K241&lt;&gt;0, TRUNC(G241*K241, 1), "")</f>
        <v/>
      </c>
      <c r="M241" s="368"/>
      <c r="N241" s="369" t="str">
        <f>IF(G241*M241&lt;&gt;0, TRUNC(G241*M241, 1), "")</f>
        <v/>
      </c>
      <c r="O241" s="368">
        <f>IF((H241+K241+M241)=0, "", (H241+K241+M241))</f>
        <v>982.19999999999709</v>
      </c>
      <c r="P241" s="368">
        <f>IF(SUM(I241,L241,N241)&lt;&gt;0,SUM(I241,L241,N241),"")</f>
        <v>982.19999999999709</v>
      </c>
      <c r="Q241" s="354"/>
    </row>
    <row r="242" spans="1:31" ht="23.25" customHeight="1">
      <c r="B242" s="344" t="s">
        <v>715</v>
      </c>
      <c r="D242" s="354" t="s">
        <v>216</v>
      </c>
      <c r="E242" s="354"/>
      <c r="F242" s="355"/>
      <c r="G242" s="368"/>
      <c r="H242" s="368"/>
      <c r="I242" s="369">
        <f>TRUNC(SUM(I237:I241))</f>
        <v>15857</v>
      </c>
      <c r="J242" s="368"/>
      <c r="K242" s="368"/>
      <c r="L242" s="369">
        <f>TRUNC(SUM(L237:L241))</f>
        <v>49114</v>
      </c>
      <c r="M242" s="368"/>
      <c r="N242" s="369">
        <f>TRUNC(SUM(N237:N241))</f>
        <v>0</v>
      </c>
      <c r="O242" s="368" t="str">
        <f>IF((H242+K242+M242)=0, "", (H242+K242+M242))</f>
        <v/>
      </c>
      <c r="P242" s="368">
        <f>IF(SUM(I242,L242,N242)&lt;&gt;0,SUM(I242,L242,N242),"")</f>
        <v>64971</v>
      </c>
      <c r="Q242" s="354"/>
      <c r="AC242" s="347">
        <f>TRUNC(AE242*옵션!$B$36/100,1)</f>
        <v>982.2</v>
      </c>
      <c r="AD242" s="347">
        <f>TRUNC(SUM(L237:L240))</f>
        <v>49114</v>
      </c>
      <c r="AE242" s="347">
        <f>TRUNC(SUM(AE237:AE241))</f>
        <v>49114</v>
      </c>
    </row>
    <row r="243" spans="1:31" ht="23.25" customHeight="1">
      <c r="D243" s="354"/>
      <c r="E243" s="354"/>
      <c r="F243" s="355"/>
      <c r="G243" s="368"/>
      <c r="H243" s="368"/>
      <c r="I243" s="369"/>
      <c r="J243" s="368"/>
      <c r="K243" s="368"/>
      <c r="L243" s="369"/>
      <c r="M243" s="368"/>
      <c r="N243" s="369"/>
      <c r="O243" s="368"/>
      <c r="P243" s="368"/>
      <c r="Q243" s="354"/>
    </row>
    <row r="244" spans="1:31" ht="23.25" customHeight="1">
      <c r="A244" s="344" t="s">
        <v>767</v>
      </c>
      <c r="B244" s="344" t="s">
        <v>1833</v>
      </c>
      <c r="C244" s="365" t="s">
        <v>1996</v>
      </c>
      <c r="D244" s="714" t="s">
        <v>1997</v>
      </c>
      <c r="E244" s="715"/>
      <c r="F244" s="355"/>
      <c r="G244" s="368"/>
      <c r="H244" s="368"/>
      <c r="I244" s="369"/>
      <c r="J244" s="368"/>
      <c r="K244" s="368"/>
      <c r="L244" s="369"/>
      <c r="M244" s="368"/>
      <c r="N244" s="369"/>
      <c r="O244" s="368"/>
      <c r="P244" s="368"/>
      <c r="Q244" s="354"/>
    </row>
    <row r="245" spans="1:31" ht="23.25" customHeight="1">
      <c r="A245" s="344" t="s">
        <v>1998</v>
      </c>
      <c r="B245" s="344" t="s">
        <v>1543</v>
      </c>
      <c r="C245" s="365" t="s">
        <v>1998</v>
      </c>
      <c r="D245" s="354" t="s">
        <v>260</v>
      </c>
      <c r="E245" s="354" t="s">
        <v>398</v>
      </c>
      <c r="F245" s="355" t="s">
        <v>262</v>
      </c>
      <c r="G245" s="368">
        <v>1</v>
      </c>
      <c r="H245" s="368">
        <f>합산자재!H25</f>
        <v>17265.885000000002</v>
      </c>
      <c r="I245" s="369">
        <f>IF(G245*H245&lt;&gt;0, TRUNC(G245*H245, 1), "")</f>
        <v>17265.8</v>
      </c>
      <c r="J245" s="368">
        <v>1</v>
      </c>
      <c r="K245" s="368">
        <f>합산자재!I25</f>
        <v>0</v>
      </c>
      <c r="L245" s="369" t="str">
        <f>IF(G245*K245&lt;&gt;0, TRUNC(G245*K245, 1), "")</f>
        <v/>
      </c>
      <c r="M245" s="368">
        <f>합산자재!J25</f>
        <v>0</v>
      </c>
      <c r="N245" s="369" t="str">
        <f>IF(G245*M245&lt;&gt;0, TRUNC(G245*M245, 1), "")</f>
        <v/>
      </c>
      <c r="O245" s="368">
        <f>IF((H245+K245+M245)=0, "", (H245+K245+M245))</f>
        <v>17265.885000000002</v>
      </c>
      <c r="P245" s="368">
        <f>IF(SUM(I245,L245,N245)&lt;&gt;0,SUM(I245,L245,N245),"")</f>
        <v>17265.8</v>
      </c>
      <c r="Q245" s="354"/>
    </row>
    <row r="246" spans="1:31" ht="23.25" customHeight="1">
      <c r="A246" s="344" t="s">
        <v>1991</v>
      </c>
      <c r="B246" s="344" t="s">
        <v>1543</v>
      </c>
      <c r="C246" s="365" t="s">
        <v>1991</v>
      </c>
      <c r="D246" s="354" t="s">
        <v>1664</v>
      </c>
      <c r="E246" s="354" t="s">
        <v>1992</v>
      </c>
      <c r="F246" s="355" t="s">
        <v>1852</v>
      </c>
      <c r="G246" s="368">
        <f>일위노임!G108</f>
        <v>0.13200000000000001</v>
      </c>
      <c r="H246" s="368">
        <f>합산자재!H121</f>
        <v>0</v>
      </c>
      <c r="I246" s="369" t="str">
        <f>IF(G246*H246&lt;&gt;0, TRUNC(G246*H246, 1), "")</f>
        <v/>
      </c>
      <c r="J246" s="368">
        <v>0.13200000000000001</v>
      </c>
      <c r="K246" s="368">
        <f>합산자재!I121</f>
        <v>240586.38331</v>
      </c>
      <c r="L246" s="369">
        <f>IF(G246*K246&lt;&gt;0, TRUNC(G246*K246, 1), "")</f>
        <v>31757.4</v>
      </c>
      <c r="M246" s="368">
        <f>합산자재!J121</f>
        <v>0</v>
      </c>
      <c r="N246" s="369" t="str">
        <f>IF(G246*M246&lt;&gt;0, TRUNC(G246*M246, 1), "")</f>
        <v/>
      </c>
      <c r="O246" s="368">
        <f>IF((H246+K246+M246)=0, "", (H246+K246+M246))</f>
        <v>240586.38331</v>
      </c>
      <c r="P246" s="368">
        <f>IF(SUM(I246,L246,N246)&lt;&gt;0,SUM(I246,L246,N246),"")</f>
        <v>31757.4</v>
      </c>
      <c r="Q246" s="354"/>
      <c r="AE246" s="347">
        <f>L246</f>
        <v>31757.4</v>
      </c>
    </row>
    <row r="247" spans="1:31" ht="23.25" customHeight="1">
      <c r="A247" s="344" t="s">
        <v>1888</v>
      </c>
      <c r="B247" s="344" t="s">
        <v>1543</v>
      </c>
      <c r="C247" s="365" t="s">
        <v>1888</v>
      </c>
      <c r="D247" s="354" t="s">
        <v>1664</v>
      </c>
      <c r="E247" s="354" t="s">
        <v>1889</v>
      </c>
      <c r="F247" s="355" t="s">
        <v>1852</v>
      </c>
      <c r="G247" s="368">
        <f>일위노임!G109</f>
        <v>0.13200000000000001</v>
      </c>
      <c r="H247" s="368">
        <f>합산자재!H125</f>
        <v>0</v>
      </c>
      <c r="I247" s="369" t="str">
        <f>IF(G247*H247&lt;&gt;0, TRUNC(G247*H247, 1), "")</f>
        <v/>
      </c>
      <c r="J247" s="368">
        <v>0.13200000000000001</v>
      </c>
      <c r="K247" s="368">
        <f>합산자재!I125</f>
        <v>131495.20930000002</v>
      </c>
      <c r="L247" s="369">
        <f>IF(G247*K247&lt;&gt;0, TRUNC(G247*K247, 1), "")</f>
        <v>17357.3</v>
      </c>
      <c r="M247" s="368">
        <f>합산자재!J125</f>
        <v>0</v>
      </c>
      <c r="N247" s="369" t="str">
        <f>IF(G247*M247&lt;&gt;0, TRUNC(G247*M247, 1), "")</f>
        <v/>
      </c>
      <c r="O247" s="368">
        <f>IF((H247+K247+M247)=0, "", (H247+K247+M247))</f>
        <v>131495.20930000002</v>
      </c>
      <c r="P247" s="368">
        <f>IF(SUM(I247,L247,N247)&lt;&gt;0,SUM(I247,L247,N247),"")</f>
        <v>17357.3</v>
      </c>
      <c r="Q247" s="354"/>
      <c r="AE247" s="347">
        <f>L247</f>
        <v>17357.3</v>
      </c>
    </row>
    <row r="248" spans="1:31" ht="23.25" customHeight="1">
      <c r="A248" s="344" t="s">
        <v>1853</v>
      </c>
      <c r="B248" s="344" t="s">
        <v>1543</v>
      </c>
      <c r="C248" s="365" t="s">
        <v>1853</v>
      </c>
      <c r="D248" s="354" t="s">
        <v>1854</v>
      </c>
      <c r="E248" s="354" t="s">
        <v>1855</v>
      </c>
      <c r="F248" s="355" t="s">
        <v>212</v>
      </c>
      <c r="G248" s="368">
        <v>1</v>
      </c>
      <c r="H248" s="368">
        <f>IF(TRUNC((AD249+AC249)/$AE$3,1)*$AE$3-AD249 &lt;0, AC249, TRUNC((AD249+AC249)/$AE$3,1)*$AE$3-AD249)</f>
        <v>982.19999999999709</v>
      </c>
      <c r="I248" s="369">
        <f>H248</f>
        <v>982.19999999999709</v>
      </c>
      <c r="J248" s="368">
        <v>1</v>
      </c>
      <c r="K248" s="368"/>
      <c r="L248" s="369" t="str">
        <f>IF(G248*K248&lt;&gt;0, TRUNC(G248*K248, 1), "")</f>
        <v/>
      </c>
      <c r="M248" s="368"/>
      <c r="N248" s="369" t="str">
        <f>IF(G248*M248&lt;&gt;0, TRUNC(G248*M248, 1), "")</f>
        <v/>
      </c>
      <c r="O248" s="368">
        <f>IF((H248+K248+M248)=0, "", (H248+K248+M248))</f>
        <v>982.19999999999709</v>
      </c>
      <c r="P248" s="368">
        <f>IF(SUM(I248,L248,N248)&lt;&gt;0,SUM(I248,L248,N248),"")</f>
        <v>982.19999999999709</v>
      </c>
      <c r="Q248" s="354"/>
    </row>
    <row r="249" spans="1:31" ht="23.25" customHeight="1">
      <c r="B249" s="344" t="s">
        <v>715</v>
      </c>
      <c r="D249" s="354" t="s">
        <v>216</v>
      </c>
      <c r="E249" s="354"/>
      <c r="F249" s="355"/>
      <c r="G249" s="368"/>
      <c r="H249" s="368"/>
      <c r="I249" s="369">
        <f>TRUNC(SUM(I244:I248))</f>
        <v>18248</v>
      </c>
      <c r="J249" s="368"/>
      <c r="K249" s="368"/>
      <c r="L249" s="369">
        <f>TRUNC(SUM(L244:L248))</f>
        <v>49114</v>
      </c>
      <c r="M249" s="368"/>
      <c r="N249" s="369">
        <f>TRUNC(SUM(N244:N248))</f>
        <v>0</v>
      </c>
      <c r="O249" s="368" t="str">
        <f>IF((H249+K249+M249)=0, "", (H249+K249+M249))</f>
        <v/>
      </c>
      <c r="P249" s="368">
        <f>IF(SUM(I249,L249,N249)&lt;&gt;0,SUM(I249,L249,N249),"")</f>
        <v>67362</v>
      </c>
      <c r="Q249" s="354"/>
      <c r="AC249" s="347">
        <f>TRUNC(AE249*옵션!$B$36/100,1)</f>
        <v>982.2</v>
      </c>
      <c r="AD249" s="347">
        <f>TRUNC(SUM(L244:L247))</f>
        <v>49114</v>
      </c>
      <c r="AE249" s="347">
        <f>TRUNC(SUM(AE244:AE248))</f>
        <v>49114</v>
      </c>
    </row>
    <row r="250" spans="1:31" ht="23.25" customHeight="1">
      <c r="D250" s="354"/>
      <c r="E250" s="354"/>
      <c r="F250" s="355"/>
      <c r="G250" s="368"/>
      <c r="H250" s="368"/>
      <c r="I250" s="369"/>
      <c r="J250" s="368"/>
      <c r="K250" s="368"/>
      <c r="L250" s="369"/>
      <c r="M250" s="368"/>
      <c r="N250" s="369"/>
      <c r="O250" s="368"/>
      <c r="P250" s="368"/>
      <c r="Q250" s="354"/>
    </row>
    <row r="251" spans="1:31" ht="23.25" customHeight="1">
      <c r="A251" s="344" t="s">
        <v>730</v>
      </c>
      <c r="B251" s="344" t="s">
        <v>1833</v>
      </c>
      <c r="C251" s="365" t="s">
        <v>1999</v>
      </c>
      <c r="D251" s="714" t="s">
        <v>2000</v>
      </c>
      <c r="E251" s="715"/>
      <c r="F251" s="355"/>
      <c r="G251" s="368"/>
      <c r="H251" s="368"/>
      <c r="I251" s="369"/>
      <c r="J251" s="368"/>
      <c r="K251" s="368"/>
      <c r="L251" s="369"/>
      <c r="M251" s="368"/>
      <c r="N251" s="369"/>
      <c r="O251" s="368"/>
      <c r="P251" s="368"/>
      <c r="Q251" s="354"/>
    </row>
    <row r="252" spans="1:31" ht="23.25" customHeight="1">
      <c r="A252" s="344" t="s">
        <v>2001</v>
      </c>
      <c r="B252" s="344" t="s">
        <v>1545</v>
      </c>
      <c r="C252" s="365" t="s">
        <v>2001</v>
      </c>
      <c r="D252" s="354" t="s">
        <v>260</v>
      </c>
      <c r="E252" s="354" t="s">
        <v>349</v>
      </c>
      <c r="F252" s="355" t="s">
        <v>262</v>
      </c>
      <c r="G252" s="368">
        <v>1</v>
      </c>
      <c r="H252" s="368">
        <f>합산자재!H26</f>
        <v>27094.158000000003</v>
      </c>
      <c r="I252" s="369">
        <f>IF(G252*H252&lt;&gt;0, TRUNC(G252*H252, 1), "")</f>
        <v>27094.1</v>
      </c>
      <c r="J252" s="368">
        <v>1</v>
      </c>
      <c r="K252" s="368">
        <f>합산자재!I26</f>
        <v>0</v>
      </c>
      <c r="L252" s="369" t="str">
        <f>IF(G252*K252&lt;&gt;0, TRUNC(G252*K252, 1), "")</f>
        <v/>
      </c>
      <c r="M252" s="368">
        <f>합산자재!J26</f>
        <v>0</v>
      </c>
      <c r="N252" s="369" t="str">
        <f>IF(G252*M252&lt;&gt;0, TRUNC(G252*M252, 1), "")</f>
        <v/>
      </c>
      <c r="O252" s="368">
        <f>IF((H252+K252+M252)=0, "", (H252+K252+M252))</f>
        <v>27094.158000000003</v>
      </c>
      <c r="P252" s="368">
        <f>IF(SUM(I252,L252,N252)&lt;&gt;0,SUM(I252,L252,N252),"")</f>
        <v>27094.1</v>
      </c>
      <c r="Q252" s="354"/>
    </row>
    <row r="253" spans="1:31" ht="23.25" customHeight="1">
      <c r="A253" s="344" t="s">
        <v>2002</v>
      </c>
      <c r="B253" s="344" t="s">
        <v>1545</v>
      </c>
      <c r="C253" s="365" t="s">
        <v>2002</v>
      </c>
      <c r="D253" s="354" t="s">
        <v>1664</v>
      </c>
      <c r="E253" s="354" t="s">
        <v>2003</v>
      </c>
      <c r="F253" s="355" t="s">
        <v>1852</v>
      </c>
      <c r="G253" s="368">
        <f>일위노임!G113</f>
        <v>0.13200000000000001</v>
      </c>
      <c r="H253" s="368">
        <f>합산자재!H122</f>
        <v>0</v>
      </c>
      <c r="I253" s="369" t="str">
        <f>IF(G253*H253&lt;&gt;0, TRUNC(G253*H253, 1), "")</f>
        <v/>
      </c>
      <c r="J253" s="368">
        <v>0.13200000000000001</v>
      </c>
      <c r="K253" s="368">
        <f>합산자재!I122</f>
        <v>352510.93332000001</v>
      </c>
      <c r="L253" s="369">
        <f>IF(G253*K253&lt;&gt;0, TRUNC(G253*K253, 1), "")</f>
        <v>46531.4</v>
      </c>
      <c r="M253" s="368">
        <f>합산자재!J122</f>
        <v>0</v>
      </c>
      <c r="N253" s="369" t="str">
        <f>IF(G253*M253&lt;&gt;0, TRUNC(G253*M253, 1), "")</f>
        <v/>
      </c>
      <c r="O253" s="368">
        <f>IF((H253+K253+M253)=0, "", (H253+K253+M253))</f>
        <v>352510.93332000001</v>
      </c>
      <c r="P253" s="368">
        <f>IF(SUM(I253,L253,N253)&lt;&gt;0,SUM(I253,L253,N253),"")</f>
        <v>46531.4</v>
      </c>
      <c r="Q253" s="354"/>
      <c r="AE253" s="347">
        <f>L253</f>
        <v>46531.4</v>
      </c>
    </row>
    <row r="254" spans="1:31" ht="23.25" customHeight="1">
      <c r="A254" s="344" t="s">
        <v>1888</v>
      </c>
      <c r="B254" s="344" t="s">
        <v>1545</v>
      </c>
      <c r="C254" s="365" t="s">
        <v>1888</v>
      </c>
      <c r="D254" s="354" t="s">
        <v>1664</v>
      </c>
      <c r="E254" s="354" t="s">
        <v>1889</v>
      </c>
      <c r="F254" s="355" t="s">
        <v>1852</v>
      </c>
      <c r="G254" s="368">
        <f>일위노임!G114</f>
        <v>0.13200000000000001</v>
      </c>
      <c r="H254" s="368">
        <f>합산자재!H125</f>
        <v>0</v>
      </c>
      <c r="I254" s="369" t="str">
        <f>IF(G254*H254&lt;&gt;0, TRUNC(G254*H254, 1), "")</f>
        <v/>
      </c>
      <c r="J254" s="368">
        <v>0.13200000000000001</v>
      </c>
      <c r="K254" s="368">
        <f>합산자재!I125</f>
        <v>131495.20930000002</v>
      </c>
      <c r="L254" s="369">
        <f>IF(G254*K254&lt;&gt;0, TRUNC(G254*K254, 1), "")</f>
        <v>17357.3</v>
      </c>
      <c r="M254" s="368">
        <f>합산자재!J125</f>
        <v>0</v>
      </c>
      <c r="N254" s="369" t="str">
        <f>IF(G254*M254&lt;&gt;0, TRUNC(G254*M254, 1), "")</f>
        <v/>
      </c>
      <c r="O254" s="368">
        <f>IF((H254+K254+M254)=0, "", (H254+K254+M254))</f>
        <v>131495.20930000002</v>
      </c>
      <c r="P254" s="368">
        <f>IF(SUM(I254,L254,N254)&lt;&gt;0,SUM(I254,L254,N254),"")</f>
        <v>17357.3</v>
      </c>
      <c r="Q254" s="354"/>
      <c r="AE254" s="347">
        <f>L254</f>
        <v>17357.3</v>
      </c>
    </row>
    <row r="255" spans="1:31" ht="23.25" customHeight="1">
      <c r="A255" s="344" t="s">
        <v>1853</v>
      </c>
      <c r="B255" s="344" t="s">
        <v>1545</v>
      </c>
      <c r="C255" s="365" t="s">
        <v>1853</v>
      </c>
      <c r="D255" s="354" t="s">
        <v>1854</v>
      </c>
      <c r="E255" s="354" t="s">
        <v>1855</v>
      </c>
      <c r="F255" s="355" t="s">
        <v>212</v>
      </c>
      <c r="G255" s="368">
        <v>1</v>
      </c>
      <c r="H255" s="368">
        <f>IF(TRUNC((AD256+AC256)/$AE$3,1)*$AE$3-AD256 &lt;0, AC256, TRUNC((AD256+AC256)/$AE$3,1)*$AE$3-AD256)</f>
        <v>1277.6999999999971</v>
      </c>
      <c r="I255" s="369">
        <f>H255</f>
        <v>1277.6999999999971</v>
      </c>
      <c r="J255" s="368">
        <v>1</v>
      </c>
      <c r="K255" s="368"/>
      <c r="L255" s="369" t="str">
        <f>IF(G255*K255&lt;&gt;0, TRUNC(G255*K255, 1), "")</f>
        <v/>
      </c>
      <c r="M255" s="368"/>
      <c r="N255" s="369" t="str">
        <f>IF(G255*M255&lt;&gt;0, TRUNC(G255*M255, 1), "")</f>
        <v/>
      </c>
      <c r="O255" s="368">
        <f>IF((H255+K255+M255)=0, "", (H255+K255+M255))</f>
        <v>1277.6999999999971</v>
      </c>
      <c r="P255" s="368">
        <f>IF(SUM(I255,L255,N255)&lt;&gt;0,SUM(I255,L255,N255),"")</f>
        <v>1277.6999999999971</v>
      </c>
      <c r="Q255" s="354"/>
    </row>
    <row r="256" spans="1:31" ht="23.25" customHeight="1">
      <c r="B256" s="344" t="s">
        <v>715</v>
      </c>
      <c r="D256" s="354" t="s">
        <v>216</v>
      </c>
      <c r="E256" s="354"/>
      <c r="F256" s="355"/>
      <c r="G256" s="368"/>
      <c r="H256" s="368"/>
      <c r="I256" s="369">
        <f>TRUNC(SUM(I251:I255))</f>
        <v>28371</v>
      </c>
      <c r="J256" s="368"/>
      <c r="K256" s="368"/>
      <c r="L256" s="369">
        <f>TRUNC(SUM(L251:L255))</f>
        <v>63888</v>
      </c>
      <c r="M256" s="368"/>
      <c r="N256" s="369">
        <f>TRUNC(SUM(N251:N255))</f>
        <v>0</v>
      </c>
      <c r="O256" s="368" t="str">
        <f>IF((H256+K256+M256)=0, "", (H256+K256+M256))</f>
        <v/>
      </c>
      <c r="P256" s="368">
        <f>IF(SUM(I256,L256,N256)&lt;&gt;0,SUM(I256,L256,N256),"")</f>
        <v>92259</v>
      </c>
      <c r="Q256" s="354"/>
      <c r="AC256" s="347">
        <f>TRUNC(AE256*옵션!$B$36/100,1)</f>
        <v>1277.7</v>
      </c>
      <c r="AD256" s="347">
        <f>TRUNC(SUM(L251:L254))</f>
        <v>63888</v>
      </c>
      <c r="AE256" s="347">
        <f>TRUNC(SUM(AE251:AE255))</f>
        <v>63888</v>
      </c>
    </row>
    <row r="257" spans="1:31" ht="23.25" customHeight="1">
      <c r="D257" s="354"/>
      <c r="E257" s="354"/>
      <c r="F257" s="355"/>
      <c r="G257" s="368"/>
      <c r="H257" s="368"/>
      <c r="I257" s="369"/>
      <c r="J257" s="368"/>
      <c r="K257" s="368"/>
      <c r="L257" s="369"/>
      <c r="M257" s="368"/>
      <c r="N257" s="369"/>
      <c r="O257" s="368"/>
      <c r="P257" s="368"/>
      <c r="Q257" s="354"/>
    </row>
    <row r="258" spans="1:31" ht="23.25" customHeight="1">
      <c r="A258" s="344" t="s">
        <v>770</v>
      </c>
      <c r="B258" s="344" t="s">
        <v>1833</v>
      </c>
      <c r="C258" s="365" t="s">
        <v>2004</v>
      </c>
      <c r="D258" s="714" t="s">
        <v>2005</v>
      </c>
      <c r="E258" s="715"/>
      <c r="F258" s="355"/>
      <c r="G258" s="368"/>
      <c r="H258" s="368"/>
      <c r="I258" s="369"/>
      <c r="J258" s="368"/>
      <c r="K258" s="368"/>
      <c r="L258" s="369"/>
      <c r="M258" s="368"/>
      <c r="N258" s="369"/>
      <c r="O258" s="368"/>
      <c r="P258" s="368"/>
      <c r="Q258" s="354"/>
    </row>
    <row r="259" spans="1:31" ht="23.25" customHeight="1">
      <c r="A259" s="344" t="s">
        <v>2006</v>
      </c>
      <c r="B259" s="344" t="s">
        <v>1547</v>
      </c>
      <c r="C259" s="365" t="s">
        <v>2006</v>
      </c>
      <c r="D259" s="354" t="s">
        <v>399</v>
      </c>
      <c r="E259" s="354" t="s">
        <v>400</v>
      </c>
      <c r="F259" s="355" t="s">
        <v>265</v>
      </c>
      <c r="G259" s="368">
        <v>1</v>
      </c>
      <c r="H259" s="368">
        <f>합산자재!H27</f>
        <v>3629.3775700000001</v>
      </c>
      <c r="I259" s="369">
        <f>IF(G259*H259&lt;&gt;0, TRUNC(G259*H259, 1), "")</f>
        <v>3629.3</v>
      </c>
      <c r="J259" s="368">
        <v>1</v>
      </c>
      <c r="K259" s="368">
        <f>합산자재!I27</f>
        <v>0</v>
      </c>
      <c r="L259" s="369" t="str">
        <f>IF(G259*K259&lt;&gt;0, TRUNC(G259*K259, 1), "")</f>
        <v/>
      </c>
      <c r="M259" s="368">
        <f>합산자재!J27</f>
        <v>0</v>
      </c>
      <c r="N259" s="369" t="str">
        <f>IF(G259*M259&lt;&gt;0, TRUNC(G259*M259, 1), "")</f>
        <v/>
      </c>
      <c r="O259" s="368">
        <f>IF((H259+K259+M259)=0, "", (H259+K259+M259))</f>
        <v>3629.3775700000001</v>
      </c>
      <c r="P259" s="368">
        <f>IF(SUM(I259,L259,N259)&lt;&gt;0,SUM(I259,L259,N259),"")</f>
        <v>3629.3</v>
      </c>
      <c r="Q259" s="354"/>
    </row>
    <row r="260" spans="1:31" ht="23.25" customHeight="1">
      <c r="B260" s="344" t="s">
        <v>715</v>
      </c>
      <c r="D260" s="354" t="s">
        <v>216</v>
      </c>
      <c r="E260" s="354"/>
      <c r="F260" s="355"/>
      <c r="G260" s="368"/>
      <c r="H260" s="368"/>
      <c r="I260" s="369">
        <f>TRUNC(SUM(I258:I259))</f>
        <v>3629</v>
      </c>
      <c r="J260" s="368"/>
      <c r="K260" s="368"/>
      <c r="L260" s="369">
        <f>TRUNC(SUM(L258:L259))</f>
        <v>0</v>
      </c>
      <c r="M260" s="368"/>
      <c r="N260" s="369">
        <f>TRUNC(SUM(N258:N259))</f>
        <v>0</v>
      </c>
      <c r="O260" s="368" t="str">
        <f>IF((H260+K260+M260)=0, "", (H260+K260+M260))</f>
        <v/>
      </c>
      <c r="P260" s="368">
        <f>IF(SUM(I260,L260,N260)&lt;&gt;0,SUM(I260,L260,N260),"")</f>
        <v>3629</v>
      </c>
      <c r="Q260" s="354"/>
      <c r="AE260" s="347">
        <f>TRUNC(SUM(AE258:AE259))</f>
        <v>0</v>
      </c>
    </row>
    <row r="261" spans="1:31" ht="23.25" customHeight="1">
      <c r="D261" s="354"/>
      <c r="E261" s="354"/>
      <c r="F261" s="355"/>
      <c r="G261" s="368"/>
      <c r="H261" s="368"/>
      <c r="I261" s="369"/>
      <c r="J261" s="368"/>
      <c r="K261" s="368"/>
      <c r="L261" s="369"/>
      <c r="M261" s="368"/>
      <c r="N261" s="369"/>
      <c r="O261" s="368"/>
      <c r="P261" s="368"/>
      <c r="Q261" s="354"/>
    </row>
    <row r="262" spans="1:31" ht="23.25" customHeight="1">
      <c r="A262" s="344" t="s">
        <v>975</v>
      </c>
      <c r="B262" s="344" t="s">
        <v>1833</v>
      </c>
      <c r="C262" s="365" t="s">
        <v>2007</v>
      </c>
      <c r="D262" s="714" t="s">
        <v>2008</v>
      </c>
      <c r="E262" s="715"/>
      <c r="F262" s="355"/>
      <c r="G262" s="368"/>
      <c r="H262" s="368"/>
      <c r="I262" s="369"/>
      <c r="J262" s="368"/>
      <c r="K262" s="368"/>
      <c r="L262" s="369"/>
      <c r="M262" s="368"/>
      <c r="N262" s="369"/>
      <c r="O262" s="368"/>
      <c r="P262" s="368"/>
      <c r="Q262" s="354"/>
    </row>
    <row r="263" spans="1:31" ht="23.25" customHeight="1">
      <c r="A263" s="344" t="s">
        <v>2009</v>
      </c>
      <c r="B263" s="344" t="s">
        <v>1549</v>
      </c>
      <c r="C263" s="365" t="s">
        <v>2009</v>
      </c>
      <c r="D263" s="354" t="s">
        <v>263</v>
      </c>
      <c r="E263" s="354" t="s">
        <v>536</v>
      </c>
      <c r="F263" s="355" t="s">
        <v>265</v>
      </c>
      <c r="G263" s="368">
        <v>1</v>
      </c>
      <c r="H263" s="368">
        <f>합산자재!H28</f>
        <v>687.97910999999999</v>
      </c>
      <c r="I263" s="369">
        <f>IF(G263*H263&lt;&gt;0, TRUNC(G263*H263, 1), "")</f>
        <v>687.9</v>
      </c>
      <c r="J263" s="368">
        <v>1</v>
      </c>
      <c r="K263" s="368">
        <f>합산자재!I28</f>
        <v>0</v>
      </c>
      <c r="L263" s="369" t="str">
        <f>IF(G263*K263&lt;&gt;0, TRUNC(G263*K263, 1), "")</f>
        <v/>
      </c>
      <c r="M263" s="368">
        <f>합산자재!J28</f>
        <v>0</v>
      </c>
      <c r="N263" s="369" t="str">
        <f>IF(G263*M263&lt;&gt;0, TRUNC(G263*M263, 1), "")</f>
        <v/>
      </c>
      <c r="O263" s="368">
        <f>IF((H263+K263+M263)=0, "", (H263+K263+M263))</f>
        <v>687.97910999999999</v>
      </c>
      <c r="P263" s="368">
        <f>IF(SUM(I263,L263,N263)&lt;&gt;0,SUM(I263,L263,N263),"")</f>
        <v>687.9</v>
      </c>
      <c r="Q263" s="354"/>
    </row>
    <row r="264" spans="1:31" ht="23.25" customHeight="1">
      <c r="B264" s="344" t="s">
        <v>715</v>
      </c>
      <c r="D264" s="354" t="s">
        <v>216</v>
      </c>
      <c r="E264" s="354"/>
      <c r="F264" s="355"/>
      <c r="G264" s="368"/>
      <c r="H264" s="368"/>
      <c r="I264" s="369">
        <f>TRUNC(SUM(I262:I263))</f>
        <v>687</v>
      </c>
      <c r="J264" s="368"/>
      <c r="K264" s="368"/>
      <c r="L264" s="369">
        <f>TRUNC(SUM(L262:L263))</f>
        <v>0</v>
      </c>
      <c r="M264" s="368"/>
      <c r="N264" s="369">
        <f>TRUNC(SUM(N262:N263))</f>
        <v>0</v>
      </c>
      <c r="O264" s="368" t="str">
        <f>IF((H264+K264+M264)=0, "", (H264+K264+M264))</f>
        <v/>
      </c>
      <c r="P264" s="368">
        <f>IF(SUM(I264,L264,N264)&lt;&gt;0,SUM(I264,L264,N264),"")</f>
        <v>687</v>
      </c>
      <c r="Q264" s="354"/>
      <c r="AE264" s="347">
        <f>TRUNC(SUM(AE262:AE263))</f>
        <v>0</v>
      </c>
    </row>
    <row r="265" spans="1:31" ht="23.25" customHeight="1">
      <c r="D265" s="354"/>
      <c r="E265" s="354"/>
      <c r="F265" s="355"/>
      <c r="G265" s="368"/>
      <c r="H265" s="368"/>
      <c r="I265" s="369"/>
      <c r="J265" s="368"/>
      <c r="K265" s="368"/>
      <c r="L265" s="369"/>
      <c r="M265" s="368"/>
      <c r="N265" s="369"/>
      <c r="O265" s="368"/>
      <c r="P265" s="368"/>
      <c r="Q265" s="354"/>
    </row>
    <row r="266" spans="1:31" ht="23.25" customHeight="1">
      <c r="A266" s="344" t="s">
        <v>733</v>
      </c>
      <c r="B266" s="344" t="s">
        <v>1833</v>
      </c>
      <c r="C266" s="365" t="s">
        <v>2010</v>
      </c>
      <c r="D266" s="714" t="s">
        <v>2011</v>
      </c>
      <c r="E266" s="715"/>
      <c r="F266" s="355"/>
      <c r="G266" s="368"/>
      <c r="H266" s="368"/>
      <c r="I266" s="369"/>
      <c r="J266" s="368"/>
      <c r="K266" s="368"/>
      <c r="L266" s="369"/>
      <c r="M266" s="368"/>
      <c r="N266" s="369"/>
      <c r="O266" s="368"/>
      <c r="P266" s="368"/>
      <c r="Q266" s="354"/>
    </row>
    <row r="267" spans="1:31" ht="23.25" customHeight="1">
      <c r="A267" s="344" t="s">
        <v>2012</v>
      </c>
      <c r="B267" s="344" t="s">
        <v>1551</v>
      </c>
      <c r="C267" s="365" t="s">
        <v>2012</v>
      </c>
      <c r="D267" s="354" t="s">
        <v>263</v>
      </c>
      <c r="E267" s="354" t="s">
        <v>350</v>
      </c>
      <c r="F267" s="355" t="s">
        <v>265</v>
      </c>
      <c r="G267" s="368">
        <v>1</v>
      </c>
      <c r="H267" s="368">
        <f>합산자재!H29</f>
        <v>808.39759000000004</v>
      </c>
      <c r="I267" s="369">
        <f>IF(G267*H267&lt;&gt;0, TRUNC(G267*H267, 1), "")</f>
        <v>808.3</v>
      </c>
      <c r="J267" s="368">
        <v>1</v>
      </c>
      <c r="K267" s="368">
        <f>합산자재!I29</f>
        <v>0</v>
      </c>
      <c r="L267" s="369" t="str">
        <f>IF(G267*K267&lt;&gt;0, TRUNC(G267*K267, 1), "")</f>
        <v/>
      </c>
      <c r="M267" s="368">
        <f>합산자재!J29</f>
        <v>0</v>
      </c>
      <c r="N267" s="369" t="str">
        <f>IF(G267*M267&lt;&gt;0, TRUNC(G267*M267, 1), "")</f>
        <v/>
      </c>
      <c r="O267" s="368">
        <f>IF((H267+K267+M267)=0, "", (H267+K267+M267))</f>
        <v>808.39759000000004</v>
      </c>
      <c r="P267" s="368">
        <f>IF(SUM(I267,L267,N267)&lt;&gt;0,SUM(I267,L267,N267),"")</f>
        <v>808.3</v>
      </c>
      <c r="Q267" s="354"/>
    </row>
    <row r="268" spans="1:31" ht="23.25" customHeight="1">
      <c r="B268" s="344" t="s">
        <v>715</v>
      </c>
      <c r="D268" s="354" t="s">
        <v>216</v>
      </c>
      <c r="E268" s="354"/>
      <c r="F268" s="355"/>
      <c r="G268" s="368"/>
      <c r="H268" s="368"/>
      <c r="I268" s="369">
        <f>TRUNC(SUM(I266:I267))</f>
        <v>808</v>
      </c>
      <c r="J268" s="368"/>
      <c r="K268" s="368"/>
      <c r="L268" s="369">
        <f>TRUNC(SUM(L266:L267))</f>
        <v>0</v>
      </c>
      <c r="M268" s="368"/>
      <c r="N268" s="369">
        <f>TRUNC(SUM(N266:N267))</f>
        <v>0</v>
      </c>
      <c r="O268" s="368" t="str">
        <f>IF((H268+K268+M268)=0, "", (H268+K268+M268))</f>
        <v/>
      </c>
      <c r="P268" s="368">
        <f>IF(SUM(I268,L268,N268)&lt;&gt;0,SUM(I268,L268,N268),"")</f>
        <v>808</v>
      </c>
      <c r="Q268" s="354"/>
      <c r="AE268" s="347">
        <f>TRUNC(SUM(AE266:AE267))</f>
        <v>0</v>
      </c>
    </row>
    <row r="269" spans="1:31" ht="23.25" customHeight="1">
      <c r="D269" s="354"/>
      <c r="E269" s="354"/>
      <c r="F269" s="355"/>
      <c r="G269" s="368"/>
      <c r="H269" s="368"/>
      <c r="I269" s="369"/>
      <c r="J269" s="368"/>
      <c r="K269" s="368"/>
      <c r="L269" s="369"/>
      <c r="M269" s="368"/>
      <c r="N269" s="369"/>
      <c r="O269" s="368"/>
      <c r="P269" s="368"/>
      <c r="Q269" s="354"/>
    </row>
    <row r="270" spans="1:31" ht="23.25" customHeight="1">
      <c r="A270" s="344" t="s">
        <v>614</v>
      </c>
      <c r="B270" s="344" t="s">
        <v>1833</v>
      </c>
      <c r="C270" s="365" t="s">
        <v>2013</v>
      </c>
      <c r="D270" s="714" t="s">
        <v>2014</v>
      </c>
      <c r="E270" s="715"/>
      <c r="F270" s="355"/>
      <c r="G270" s="368"/>
      <c r="H270" s="368"/>
      <c r="I270" s="369"/>
      <c r="J270" s="368"/>
      <c r="K270" s="368"/>
      <c r="L270" s="369"/>
      <c r="M270" s="368"/>
      <c r="N270" s="369"/>
      <c r="O270" s="368"/>
      <c r="P270" s="368"/>
      <c r="Q270" s="354"/>
    </row>
    <row r="271" spans="1:31" ht="23.25" customHeight="1">
      <c r="A271" s="344" t="s">
        <v>2015</v>
      </c>
      <c r="B271" s="344" t="s">
        <v>1552</v>
      </c>
      <c r="C271" s="365" t="s">
        <v>2015</v>
      </c>
      <c r="D271" s="354" t="s">
        <v>263</v>
      </c>
      <c r="E271" s="354" t="s">
        <v>264</v>
      </c>
      <c r="F271" s="355" t="s">
        <v>265</v>
      </c>
      <c r="G271" s="368">
        <v>1</v>
      </c>
      <c r="H271" s="368">
        <f>합산자재!H30</f>
        <v>3124.6824700000002</v>
      </c>
      <c r="I271" s="369">
        <f>IF(G271*H271&lt;&gt;0, TRUNC(G271*H271, 1), "")</f>
        <v>3124.6</v>
      </c>
      <c r="J271" s="368">
        <v>1</v>
      </c>
      <c r="K271" s="368">
        <f>합산자재!I30</f>
        <v>0</v>
      </c>
      <c r="L271" s="369" t="str">
        <f>IF(G271*K271&lt;&gt;0, TRUNC(G271*K271, 1), "")</f>
        <v/>
      </c>
      <c r="M271" s="368">
        <f>합산자재!J30</f>
        <v>0</v>
      </c>
      <c r="N271" s="369" t="str">
        <f>IF(G271*M271&lt;&gt;0, TRUNC(G271*M271, 1), "")</f>
        <v/>
      </c>
      <c r="O271" s="368">
        <f>IF((H271+K271+M271)=0, "", (H271+K271+M271))</f>
        <v>3124.6824700000002</v>
      </c>
      <c r="P271" s="368">
        <f>IF(SUM(I271,L271,N271)&lt;&gt;0,SUM(I271,L271,N271),"")</f>
        <v>3124.6</v>
      </c>
      <c r="Q271" s="354"/>
    </row>
    <row r="272" spans="1:31" ht="23.25" customHeight="1">
      <c r="B272" s="344" t="s">
        <v>715</v>
      </c>
      <c r="D272" s="354" t="s">
        <v>216</v>
      </c>
      <c r="E272" s="354"/>
      <c r="F272" s="355"/>
      <c r="G272" s="368"/>
      <c r="H272" s="368"/>
      <c r="I272" s="369">
        <f>TRUNC(SUM(I270:I271))</f>
        <v>3124</v>
      </c>
      <c r="J272" s="368"/>
      <c r="K272" s="368"/>
      <c r="L272" s="369">
        <f>TRUNC(SUM(L270:L271))</f>
        <v>0</v>
      </c>
      <c r="M272" s="368"/>
      <c r="N272" s="369">
        <f>TRUNC(SUM(N270:N271))</f>
        <v>0</v>
      </c>
      <c r="O272" s="368" t="str">
        <f>IF((H272+K272+M272)=0, "", (H272+K272+M272))</f>
        <v/>
      </c>
      <c r="P272" s="368">
        <f>IF(SUM(I272,L272,N272)&lt;&gt;0,SUM(I272,L272,N272),"")</f>
        <v>3124</v>
      </c>
      <c r="Q272" s="354"/>
      <c r="AE272" s="347">
        <f>TRUNC(SUM(AE270:AE271))</f>
        <v>0</v>
      </c>
    </row>
    <row r="273" spans="1:31" ht="23.25" customHeight="1">
      <c r="D273" s="354"/>
      <c r="E273" s="354"/>
      <c r="F273" s="355"/>
      <c r="G273" s="368"/>
      <c r="H273" s="368"/>
      <c r="I273" s="369"/>
      <c r="J273" s="368"/>
      <c r="K273" s="368"/>
      <c r="L273" s="369"/>
      <c r="M273" s="368"/>
      <c r="N273" s="369"/>
      <c r="O273" s="368"/>
      <c r="P273" s="368"/>
      <c r="Q273" s="354"/>
    </row>
    <row r="274" spans="1:31" ht="23.25" customHeight="1">
      <c r="A274" s="344" t="s">
        <v>774</v>
      </c>
      <c r="B274" s="344" t="s">
        <v>1833</v>
      </c>
      <c r="C274" s="365" t="s">
        <v>2016</v>
      </c>
      <c r="D274" s="714" t="s">
        <v>2017</v>
      </c>
      <c r="E274" s="715"/>
      <c r="F274" s="355"/>
      <c r="G274" s="368"/>
      <c r="H274" s="368"/>
      <c r="I274" s="369"/>
      <c r="J274" s="368"/>
      <c r="K274" s="368"/>
      <c r="L274" s="369"/>
      <c r="M274" s="368"/>
      <c r="N274" s="369"/>
      <c r="O274" s="368"/>
      <c r="P274" s="368"/>
      <c r="Q274" s="354"/>
    </row>
    <row r="275" spans="1:31" ht="23.25" customHeight="1">
      <c r="A275" s="344" t="s">
        <v>2018</v>
      </c>
      <c r="B275" s="344" t="s">
        <v>1554</v>
      </c>
      <c r="C275" s="365" t="s">
        <v>2018</v>
      </c>
      <c r="D275" s="354" t="s">
        <v>263</v>
      </c>
      <c r="E275" s="354" t="s">
        <v>401</v>
      </c>
      <c r="F275" s="355" t="s">
        <v>265</v>
      </c>
      <c r="G275" s="368">
        <v>1</v>
      </c>
      <c r="H275" s="368">
        <f>합산자재!H31</f>
        <v>6640.7250000000004</v>
      </c>
      <c r="I275" s="369">
        <f>IF(G275*H275&lt;&gt;0, TRUNC(G275*H275, 1), "")</f>
        <v>6640.7</v>
      </c>
      <c r="J275" s="368">
        <v>1</v>
      </c>
      <c r="K275" s="368">
        <f>합산자재!I31</f>
        <v>0</v>
      </c>
      <c r="L275" s="369" t="str">
        <f>IF(G275*K275&lt;&gt;0, TRUNC(G275*K275, 1), "")</f>
        <v/>
      </c>
      <c r="M275" s="368">
        <f>합산자재!J31</f>
        <v>0</v>
      </c>
      <c r="N275" s="369" t="str">
        <f>IF(G275*M275&lt;&gt;0, TRUNC(G275*M275, 1), "")</f>
        <v/>
      </c>
      <c r="O275" s="368">
        <f>IF((H275+K275+M275)=0, "", (H275+K275+M275))</f>
        <v>6640.7250000000004</v>
      </c>
      <c r="P275" s="368">
        <f>IF(SUM(I275,L275,N275)&lt;&gt;0,SUM(I275,L275,N275),"")</f>
        <v>6640.7</v>
      </c>
      <c r="Q275" s="354"/>
    </row>
    <row r="276" spans="1:31" ht="23.25" customHeight="1">
      <c r="B276" s="344" t="s">
        <v>715</v>
      </c>
      <c r="D276" s="354" t="s">
        <v>216</v>
      </c>
      <c r="E276" s="354"/>
      <c r="F276" s="355"/>
      <c r="G276" s="368"/>
      <c r="H276" s="368"/>
      <c r="I276" s="369">
        <f>TRUNC(SUM(I274:I275))</f>
        <v>6640</v>
      </c>
      <c r="J276" s="368"/>
      <c r="K276" s="368"/>
      <c r="L276" s="369">
        <f>TRUNC(SUM(L274:L275))</f>
        <v>0</v>
      </c>
      <c r="M276" s="368"/>
      <c r="N276" s="369">
        <f>TRUNC(SUM(N274:N275))</f>
        <v>0</v>
      </c>
      <c r="O276" s="368" t="str">
        <f>IF((H276+K276+M276)=0, "", (H276+K276+M276))</f>
        <v/>
      </c>
      <c r="P276" s="368">
        <f>IF(SUM(I276,L276,N276)&lt;&gt;0,SUM(I276,L276,N276),"")</f>
        <v>6640</v>
      </c>
      <c r="Q276" s="354"/>
      <c r="AE276" s="347">
        <f>TRUNC(SUM(AE274:AE275))</f>
        <v>0</v>
      </c>
    </row>
    <row r="277" spans="1:31" ht="23.25" customHeight="1">
      <c r="D277" s="354"/>
      <c r="E277" s="354"/>
      <c r="F277" s="355"/>
      <c r="G277" s="368"/>
      <c r="H277" s="368"/>
      <c r="I277" s="369"/>
      <c r="J277" s="368"/>
      <c r="K277" s="368"/>
      <c r="L277" s="369"/>
      <c r="M277" s="368"/>
      <c r="N277" s="369"/>
      <c r="O277" s="368"/>
      <c r="P277" s="368"/>
      <c r="Q277" s="354"/>
    </row>
    <row r="278" spans="1:31" ht="23.25" customHeight="1">
      <c r="A278" s="344" t="s">
        <v>867</v>
      </c>
      <c r="B278" s="344" t="s">
        <v>1833</v>
      </c>
      <c r="C278" s="365" t="s">
        <v>2019</v>
      </c>
      <c r="D278" s="714" t="s">
        <v>2020</v>
      </c>
      <c r="E278" s="715"/>
      <c r="F278" s="355"/>
      <c r="G278" s="368"/>
      <c r="H278" s="368"/>
      <c r="I278" s="369"/>
      <c r="J278" s="368"/>
      <c r="K278" s="368"/>
      <c r="L278" s="369"/>
      <c r="M278" s="368"/>
      <c r="N278" s="369"/>
      <c r="O278" s="368"/>
      <c r="P278" s="368"/>
      <c r="Q278" s="354"/>
    </row>
    <row r="279" spans="1:31" ht="23.25" customHeight="1">
      <c r="A279" s="344" t="s">
        <v>2021</v>
      </c>
      <c r="B279" s="344" t="s">
        <v>1556</v>
      </c>
      <c r="C279" s="365" t="s">
        <v>2021</v>
      </c>
      <c r="D279" s="354" t="s">
        <v>448</v>
      </c>
      <c r="E279" s="354" t="s">
        <v>449</v>
      </c>
      <c r="F279" s="355" t="s">
        <v>265</v>
      </c>
      <c r="G279" s="368">
        <v>1</v>
      </c>
      <c r="H279" s="368">
        <f>합산자재!H32</f>
        <v>494.06994000000003</v>
      </c>
      <c r="I279" s="369">
        <f>IF(G279*H279&lt;&gt;0, TRUNC(G279*H279, 1), "")</f>
        <v>494</v>
      </c>
      <c r="J279" s="368">
        <v>1</v>
      </c>
      <c r="K279" s="368">
        <f>합산자재!I32</f>
        <v>0</v>
      </c>
      <c r="L279" s="369" t="str">
        <f>IF(G279*K279&lt;&gt;0, TRUNC(G279*K279, 1), "")</f>
        <v/>
      </c>
      <c r="M279" s="368">
        <f>합산자재!J32</f>
        <v>0</v>
      </c>
      <c r="N279" s="369" t="str">
        <f>IF(G279*M279&lt;&gt;0, TRUNC(G279*M279, 1), "")</f>
        <v/>
      </c>
      <c r="O279" s="368">
        <f>IF((H279+K279+M279)=0, "", (H279+K279+M279))</f>
        <v>494.06994000000003</v>
      </c>
      <c r="P279" s="368">
        <f>IF(SUM(I279,L279,N279)&lt;&gt;0,SUM(I279,L279,N279),"")</f>
        <v>494</v>
      </c>
      <c r="Q279" s="354"/>
    </row>
    <row r="280" spans="1:31" ht="23.25" customHeight="1">
      <c r="A280" s="344" t="s">
        <v>1850</v>
      </c>
      <c r="B280" s="344" t="s">
        <v>1556</v>
      </c>
      <c r="C280" s="365" t="s">
        <v>1850</v>
      </c>
      <c r="D280" s="354" t="s">
        <v>1664</v>
      </c>
      <c r="E280" s="354" t="s">
        <v>1851</v>
      </c>
      <c r="F280" s="355" t="s">
        <v>1852</v>
      </c>
      <c r="G280" s="368">
        <f>일위노임!G117</f>
        <v>0.12</v>
      </c>
      <c r="H280" s="368">
        <f>합산자재!H120</f>
        <v>0</v>
      </c>
      <c r="I280" s="369" t="str">
        <f>IF(G280*H280&lt;&gt;0, TRUNC(G280*H280, 1), "")</f>
        <v/>
      </c>
      <c r="J280" s="368">
        <v>0.12</v>
      </c>
      <c r="K280" s="368">
        <f>합산자재!I120</f>
        <v>229252.87931000002</v>
      </c>
      <c r="L280" s="369">
        <f>IF(G280*K280&lt;&gt;0, TRUNC(G280*K280, 1), "")</f>
        <v>27510.3</v>
      </c>
      <c r="M280" s="368">
        <f>합산자재!J120</f>
        <v>0</v>
      </c>
      <c r="N280" s="369" t="str">
        <f>IF(G280*M280&lt;&gt;0, TRUNC(G280*M280, 1), "")</f>
        <v/>
      </c>
      <c r="O280" s="368">
        <f>IF((H280+K280+M280)=0, "", (H280+K280+M280))</f>
        <v>229252.87931000002</v>
      </c>
      <c r="P280" s="368">
        <f>IF(SUM(I280,L280,N280)&lt;&gt;0,SUM(I280,L280,N280),"")</f>
        <v>27510.3</v>
      </c>
      <c r="Q280" s="354"/>
      <c r="AE280" s="347">
        <f>L280</f>
        <v>27510.3</v>
      </c>
    </row>
    <row r="281" spans="1:31" ht="23.25" customHeight="1">
      <c r="A281" s="344" t="s">
        <v>1853</v>
      </c>
      <c r="B281" s="344" t="s">
        <v>1556</v>
      </c>
      <c r="C281" s="365" t="s">
        <v>1853</v>
      </c>
      <c r="D281" s="354" t="s">
        <v>1854</v>
      </c>
      <c r="E281" s="354" t="s">
        <v>1855</v>
      </c>
      <c r="F281" s="355" t="s">
        <v>212</v>
      </c>
      <c r="G281" s="368">
        <v>1</v>
      </c>
      <c r="H281" s="368">
        <f>IF(TRUNC((AD282+AC282)/$AE$3,1)*$AE$3-AD282 &lt;0, AC282, TRUNC((AD282+AC282)/$AE$3,1)*$AE$3-AD282)</f>
        <v>550.20000000000073</v>
      </c>
      <c r="I281" s="369">
        <f>H281</f>
        <v>550.20000000000073</v>
      </c>
      <c r="J281" s="368">
        <v>1</v>
      </c>
      <c r="K281" s="368"/>
      <c r="L281" s="369" t="str">
        <f>IF(G281*K281&lt;&gt;0, TRUNC(G281*K281, 1), "")</f>
        <v/>
      </c>
      <c r="M281" s="368"/>
      <c r="N281" s="369" t="str">
        <f>IF(G281*M281&lt;&gt;0, TRUNC(G281*M281, 1), "")</f>
        <v/>
      </c>
      <c r="O281" s="368">
        <f>IF((H281+K281+M281)=0, "", (H281+K281+M281))</f>
        <v>550.20000000000073</v>
      </c>
      <c r="P281" s="368">
        <f>IF(SUM(I281,L281,N281)&lt;&gt;0,SUM(I281,L281,N281),"")</f>
        <v>550.20000000000073</v>
      </c>
      <c r="Q281" s="354"/>
    </row>
    <row r="282" spans="1:31" ht="23.25" customHeight="1">
      <c r="B282" s="344" t="s">
        <v>715</v>
      </c>
      <c r="D282" s="354" t="s">
        <v>216</v>
      </c>
      <c r="E282" s="354"/>
      <c r="F282" s="355"/>
      <c r="G282" s="368"/>
      <c r="H282" s="368"/>
      <c r="I282" s="369">
        <f>TRUNC(SUM(I278:I281))</f>
        <v>1044</v>
      </c>
      <c r="J282" s="368"/>
      <c r="K282" s="368"/>
      <c r="L282" s="369">
        <f>TRUNC(SUM(L278:L281))</f>
        <v>27510</v>
      </c>
      <c r="M282" s="368"/>
      <c r="N282" s="369">
        <f>TRUNC(SUM(N278:N281))</f>
        <v>0</v>
      </c>
      <c r="O282" s="368" t="str">
        <f>IF((H282+K282+M282)=0, "", (H282+K282+M282))</f>
        <v/>
      </c>
      <c r="P282" s="368">
        <f>IF(SUM(I282,L282,N282)&lt;&gt;0,SUM(I282,L282,N282),"")</f>
        <v>28554</v>
      </c>
      <c r="Q282" s="354"/>
      <c r="AC282" s="347">
        <f>TRUNC(AE282*옵션!$B$36/100,1)</f>
        <v>550.20000000000005</v>
      </c>
      <c r="AD282" s="347">
        <f>TRUNC(SUM(L278:L280))</f>
        <v>27510</v>
      </c>
      <c r="AE282" s="347">
        <f>TRUNC(SUM(AE278:AE281))</f>
        <v>27510</v>
      </c>
    </row>
    <row r="283" spans="1:31" ht="23.25" customHeight="1">
      <c r="D283" s="354"/>
      <c r="E283" s="354"/>
      <c r="F283" s="355"/>
      <c r="G283" s="368"/>
      <c r="H283" s="368"/>
      <c r="I283" s="369"/>
      <c r="J283" s="368"/>
      <c r="K283" s="368"/>
      <c r="L283" s="369"/>
      <c r="M283" s="368"/>
      <c r="N283" s="369"/>
      <c r="O283" s="368"/>
      <c r="P283" s="368"/>
      <c r="Q283" s="354"/>
    </row>
    <row r="284" spans="1:31" ht="23.25" customHeight="1">
      <c r="A284" s="344" t="s">
        <v>871</v>
      </c>
      <c r="B284" s="344" t="s">
        <v>1833</v>
      </c>
      <c r="C284" s="365" t="s">
        <v>2022</v>
      </c>
      <c r="D284" s="714" t="s">
        <v>2023</v>
      </c>
      <c r="E284" s="715"/>
      <c r="F284" s="355"/>
      <c r="G284" s="368"/>
      <c r="H284" s="368"/>
      <c r="I284" s="369"/>
      <c r="J284" s="368"/>
      <c r="K284" s="368"/>
      <c r="L284" s="369"/>
      <c r="M284" s="368"/>
      <c r="N284" s="369"/>
      <c r="O284" s="368"/>
      <c r="P284" s="368"/>
      <c r="Q284" s="354"/>
    </row>
    <row r="285" spans="1:31" ht="23.25" customHeight="1">
      <c r="A285" s="344" t="s">
        <v>2024</v>
      </c>
      <c r="B285" s="344" t="s">
        <v>1558</v>
      </c>
      <c r="C285" s="365" t="s">
        <v>2024</v>
      </c>
      <c r="D285" s="354" t="s">
        <v>448</v>
      </c>
      <c r="E285" s="354" t="s">
        <v>450</v>
      </c>
      <c r="F285" s="355" t="s">
        <v>265</v>
      </c>
      <c r="G285" s="368">
        <v>1</v>
      </c>
      <c r="H285" s="368">
        <f>합산자재!H33</f>
        <v>718.08373000000006</v>
      </c>
      <c r="I285" s="369">
        <f>IF(G285*H285&lt;&gt;0, TRUNC(G285*H285, 1), "")</f>
        <v>718</v>
      </c>
      <c r="J285" s="368">
        <v>1</v>
      </c>
      <c r="K285" s="368">
        <f>합산자재!I33</f>
        <v>0</v>
      </c>
      <c r="L285" s="369" t="str">
        <f>IF(G285*K285&lt;&gt;0, TRUNC(G285*K285, 1), "")</f>
        <v/>
      </c>
      <c r="M285" s="368">
        <f>합산자재!J33</f>
        <v>0</v>
      </c>
      <c r="N285" s="369" t="str">
        <f>IF(G285*M285&lt;&gt;0, TRUNC(G285*M285, 1), "")</f>
        <v/>
      </c>
      <c r="O285" s="368">
        <f>IF((H285+K285+M285)=0, "", (H285+K285+M285))</f>
        <v>718.08373000000006</v>
      </c>
      <c r="P285" s="368">
        <f>IF(SUM(I285,L285,N285)&lt;&gt;0,SUM(I285,L285,N285),"")</f>
        <v>718</v>
      </c>
      <c r="Q285" s="354"/>
    </row>
    <row r="286" spans="1:31" ht="23.25" customHeight="1">
      <c r="A286" s="344" t="s">
        <v>1850</v>
      </c>
      <c r="B286" s="344" t="s">
        <v>1558</v>
      </c>
      <c r="C286" s="365" t="s">
        <v>1850</v>
      </c>
      <c r="D286" s="354" t="s">
        <v>1664</v>
      </c>
      <c r="E286" s="354" t="s">
        <v>1851</v>
      </c>
      <c r="F286" s="355" t="s">
        <v>1852</v>
      </c>
      <c r="G286" s="368">
        <f>일위노임!G120</f>
        <v>0.12</v>
      </c>
      <c r="H286" s="368">
        <f>합산자재!H120</f>
        <v>0</v>
      </c>
      <c r="I286" s="369" t="str">
        <f>IF(G286*H286&lt;&gt;0, TRUNC(G286*H286, 1), "")</f>
        <v/>
      </c>
      <c r="J286" s="368">
        <v>0.12</v>
      </c>
      <c r="K286" s="368">
        <f>합산자재!I120</f>
        <v>229252.87931000002</v>
      </c>
      <c r="L286" s="369">
        <f>IF(G286*K286&lt;&gt;0, TRUNC(G286*K286, 1), "")</f>
        <v>27510.3</v>
      </c>
      <c r="M286" s="368">
        <f>합산자재!J120</f>
        <v>0</v>
      </c>
      <c r="N286" s="369" t="str">
        <f>IF(G286*M286&lt;&gt;0, TRUNC(G286*M286, 1), "")</f>
        <v/>
      </c>
      <c r="O286" s="368">
        <f>IF((H286+K286+M286)=0, "", (H286+K286+M286))</f>
        <v>229252.87931000002</v>
      </c>
      <c r="P286" s="368">
        <f>IF(SUM(I286,L286,N286)&lt;&gt;0,SUM(I286,L286,N286),"")</f>
        <v>27510.3</v>
      </c>
      <c r="Q286" s="354"/>
      <c r="AE286" s="347">
        <f>L286</f>
        <v>27510.3</v>
      </c>
    </row>
    <row r="287" spans="1:31" ht="23.25" customHeight="1">
      <c r="A287" s="344" t="s">
        <v>1853</v>
      </c>
      <c r="B287" s="344" t="s">
        <v>1558</v>
      </c>
      <c r="C287" s="365" t="s">
        <v>1853</v>
      </c>
      <c r="D287" s="354" t="s">
        <v>1854</v>
      </c>
      <c r="E287" s="354" t="s">
        <v>1855</v>
      </c>
      <c r="F287" s="355" t="s">
        <v>212</v>
      </c>
      <c r="G287" s="368">
        <v>1</v>
      </c>
      <c r="H287" s="368">
        <f>IF(TRUNC((AD288+AC288)/$AE$3,1)*$AE$3-AD288 &lt;0, AC288, TRUNC((AD288+AC288)/$AE$3,1)*$AE$3-AD288)</f>
        <v>550.20000000000073</v>
      </c>
      <c r="I287" s="369">
        <f>H287</f>
        <v>550.20000000000073</v>
      </c>
      <c r="J287" s="368">
        <v>1</v>
      </c>
      <c r="K287" s="368"/>
      <c r="L287" s="369" t="str">
        <f>IF(G287*K287&lt;&gt;0, TRUNC(G287*K287, 1), "")</f>
        <v/>
      </c>
      <c r="M287" s="368"/>
      <c r="N287" s="369" t="str">
        <f>IF(G287*M287&lt;&gt;0, TRUNC(G287*M287, 1), "")</f>
        <v/>
      </c>
      <c r="O287" s="368">
        <f>IF((H287+K287+M287)=0, "", (H287+K287+M287))</f>
        <v>550.20000000000073</v>
      </c>
      <c r="P287" s="368">
        <f>IF(SUM(I287,L287,N287)&lt;&gt;0,SUM(I287,L287,N287),"")</f>
        <v>550.20000000000073</v>
      </c>
      <c r="Q287" s="354"/>
    </row>
    <row r="288" spans="1:31" ht="23.25" customHeight="1">
      <c r="B288" s="344" t="s">
        <v>715</v>
      </c>
      <c r="D288" s="354" t="s">
        <v>216</v>
      </c>
      <c r="E288" s="354"/>
      <c r="F288" s="355"/>
      <c r="G288" s="368"/>
      <c r="H288" s="368"/>
      <c r="I288" s="369">
        <f>TRUNC(SUM(I284:I287))</f>
        <v>1268</v>
      </c>
      <c r="J288" s="368"/>
      <c r="K288" s="368"/>
      <c r="L288" s="369">
        <f>TRUNC(SUM(L284:L287))</f>
        <v>27510</v>
      </c>
      <c r="M288" s="368"/>
      <c r="N288" s="369">
        <f>TRUNC(SUM(N284:N287))</f>
        <v>0</v>
      </c>
      <c r="O288" s="368" t="str">
        <f>IF((H288+K288+M288)=0, "", (H288+K288+M288))</f>
        <v/>
      </c>
      <c r="P288" s="368">
        <f>IF(SUM(I288,L288,N288)&lt;&gt;0,SUM(I288,L288,N288),"")</f>
        <v>28778</v>
      </c>
      <c r="Q288" s="354"/>
      <c r="AC288" s="347">
        <f>TRUNC(AE288*옵션!$B$36/100,1)</f>
        <v>550.20000000000005</v>
      </c>
      <c r="AD288" s="347">
        <f>TRUNC(SUM(L284:L286))</f>
        <v>27510</v>
      </c>
      <c r="AE288" s="347">
        <f>TRUNC(SUM(AE284:AE287))</f>
        <v>27510</v>
      </c>
    </row>
    <row r="289" spans="1:31" ht="23.25" customHeight="1">
      <c r="D289" s="354"/>
      <c r="E289" s="354"/>
      <c r="F289" s="355"/>
      <c r="G289" s="368"/>
      <c r="H289" s="368"/>
      <c r="I289" s="369"/>
      <c r="J289" s="368"/>
      <c r="K289" s="368"/>
      <c r="L289" s="369"/>
      <c r="M289" s="368"/>
      <c r="N289" s="369"/>
      <c r="O289" s="368"/>
      <c r="P289" s="368"/>
      <c r="Q289" s="354"/>
    </row>
    <row r="290" spans="1:31" ht="23.25" customHeight="1">
      <c r="A290" s="344" t="s">
        <v>874</v>
      </c>
      <c r="B290" s="344" t="s">
        <v>1833</v>
      </c>
      <c r="C290" s="365" t="s">
        <v>2025</v>
      </c>
      <c r="D290" s="714" t="s">
        <v>2026</v>
      </c>
      <c r="E290" s="715"/>
      <c r="F290" s="355"/>
      <c r="G290" s="368"/>
      <c r="H290" s="368"/>
      <c r="I290" s="369"/>
      <c r="J290" s="368"/>
      <c r="K290" s="368"/>
      <c r="L290" s="369"/>
      <c r="M290" s="368"/>
      <c r="N290" s="369"/>
      <c r="O290" s="368"/>
      <c r="P290" s="368"/>
      <c r="Q290" s="354"/>
    </row>
    <row r="291" spans="1:31" ht="23.25" customHeight="1">
      <c r="A291" s="344" t="s">
        <v>2027</v>
      </c>
      <c r="B291" s="344" t="s">
        <v>1559</v>
      </c>
      <c r="C291" s="365" t="s">
        <v>2027</v>
      </c>
      <c r="D291" s="354" t="s">
        <v>451</v>
      </c>
      <c r="E291" s="354" t="s">
        <v>452</v>
      </c>
      <c r="F291" s="355" t="s">
        <v>265</v>
      </c>
      <c r="G291" s="368">
        <v>1</v>
      </c>
      <c r="H291" s="368">
        <f>합산자재!H34</f>
        <v>516.20569</v>
      </c>
      <c r="I291" s="369">
        <f>IF(G291*H291&lt;&gt;0, TRUNC(G291*H291, 1), "")</f>
        <v>516.20000000000005</v>
      </c>
      <c r="J291" s="368">
        <v>1</v>
      </c>
      <c r="K291" s="368">
        <f>합산자재!I34</f>
        <v>0</v>
      </c>
      <c r="L291" s="369" t="str">
        <f>IF(G291*K291&lt;&gt;0, TRUNC(G291*K291, 1), "")</f>
        <v/>
      </c>
      <c r="M291" s="368">
        <f>합산자재!J34</f>
        <v>0</v>
      </c>
      <c r="N291" s="369" t="str">
        <f>IF(G291*M291&lt;&gt;0, TRUNC(G291*M291, 1), "")</f>
        <v/>
      </c>
      <c r="O291" s="368">
        <f>IF((H291+K291+M291)=0, "", (H291+K291+M291))</f>
        <v>516.20569</v>
      </c>
      <c r="P291" s="368">
        <f>IF(SUM(I291,L291,N291)&lt;&gt;0,SUM(I291,L291,N291),"")</f>
        <v>516.20000000000005</v>
      </c>
      <c r="Q291" s="354"/>
    </row>
    <row r="292" spans="1:31" ht="23.25" customHeight="1">
      <c r="A292" s="344" t="s">
        <v>1850</v>
      </c>
      <c r="B292" s="344" t="s">
        <v>1559</v>
      </c>
      <c r="C292" s="365" t="s">
        <v>1850</v>
      </c>
      <c r="D292" s="354" t="s">
        <v>1664</v>
      </c>
      <c r="E292" s="354" t="s">
        <v>1851</v>
      </c>
      <c r="F292" s="355" t="s">
        <v>1852</v>
      </c>
      <c r="G292" s="368">
        <f>일위노임!G123</f>
        <v>0.2</v>
      </c>
      <c r="H292" s="368">
        <f>합산자재!H120</f>
        <v>0</v>
      </c>
      <c r="I292" s="369" t="str">
        <f>IF(G292*H292&lt;&gt;0, TRUNC(G292*H292, 1), "")</f>
        <v/>
      </c>
      <c r="J292" s="368">
        <v>0.2</v>
      </c>
      <c r="K292" s="368">
        <f>합산자재!I120</f>
        <v>229252.87931000002</v>
      </c>
      <c r="L292" s="369">
        <f>IF(G292*K292&lt;&gt;0, TRUNC(G292*K292, 1), "")</f>
        <v>45850.5</v>
      </c>
      <c r="M292" s="368">
        <f>합산자재!J120</f>
        <v>0</v>
      </c>
      <c r="N292" s="369" t="str">
        <f>IF(G292*M292&lt;&gt;0, TRUNC(G292*M292, 1), "")</f>
        <v/>
      </c>
      <c r="O292" s="368">
        <f>IF((H292+K292+M292)=0, "", (H292+K292+M292))</f>
        <v>229252.87931000002</v>
      </c>
      <c r="P292" s="368">
        <f>IF(SUM(I292,L292,N292)&lt;&gt;0,SUM(I292,L292,N292),"")</f>
        <v>45850.5</v>
      </c>
      <c r="Q292" s="354"/>
      <c r="AE292" s="347">
        <f>L292</f>
        <v>45850.5</v>
      </c>
    </row>
    <row r="293" spans="1:31" ht="23.25" customHeight="1">
      <c r="A293" s="344" t="s">
        <v>1853</v>
      </c>
      <c r="B293" s="344" t="s">
        <v>1559</v>
      </c>
      <c r="C293" s="365" t="s">
        <v>1853</v>
      </c>
      <c r="D293" s="354" t="s">
        <v>1854</v>
      </c>
      <c r="E293" s="354" t="s">
        <v>1855</v>
      </c>
      <c r="F293" s="355" t="s">
        <v>212</v>
      </c>
      <c r="G293" s="368">
        <v>1</v>
      </c>
      <c r="H293" s="368">
        <f>IF(TRUNC((AD294+AC294)/$AE$3,1)*$AE$3-AD294 &lt;0, AC294, TRUNC((AD294+AC294)/$AE$3,1)*$AE$3-AD294)</f>
        <v>917</v>
      </c>
      <c r="I293" s="369">
        <f>H293</f>
        <v>917</v>
      </c>
      <c r="J293" s="368">
        <v>1</v>
      </c>
      <c r="K293" s="368"/>
      <c r="L293" s="369" t="str">
        <f>IF(G293*K293&lt;&gt;0, TRUNC(G293*K293, 1), "")</f>
        <v/>
      </c>
      <c r="M293" s="368"/>
      <c r="N293" s="369" t="str">
        <f>IF(G293*M293&lt;&gt;0, TRUNC(G293*M293, 1), "")</f>
        <v/>
      </c>
      <c r="O293" s="368">
        <f>IF((H293+K293+M293)=0, "", (H293+K293+M293))</f>
        <v>917</v>
      </c>
      <c r="P293" s="368">
        <f>IF(SUM(I293,L293,N293)&lt;&gt;0,SUM(I293,L293,N293),"")</f>
        <v>917</v>
      </c>
      <c r="Q293" s="354"/>
    </row>
    <row r="294" spans="1:31" ht="23.25" customHeight="1">
      <c r="B294" s="344" t="s">
        <v>715</v>
      </c>
      <c r="D294" s="354" t="s">
        <v>216</v>
      </c>
      <c r="E294" s="354"/>
      <c r="F294" s="355"/>
      <c r="G294" s="368"/>
      <c r="H294" s="368"/>
      <c r="I294" s="369">
        <f>TRUNC(SUM(I290:I293))</f>
        <v>1433</v>
      </c>
      <c r="J294" s="368"/>
      <c r="K294" s="368"/>
      <c r="L294" s="369">
        <f>TRUNC(SUM(L290:L293))</f>
        <v>45850</v>
      </c>
      <c r="M294" s="368"/>
      <c r="N294" s="369">
        <f>TRUNC(SUM(N290:N293))</f>
        <v>0</v>
      </c>
      <c r="O294" s="368" t="str">
        <f>IF((H294+K294+M294)=0, "", (H294+K294+M294))</f>
        <v/>
      </c>
      <c r="P294" s="368">
        <f>IF(SUM(I294,L294,N294)&lt;&gt;0,SUM(I294,L294,N294),"")</f>
        <v>47283</v>
      </c>
      <c r="Q294" s="354"/>
      <c r="AC294" s="347">
        <f>TRUNC(AE294*옵션!$B$36/100,1)</f>
        <v>917</v>
      </c>
      <c r="AD294" s="347">
        <f>TRUNC(SUM(L290:L292))</f>
        <v>45850</v>
      </c>
      <c r="AE294" s="347">
        <f>TRUNC(SUM(AE290:AE293))</f>
        <v>45850</v>
      </c>
    </row>
    <row r="295" spans="1:31" ht="23.25" customHeight="1">
      <c r="D295" s="354"/>
      <c r="E295" s="354"/>
      <c r="F295" s="355"/>
      <c r="G295" s="368"/>
      <c r="H295" s="368"/>
      <c r="I295" s="369"/>
      <c r="J295" s="368"/>
      <c r="K295" s="368"/>
      <c r="L295" s="369"/>
      <c r="M295" s="368"/>
      <c r="N295" s="369"/>
      <c r="O295" s="368"/>
      <c r="P295" s="368"/>
      <c r="Q295" s="354"/>
    </row>
    <row r="296" spans="1:31" ht="23.25" customHeight="1">
      <c r="A296" s="344" t="s">
        <v>878</v>
      </c>
      <c r="B296" s="344" t="s">
        <v>1833</v>
      </c>
      <c r="C296" s="365" t="s">
        <v>2028</v>
      </c>
      <c r="D296" s="714" t="s">
        <v>2029</v>
      </c>
      <c r="E296" s="715"/>
      <c r="F296" s="355"/>
      <c r="G296" s="368"/>
      <c r="H296" s="368"/>
      <c r="I296" s="369"/>
      <c r="J296" s="368"/>
      <c r="K296" s="368"/>
      <c r="L296" s="369"/>
      <c r="M296" s="368"/>
      <c r="N296" s="369"/>
      <c r="O296" s="368"/>
      <c r="P296" s="368"/>
      <c r="Q296" s="354"/>
    </row>
    <row r="297" spans="1:31" ht="23.25" customHeight="1">
      <c r="A297" s="344" t="s">
        <v>2030</v>
      </c>
      <c r="B297" s="344" t="s">
        <v>1560</v>
      </c>
      <c r="C297" s="365" t="s">
        <v>2030</v>
      </c>
      <c r="D297" s="354" t="s">
        <v>451</v>
      </c>
      <c r="E297" s="354" t="s">
        <v>453</v>
      </c>
      <c r="F297" s="355" t="s">
        <v>265</v>
      </c>
      <c r="G297" s="368">
        <v>1</v>
      </c>
      <c r="H297" s="368">
        <f>합산자재!H35</f>
        <v>535.68515000000002</v>
      </c>
      <c r="I297" s="369">
        <f>IF(G297*H297&lt;&gt;0, TRUNC(G297*H297, 1), "")</f>
        <v>535.6</v>
      </c>
      <c r="J297" s="368">
        <v>1</v>
      </c>
      <c r="K297" s="368">
        <f>합산자재!I35</f>
        <v>0</v>
      </c>
      <c r="L297" s="369" t="str">
        <f>IF(G297*K297&lt;&gt;0, TRUNC(G297*K297, 1), "")</f>
        <v/>
      </c>
      <c r="M297" s="368">
        <f>합산자재!J35</f>
        <v>0</v>
      </c>
      <c r="N297" s="369" t="str">
        <f>IF(G297*M297&lt;&gt;0, TRUNC(G297*M297, 1), "")</f>
        <v/>
      </c>
      <c r="O297" s="368">
        <f>IF((H297+K297+M297)=0, "", (H297+K297+M297))</f>
        <v>535.68515000000002</v>
      </c>
      <c r="P297" s="368">
        <f>IF(SUM(I297,L297,N297)&lt;&gt;0,SUM(I297,L297,N297),"")</f>
        <v>535.6</v>
      </c>
      <c r="Q297" s="354"/>
    </row>
    <row r="298" spans="1:31" ht="23.25" customHeight="1">
      <c r="A298" s="344" t="s">
        <v>1850</v>
      </c>
      <c r="B298" s="344" t="s">
        <v>1560</v>
      </c>
      <c r="C298" s="365" t="s">
        <v>1850</v>
      </c>
      <c r="D298" s="354" t="s">
        <v>1664</v>
      </c>
      <c r="E298" s="354" t="s">
        <v>1851</v>
      </c>
      <c r="F298" s="355" t="s">
        <v>1852</v>
      </c>
      <c r="G298" s="368">
        <f>일위노임!G126</f>
        <v>0.2</v>
      </c>
      <c r="H298" s="368">
        <f>합산자재!H120</f>
        <v>0</v>
      </c>
      <c r="I298" s="369" t="str">
        <f>IF(G298*H298&lt;&gt;0, TRUNC(G298*H298, 1), "")</f>
        <v/>
      </c>
      <c r="J298" s="368">
        <v>0.2</v>
      </c>
      <c r="K298" s="368">
        <f>합산자재!I120</f>
        <v>229252.87931000002</v>
      </c>
      <c r="L298" s="369">
        <f>IF(G298*K298&lt;&gt;0, TRUNC(G298*K298, 1), "")</f>
        <v>45850.5</v>
      </c>
      <c r="M298" s="368">
        <f>합산자재!J120</f>
        <v>0</v>
      </c>
      <c r="N298" s="369" t="str">
        <f>IF(G298*M298&lt;&gt;0, TRUNC(G298*M298, 1), "")</f>
        <v/>
      </c>
      <c r="O298" s="368">
        <f>IF((H298+K298+M298)=0, "", (H298+K298+M298))</f>
        <v>229252.87931000002</v>
      </c>
      <c r="P298" s="368">
        <f>IF(SUM(I298,L298,N298)&lt;&gt;0,SUM(I298,L298,N298),"")</f>
        <v>45850.5</v>
      </c>
      <c r="Q298" s="354"/>
      <c r="AE298" s="347">
        <f>L298</f>
        <v>45850.5</v>
      </c>
    </row>
    <row r="299" spans="1:31" ht="23.25" customHeight="1">
      <c r="A299" s="344" t="s">
        <v>1853</v>
      </c>
      <c r="B299" s="344" t="s">
        <v>1560</v>
      </c>
      <c r="C299" s="365" t="s">
        <v>1853</v>
      </c>
      <c r="D299" s="354" t="s">
        <v>1854</v>
      </c>
      <c r="E299" s="354" t="s">
        <v>1855</v>
      </c>
      <c r="F299" s="355" t="s">
        <v>212</v>
      </c>
      <c r="G299" s="368">
        <v>1</v>
      </c>
      <c r="H299" s="368">
        <f>IF(TRUNC((AD300+AC300)/$AE$3,1)*$AE$3-AD300 &lt;0, AC300, TRUNC((AD300+AC300)/$AE$3,1)*$AE$3-AD300)</f>
        <v>917</v>
      </c>
      <c r="I299" s="369">
        <f>H299</f>
        <v>917</v>
      </c>
      <c r="J299" s="368">
        <v>1</v>
      </c>
      <c r="K299" s="368"/>
      <c r="L299" s="369" t="str">
        <f>IF(G299*K299&lt;&gt;0, TRUNC(G299*K299, 1), "")</f>
        <v/>
      </c>
      <c r="M299" s="368"/>
      <c r="N299" s="369" t="str">
        <f>IF(G299*M299&lt;&gt;0, TRUNC(G299*M299, 1), "")</f>
        <v/>
      </c>
      <c r="O299" s="368">
        <f>IF((H299+K299+M299)=0, "", (H299+K299+M299))</f>
        <v>917</v>
      </c>
      <c r="P299" s="368">
        <f>IF(SUM(I299,L299,N299)&lt;&gt;0,SUM(I299,L299,N299),"")</f>
        <v>917</v>
      </c>
      <c r="Q299" s="354"/>
    </row>
    <row r="300" spans="1:31" ht="23.25" customHeight="1">
      <c r="B300" s="344" t="s">
        <v>715</v>
      </c>
      <c r="D300" s="354" t="s">
        <v>216</v>
      </c>
      <c r="E300" s="354"/>
      <c r="F300" s="355"/>
      <c r="G300" s="368"/>
      <c r="H300" s="368"/>
      <c r="I300" s="369">
        <f>TRUNC(SUM(I296:I299))</f>
        <v>1452</v>
      </c>
      <c r="J300" s="368"/>
      <c r="K300" s="368"/>
      <c r="L300" s="369">
        <f>TRUNC(SUM(L296:L299))</f>
        <v>45850</v>
      </c>
      <c r="M300" s="368"/>
      <c r="N300" s="369">
        <f>TRUNC(SUM(N296:N299))</f>
        <v>0</v>
      </c>
      <c r="O300" s="368" t="str">
        <f>IF((H300+K300+M300)=0, "", (H300+K300+M300))</f>
        <v/>
      </c>
      <c r="P300" s="368">
        <f>IF(SUM(I300,L300,N300)&lt;&gt;0,SUM(I300,L300,N300),"")</f>
        <v>47302</v>
      </c>
      <c r="Q300" s="354"/>
      <c r="AC300" s="347">
        <f>TRUNC(AE300*옵션!$B$36/100,1)</f>
        <v>917</v>
      </c>
      <c r="AD300" s="347">
        <f>TRUNC(SUM(L296:L298))</f>
        <v>45850</v>
      </c>
      <c r="AE300" s="347">
        <f>TRUNC(SUM(AE296:AE299))</f>
        <v>45850</v>
      </c>
    </row>
    <row r="301" spans="1:31" ht="23.25" customHeight="1">
      <c r="D301" s="354"/>
      <c r="E301" s="354"/>
      <c r="F301" s="355"/>
      <c r="G301" s="368"/>
      <c r="H301" s="368"/>
      <c r="I301" s="369"/>
      <c r="J301" s="368"/>
      <c r="K301" s="368"/>
      <c r="L301" s="369"/>
      <c r="M301" s="368"/>
      <c r="N301" s="369"/>
      <c r="O301" s="368"/>
      <c r="P301" s="368"/>
      <c r="Q301" s="354"/>
    </row>
    <row r="302" spans="1:31" ht="23.25" customHeight="1">
      <c r="A302" s="344" t="s">
        <v>881</v>
      </c>
      <c r="B302" s="344" t="s">
        <v>1833</v>
      </c>
      <c r="C302" s="365" t="s">
        <v>2031</v>
      </c>
      <c r="D302" s="714" t="s">
        <v>2032</v>
      </c>
      <c r="E302" s="715"/>
      <c r="F302" s="355"/>
      <c r="G302" s="368"/>
      <c r="H302" s="368"/>
      <c r="I302" s="369"/>
      <c r="J302" s="368"/>
      <c r="K302" s="368"/>
      <c r="L302" s="369"/>
      <c r="M302" s="368"/>
      <c r="N302" s="369"/>
      <c r="O302" s="368"/>
      <c r="P302" s="368"/>
      <c r="Q302" s="354"/>
    </row>
    <row r="303" spans="1:31" ht="23.25" customHeight="1">
      <c r="A303" s="344" t="s">
        <v>2033</v>
      </c>
      <c r="B303" s="344" t="s">
        <v>1562</v>
      </c>
      <c r="C303" s="365" t="s">
        <v>2033</v>
      </c>
      <c r="D303" s="354" t="s">
        <v>454</v>
      </c>
      <c r="E303" s="354" t="s">
        <v>455</v>
      </c>
      <c r="F303" s="355" t="s">
        <v>265</v>
      </c>
      <c r="G303" s="368">
        <v>1</v>
      </c>
      <c r="H303" s="368">
        <f>합산자재!H36</f>
        <v>249.69126000000003</v>
      </c>
      <c r="I303" s="369">
        <f>IF(G303*H303&lt;&gt;0, TRUNC(G303*H303, 1), "")</f>
        <v>249.6</v>
      </c>
      <c r="J303" s="368">
        <v>1</v>
      </c>
      <c r="K303" s="368">
        <f>합산자재!I36</f>
        <v>0</v>
      </c>
      <c r="L303" s="369" t="str">
        <f>IF(G303*K303&lt;&gt;0, TRUNC(G303*K303, 1), "")</f>
        <v/>
      </c>
      <c r="M303" s="368">
        <f>합산자재!J36</f>
        <v>0</v>
      </c>
      <c r="N303" s="369" t="str">
        <f>IF(G303*M303&lt;&gt;0, TRUNC(G303*M303, 1), "")</f>
        <v/>
      </c>
      <c r="O303" s="368">
        <f>IF((H303+K303+M303)=0, "", (H303+K303+M303))</f>
        <v>249.69126000000003</v>
      </c>
      <c r="P303" s="368">
        <f>IF(SUM(I303,L303,N303)&lt;&gt;0,SUM(I303,L303,N303),"")</f>
        <v>249.6</v>
      </c>
      <c r="Q303" s="354"/>
    </row>
    <row r="304" spans="1:31" ht="23.25" customHeight="1">
      <c r="B304" s="344" t="s">
        <v>715</v>
      </c>
      <c r="D304" s="354" t="s">
        <v>216</v>
      </c>
      <c r="E304" s="354"/>
      <c r="F304" s="355"/>
      <c r="G304" s="368"/>
      <c r="H304" s="368"/>
      <c r="I304" s="369">
        <f>TRUNC(SUM(I302:I303))</f>
        <v>249</v>
      </c>
      <c r="J304" s="368"/>
      <c r="K304" s="368"/>
      <c r="L304" s="369">
        <f>TRUNC(SUM(L302:L303))</f>
        <v>0</v>
      </c>
      <c r="M304" s="368"/>
      <c r="N304" s="369">
        <f>TRUNC(SUM(N302:N303))</f>
        <v>0</v>
      </c>
      <c r="O304" s="368" t="str">
        <f>IF((H304+K304+M304)=0, "", (H304+K304+M304))</f>
        <v/>
      </c>
      <c r="P304" s="368">
        <f>IF(SUM(I304,L304,N304)&lt;&gt;0,SUM(I304,L304,N304),"")</f>
        <v>249</v>
      </c>
      <c r="Q304" s="354"/>
      <c r="AE304" s="347">
        <f>TRUNC(SUM(AE302:AE303))</f>
        <v>0</v>
      </c>
    </row>
    <row r="305" spans="1:31" ht="23.25" customHeight="1">
      <c r="D305" s="354"/>
      <c r="E305" s="354"/>
      <c r="F305" s="355"/>
      <c r="G305" s="368"/>
      <c r="H305" s="368"/>
      <c r="I305" s="369"/>
      <c r="J305" s="368"/>
      <c r="K305" s="368"/>
      <c r="L305" s="369"/>
      <c r="M305" s="368"/>
      <c r="N305" s="369"/>
      <c r="O305" s="368"/>
      <c r="P305" s="368"/>
      <c r="Q305" s="354"/>
    </row>
    <row r="306" spans="1:31" ht="23.25" customHeight="1">
      <c r="A306" s="344" t="s">
        <v>885</v>
      </c>
      <c r="B306" s="344" t="s">
        <v>1833</v>
      </c>
      <c r="C306" s="365" t="s">
        <v>2034</v>
      </c>
      <c r="D306" s="714" t="s">
        <v>2035</v>
      </c>
      <c r="E306" s="715"/>
      <c r="F306" s="355"/>
      <c r="G306" s="368"/>
      <c r="H306" s="368"/>
      <c r="I306" s="369"/>
      <c r="J306" s="368"/>
      <c r="K306" s="368"/>
      <c r="L306" s="369"/>
      <c r="M306" s="368"/>
      <c r="N306" s="369"/>
      <c r="O306" s="368"/>
      <c r="P306" s="368"/>
      <c r="Q306" s="354"/>
    </row>
    <row r="307" spans="1:31" ht="23.25" customHeight="1">
      <c r="A307" s="344" t="s">
        <v>2036</v>
      </c>
      <c r="B307" s="344" t="s">
        <v>1564</v>
      </c>
      <c r="C307" s="365" t="s">
        <v>2036</v>
      </c>
      <c r="D307" s="354" t="s">
        <v>454</v>
      </c>
      <c r="E307" s="354" t="s">
        <v>456</v>
      </c>
      <c r="F307" s="355" t="s">
        <v>265</v>
      </c>
      <c r="G307" s="368">
        <v>1</v>
      </c>
      <c r="H307" s="368">
        <f>합산자재!H37</f>
        <v>253.23298000000003</v>
      </c>
      <c r="I307" s="369">
        <f>IF(G307*H307&lt;&gt;0, TRUNC(G307*H307, 1), "")</f>
        <v>253.2</v>
      </c>
      <c r="J307" s="368">
        <v>1</v>
      </c>
      <c r="K307" s="368">
        <f>합산자재!I37</f>
        <v>0</v>
      </c>
      <c r="L307" s="369" t="str">
        <f>IF(G307*K307&lt;&gt;0, TRUNC(G307*K307, 1), "")</f>
        <v/>
      </c>
      <c r="M307" s="368">
        <f>합산자재!J37</f>
        <v>0</v>
      </c>
      <c r="N307" s="369" t="str">
        <f>IF(G307*M307&lt;&gt;0, TRUNC(G307*M307, 1), "")</f>
        <v/>
      </c>
      <c r="O307" s="368">
        <f>IF((H307+K307+M307)=0, "", (H307+K307+M307))</f>
        <v>253.23298000000003</v>
      </c>
      <c r="P307" s="368">
        <f>IF(SUM(I307,L307,N307)&lt;&gt;0,SUM(I307,L307,N307),"")</f>
        <v>253.2</v>
      </c>
      <c r="Q307" s="354"/>
    </row>
    <row r="308" spans="1:31" ht="23.25" customHeight="1">
      <c r="B308" s="344" t="s">
        <v>715</v>
      </c>
      <c r="D308" s="354" t="s">
        <v>216</v>
      </c>
      <c r="E308" s="354"/>
      <c r="F308" s="355"/>
      <c r="G308" s="368"/>
      <c r="H308" s="368"/>
      <c r="I308" s="369">
        <f>TRUNC(SUM(I306:I307))</f>
        <v>253</v>
      </c>
      <c r="J308" s="368"/>
      <c r="K308" s="368"/>
      <c r="L308" s="369">
        <f>TRUNC(SUM(L306:L307))</f>
        <v>0</v>
      </c>
      <c r="M308" s="368"/>
      <c r="N308" s="369">
        <f>TRUNC(SUM(N306:N307))</f>
        <v>0</v>
      </c>
      <c r="O308" s="368" t="str">
        <f>IF((H308+K308+M308)=0, "", (H308+K308+M308))</f>
        <v/>
      </c>
      <c r="P308" s="368">
        <f>IF(SUM(I308,L308,N308)&lt;&gt;0,SUM(I308,L308,N308),"")</f>
        <v>253</v>
      </c>
      <c r="Q308" s="354"/>
      <c r="AE308" s="347">
        <f>TRUNC(SUM(AE306:AE307))</f>
        <v>0</v>
      </c>
    </row>
    <row r="309" spans="1:31" ht="23.25" customHeight="1">
      <c r="D309" s="354"/>
      <c r="E309" s="354"/>
      <c r="F309" s="355"/>
      <c r="G309" s="368"/>
      <c r="H309" s="368"/>
      <c r="I309" s="369"/>
      <c r="J309" s="368"/>
      <c r="K309" s="368"/>
      <c r="L309" s="369"/>
      <c r="M309" s="368"/>
      <c r="N309" s="369"/>
      <c r="O309" s="368"/>
      <c r="P309" s="368"/>
      <c r="Q309" s="354"/>
    </row>
    <row r="310" spans="1:31" ht="23.25" customHeight="1">
      <c r="A310" s="344" t="s">
        <v>888</v>
      </c>
      <c r="B310" s="344" t="s">
        <v>1833</v>
      </c>
      <c r="C310" s="365" t="s">
        <v>2037</v>
      </c>
      <c r="D310" s="714" t="s">
        <v>2038</v>
      </c>
      <c r="E310" s="715"/>
      <c r="F310" s="355"/>
      <c r="G310" s="368"/>
      <c r="H310" s="368"/>
      <c r="I310" s="369"/>
      <c r="J310" s="368"/>
      <c r="K310" s="368"/>
      <c r="L310" s="369"/>
      <c r="M310" s="368"/>
      <c r="N310" s="369"/>
      <c r="O310" s="368"/>
      <c r="P310" s="368"/>
      <c r="Q310" s="354"/>
    </row>
    <row r="311" spans="1:31" ht="23.25" customHeight="1">
      <c r="A311" s="344" t="s">
        <v>2039</v>
      </c>
      <c r="B311" s="344" t="s">
        <v>1565</v>
      </c>
      <c r="C311" s="365" t="s">
        <v>2039</v>
      </c>
      <c r="D311" s="354" t="s">
        <v>454</v>
      </c>
      <c r="E311" s="354" t="s">
        <v>457</v>
      </c>
      <c r="F311" s="355" t="s">
        <v>265</v>
      </c>
      <c r="G311" s="368">
        <v>1</v>
      </c>
      <c r="H311" s="368">
        <f>합산자재!H38</f>
        <v>250.57669000000001</v>
      </c>
      <c r="I311" s="369">
        <f>IF(G311*H311&lt;&gt;0, TRUNC(G311*H311, 1), "")</f>
        <v>250.5</v>
      </c>
      <c r="J311" s="368">
        <v>1</v>
      </c>
      <c r="K311" s="368">
        <f>합산자재!I38</f>
        <v>0</v>
      </c>
      <c r="L311" s="369" t="str">
        <f>IF(G311*K311&lt;&gt;0, TRUNC(G311*K311, 1), "")</f>
        <v/>
      </c>
      <c r="M311" s="368">
        <f>합산자재!J38</f>
        <v>0</v>
      </c>
      <c r="N311" s="369" t="str">
        <f>IF(G311*M311&lt;&gt;0, TRUNC(G311*M311, 1), "")</f>
        <v/>
      </c>
      <c r="O311" s="368">
        <f>IF((H311+K311+M311)=0, "", (H311+K311+M311))</f>
        <v>250.57669000000001</v>
      </c>
      <c r="P311" s="368">
        <f>IF(SUM(I311,L311,N311)&lt;&gt;0,SUM(I311,L311,N311),"")</f>
        <v>250.5</v>
      </c>
      <c r="Q311" s="354"/>
    </row>
    <row r="312" spans="1:31" ht="23.25" customHeight="1">
      <c r="B312" s="344" t="s">
        <v>715</v>
      </c>
      <c r="D312" s="354" t="s">
        <v>216</v>
      </c>
      <c r="E312" s="354"/>
      <c r="F312" s="355"/>
      <c r="G312" s="368"/>
      <c r="H312" s="368"/>
      <c r="I312" s="369">
        <f>TRUNC(SUM(I310:I311))</f>
        <v>250</v>
      </c>
      <c r="J312" s="368"/>
      <c r="K312" s="368"/>
      <c r="L312" s="369">
        <f>TRUNC(SUM(L310:L311))</f>
        <v>0</v>
      </c>
      <c r="M312" s="368"/>
      <c r="N312" s="369">
        <f>TRUNC(SUM(N310:N311))</f>
        <v>0</v>
      </c>
      <c r="O312" s="368" t="str">
        <f>IF((H312+K312+M312)=0, "", (H312+K312+M312))</f>
        <v/>
      </c>
      <c r="P312" s="368">
        <f>IF(SUM(I312,L312,N312)&lt;&gt;0,SUM(I312,L312,N312),"")</f>
        <v>250</v>
      </c>
      <c r="Q312" s="354"/>
      <c r="AE312" s="347">
        <f>TRUNC(SUM(AE310:AE311))</f>
        <v>0</v>
      </c>
    </row>
    <row r="313" spans="1:31" ht="23.25" customHeight="1">
      <c r="D313" s="354"/>
      <c r="E313" s="354"/>
      <c r="F313" s="355"/>
      <c r="G313" s="368"/>
      <c r="H313" s="368"/>
      <c r="I313" s="369"/>
      <c r="J313" s="368"/>
      <c r="K313" s="368"/>
      <c r="L313" s="369"/>
      <c r="M313" s="368"/>
      <c r="N313" s="369"/>
      <c r="O313" s="368"/>
      <c r="P313" s="368"/>
      <c r="Q313" s="354"/>
    </row>
    <row r="314" spans="1:31" ht="23.25" customHeight="1">
      <c r="A314" s="344" t="s">
        <v>842</v>
      </c>
      <c r="B314" s="344" t="s">
        <v>1833</v>
      </c>
      <c r="C314" s="365" t="s">
        <v>2040</v>
      </c>
      <c r="D314" s="714" t="s">
        <v>2041</v>
      </c>
      <c r="E314" s="715"/>
      <c r="F314" s="355"/>
      <c r="G314" s="368"/>
      <c r="H314" s="368"/>
      <c r="I314" s="369"/>
      <c r="J314" s="368"/>
      <c r="K314" s="368"/>
      <c r="L314" s="369"/>
      <c r="M314" s="368"/>
      <c r="N314" s="369"/>
      <c r="O314" s="368"/>
      <c r="P314" s="368"/>
      <c r="Q314" s="354"/>
    </row>
    <row r="315" spans="1:31" ht="23.25" customHeight="1">
      <c r="A315" s="344" t="s">
        <v>2042</v>
      </c>
      <c r="B315" s="344" t="s">
        <v>1566</v>
      </c>
      <c r="C315" s="365" t="s">
        <v>2042</v>
      </c>
      <c r="D315" s="354" t="s">
        <v>439</v>
      </c>
      <c r="E315" s="354" t="s">
        <v>440</v>
      </c>
      <c r="F315" s="355" t="s">
        <v>291</v>
      </c>
      <c r="G315" s="368">
        <v>1</v>
      </c>
      <c r="H315" s="368">
        <f>합산자재!H39</f>
        <v>1820.4440800000002</v>
      </c>
      <c r="I315" s="369">
        <f>IF(G315*H315&lt;&gt;0, TRUNC(G315*H315, 1), "")</f>
        <v>1820.4</v>
      </c>
      <c r="J315" s="368">
        <v>1</v>
      </c>
      <c r="K315" s="368">
        <f>합산자재!I39</f>
        <v>0</v>
      </c>
      <c r="L315" s="369" t="str">
        <f>IF(G315*K315&lt;&gt;0, TRUNC(G315*K315, 1), "")</f>
        <v/>
      </c>
      <c r="M315" s="368">
        <f>합산자재!J39</f>
        <v>0</v>
      </c>
      <c r="N315" s="369" t="str">
        <f>IF(G315*M315&lt;&gt;0, TRUNC(G315*M315, 1), "")</f>
        <v/>
      </c>
      <c r="O315" s="368">
        <f>IF((H315+K315+M315)=0, "", (H315+K315+M315))</f>
        <v>1820.4440800000002</v>
      </c>
      <c r="P315" s="368">
        <f>IF(SUM(I315,L315,N315)&lt;&gt;0,SUM(I315,L315,N315),"")</f>
        <v>1820.4</v>
      </c>
      <c r="Q315" s="354"/>
    </row>
    <row r="316" spans="1:31" ht="23.25" customHeight="1">
      <c r="A316" s="344" t="s">
        <v>1850</v>
      </c>
      <c r="B316" s="344" t="s">
        <v>1566</v>
      </c>
      <c r="C316" s="365" t="s">
        <v>1850</v>
      </c>
      <c r="D316" s="354" t="s">
        <v>1664</v>
      </c>
      <c r="E316" s="354" t="s">
        <v>1851</v>
      </c>
      <c r="F316" s="355" t="s">
        <v>1852</v>
      </c>
      <c r="G316" s="368">
        <f>일위노임!G129</f>
        <v>0.04</v>
      </c>
      <c r="H316" s="368">
        <f>합산자재!H120</f>
        <v>0</v>
      </c>
      <c r="I316" s="369" t="str">
        <f>IF(G316*H316&lt;&gt;0, TRUNC(G316*H316, 1), "")</f>
        <v/>
      </c>
      <c r="J316" s="368">
        <v>0.04</v>
      </c>
      <c r="K316" s="368">
        <f>합산자재!I120</f>
        <v>229252.87931000002</v>
      </c>
      <c r="L316" s="369">
        <f>IF(G316*K316&lt;&gt;0, TRUNC(G316*K316, 1), "")</f>
        <v>9170.1</v>
      </c>
      <c r="M316" s="368">
        <f>합산자재!J120</f>
        <v>0</v>
      </c>
      <c r="N316" s="369" t="str">
        <f>IF(G316*M316&lt;&gt;0, TRUNC(G316*M316, 1), "")</f>
        <v/>
      </c>
      <c r="O316" s="368">
        <f>IF((H316+K316+M316)=0, "", (H316+K316+M316))</f>
        <v>229252.87931000002</v>
      </c>
      <c r="P316" s="368">
        <f>IF(SUM(I316,L316,N316)&lt;&gt;0,SUM(I316,L316,N316),"")</f>
        <v>9170.1</v>
      </c>
      <c r="Q316" s="354"/>
      <c r="AE316" s="347">
        <f>L316</f>
        <v>9170.1</v>
      </c>
    </row>
    <row r="317" spans="1:31" ht="23.25" customHeight="1">
      <c r="A317" s="344" t="s">
        <v>1853</v>
      </c>
      <c r="B317" s="344" t="s">
        <v>1566</v>
      </c>
      <c r="C317" s="365" t="s">
        <v>1853</v>
      </c>
      <c r="D317" s="354" t="s">
        <v>1854</v>
      </c>
      <c r="E317" s="354" t="s">
        <v>1855</v>
      </c>
      <c r="F317" s="355" t="s">
        <v>212</v>
      </c>
      <c r="G317" s="368">
        <v>1</v>
      </c>
      <c r="H317" s="368">
        <f>IF(TRUNC((AD318+AC318)/$AE$3,1)*$AE$3-AD318 &lt;0, AC318, TRUNC((AD318+AC318)/$AE$3,1)*$AE$3-AD318)</f>
        <v>183.39999999999964</v>
      </c>
      <c r="I317" s="369">
        <f>H317</f>
        <v>183.39999999999964</v>
      </c>
      <c r="J317" s="368">
        <v>1</v>
      </c>
      <c r="K317" s="368"/>
      <c r="L317" s="369" t="str">
        <f>IF(G317*K317&lt;&gt;0, TRUNC(G317*K317, 1), "")</f>
        <v/>
      </c>
      <c r="M317" s="368"/>
      <c r="N317" s="369" t="str">
        <f>IF(G317*M317&lt;&gt;0, TRUNC(G317*M317, 1), "")</f>
        <v/>
      </c>
      <c r="O317" s="368">
        <f>IF((H317+K317+M317)=0, "", (H317+K317+M317))</f>
        <v>183.39999999999964</v>
      </c>
      <c r="P317" s="368">
        <f>IF(SUM(I317,L317,N317)&lt;&gt;0,SUM(I317,L317,N317),"")</f>
        <v>183.39999999999964</v>
      </c>
      <c r="Q317" s="354"/>
    </row>
    <row r="318" spans="1:31" ht="23.25" customHeight="1">
      <c r="B318" s="344" t="s">
        <v>715</v>
      </c>
      <c r="D318" s="354" t="s">
        <v>216</v>
      </c>
      <c r="E318" s="354"/>
      <c r="F318" s="355"/>
      <c r="G318" s="368"/>
      <c r="H318" s="368"/>
      <c r="I318" s="369">
        <f>TRUNC(SUM(I314:I317))</f>
        <v>2003</v>
      </c>
      <c r="J318" s="368"/>
      <c r="K318" s="368"/>
      <c r="L318" s="369">
        <f>TRUNC(SUM(L314:L317))</f>
        <v>9170</v>
      </c>
      <c r="M318" s="368"/>
      <c r="N318" s="369">
        <f>TRUNC(SUM(N314:N317))</f>
        <v>0</v>
      </c>
      <c r="O318" s="368" t="str">
        <f>IF((H318+K318+M318)=0, "", (H318+K318+M318))</f>
        <v/>
      </c>
      <c r="P318" s="368">
        <f>IF(SUM(I318,L318,N318)&lt;&gt;0,SUM(I318,L318,N318),"")</f>
        <v>11173</v>
      </c>
      <c r="Q318" s="354"/>
      <c r="AC318" s="347">
        <f>TRUNC(AE318*옵션!$B$36/100,1)</f>
        <v>183.4</v>
      </c>
      <c r="AD318" s="347">
        <f>TRUNC(SUM(L314:L316))</f>
        <v>9170</v>
      </c>
      <c r="AE318" s="347">
        <f>TRUNC(SUM(AE314:AE317))</f>
        <v>9170</v>
      </c>
    </row>
    <row r="319" spans="1:31" ht="23.25" customHeight="1">
      <c r="D319" s="354"/>
      <c r="E319" s="354"/>
      <c r="F319" s="355"/>
      <c r="G319" s="368"/>
      <c r="H319" s="368"/>
      <c r="I319" s="369"/>
      <c r="J319" s="368"/>
      <c r="K319" s="368"/>
      <c r="L319" s="369"/>
      <c r="M319" s="368"/>
      <c r="N319" s="369"/>
      <c r="O319" s="368"/>
      <c r="P319" s="368"/>
      <c r="Q319" s="354"/>
    </row>
    <row r="320" spans="1:31" ht="23.25" customHeight="1">
      <c r="A320" s="344" t="s">
        <v>736</v>
      </c>
      <c r="B320" s="344" t="s">
        <v>1833</v>
      </c>
      <c r="C320" s="365" t="s">
        <v>2043</v>
      </c>
      <c r="D320" s="714" t="s">
        <v>2044</v>
      </c>
      <c r="E320" s="715"/>
      <c r="F320" s="355"/>
      <c r="G320" s="368"/>
      <c r="H320" s="368"/>
      <c r="I320" s="369"/>
      <c r="J320" s="368"/>
      <c r="K320" s="368"/>
      <c r="L320" s="369"/>
      <c r="M320" s="368"/>
      <c r="N320" s="369"/>
      <c r="O320" s="368"/>
      <c r="P320" s="368"/>
      <c r="Q320" s="354"/>
    </row>
    <row r="321" spans="1:31" ht="23.25" customHeight="1">
      <c r="A321" s="344" t="s">
        <v>2045</v>
      </c>
      <c r="B321" s="344" t="s">
        <v>1568</v>
      </c>
      <c r="C321" s="365" t="s">
        <v>2045</v>
      </c>
      <c r="D321" s="354" t="s">
        <v>266</v>
      </c>
      <c r="E321" s="354" t="s">
        <v>351</v>
      </c>
      <c r="F321" s="355" t="s">
        <v>265</v>
      </c>
      <c r="G321" s="368">
        <v>1</v>
      </c>
      <c r="H321" s="368">
        <f>합산자재!H40</f>
        <v>2442.0159400000002</v>
      </c>
      <c r="I321" s="369">
        <f>IF(G321*H321&lt;&gt;0, TRUNC(G321*H321, 1), "")</f>
        <v>2442</v>
      </c>
      <c r="J321" s="368">
        <v>1</v>
      </c>
      <c r="K321" s="368">
        <f>합산자재!I40</f>
        <v>0</v>
      </c>
      <c r="L321" s="369" t="str">
        <f>IF(G321*K321&lt;&gt;0, TRUNC(G321*K321, 1), "")</f>
        <v/>
      </c>
      <c r="M321" s="368">
        <f>합산자재!J40</f>
        <v>0</v>
      </c>
      <c r="N321" s="369" t="str">
        <f>IF(G321*M321&lt;&gt;0, TRUNC(G321*M321, 1), "")</f>
        <v/>
      </c>
      <c r="O321" s="368">
        <f>IF((H321+K321+M321)=0, "", (H321+K321+M321))</f>
        <v>2442.0159400000002</v>
      </c>
      <c r="P321" s="368">
        <f>IF(SUM(I321,L321,N321)&lt;&gt;0,SUM(I321,L321,N321),"")</f>
        <v>2442</v>
      </c>
      <c r="Q321" s="354"/>
    </row>
    <row r="322" spans="1:31" ht="23.25" customHeight="1">
      <c r="A322" s="344" t="s">
        <v>1850</v>
      </c>
      <c r="B322" s="344" t="s">
        <v>1568</v>
      </c>
      <c r="C322" s="365" t="s">
        <v>1850</v>
      </c>
      <c r="D322" s="354" t="s">
        <v>1664</v>
      </c>
      <c r="E322" s="354" t="s">
        <v>1851</v>
      </c>
      <c r="F322" s="355" t="s">
        <v>1852</v>
      </c>
      <c r="G322" s="368">
        <f>일위노임!G132</f>
        <v>0.22</v>
      </c>
      <c r="H322" s="368">
        <f>합산자재!H120</f>
        <v>0</v>
      </c>
      <c r="I322" s="369" t="str">
        <f>IF(G322*H322&lt;&gt;0, TRUNC(G322*H322, 1), "")</f>
        <v/>
      </c>
      <c r="J322" s="368">
        <v>0.22</v>
      </c>
      <c r="K322" s="368">
        <f>합산자재!I120</f>
        <v>229252.87931000002</v>
      </c>
      <c r="L322" s="369">
        <f>IF(G322*K322&lt;&gt;0, TRUNC(G322*K322, 1), "")</f>
        <v>50435.6</v>
      </c>
      <c r="M322" s="368">
        <f>합산자재!J120</f>
        <v>0</v>
      </c>
      <c r="N322" s="369" t="str">
        <f>IF(G322*M322&lt;&gt;0, TRUNC(G322*M322, 1), "")</f>
        <v/>
      </c>
      <c r="O322" s="368">
        <f>IF((H322+K322+M322)=0, "", (H322+K322+M322))</f>
        <v>229252.87931000002</v>
      </c>
      <c r="P322" s="368">
        <f>IF(SUM(I322,L322,N322)&lt;&gt;0,SUM(I322,L322,N322),"")</f>
        <v>50435.6</v>
      </c>
      <c r="Q322" s="354"/>
      <c r="AE322" s="347">
        <f>L322</f>
        <v>50435.6</v>
      </c>
    </row>
    <row r="323" spans="1:31" ht="23.25" customHeight="1">
      <c r="A323" s="344" t="s">
        <v>1853</v>
      </c>
      <c r="B323" s="344" t="s">
        <v>1568</v>
      </c>
      <c r="C323" s="365" t="s">
        <v>1853</v>
      </c>
      <c r="D323" s="354" t="s">
        <v>1854</v>
      </c>
      <c r="E323" s="354" t="s">
        <v>1855</v>
      </c>
      <c r="F323" s="355" t="s">
        <v>212</v>
      </c>
      <c r="G323" s="368">
        <v>1</v>
      </c>
      <c r="H323" s="368">
        <f>IF(TRUNC((AD324+AC324)/$AE$3,1)*$AE$3-AD324 &lt;0, AC324, TRUNC((AD324+AC324)/$AE$3,1)*$AE$3-AD324)</f>
        <v>1008.6999999999971</v>
      </c>
      <c r="I323" s="369">
        <f>H323</f>
        <v>1008.6999999999971</v>
      </c>
      <c r="J323" s="368">
        <v>1</v>
      </c>
      <c r="K323" s="368"/>
      <c r="L323" s="369" t="str">
        <f>IF(G323*K323&lt;&gt;0, TRUNC(G323*K323, 1), "")</f>
        <v/>
      </c>
      <c r="M323" s="368"/>
      <c r="N323" s="369" t="str">
        <f>IF(G323*M323&lt;&gt;0, TRUNC(G323*M323, 1), "")</f>
        <v/>
      </c>
      <c r="O323" s="368">
        <f>IF((H323+K323+M323)=0, "", (H323+K323+M323))</f>
        <v>1008.6999999999971</v>
      </c>
      <c r="P323" s="368">
        <f>IF(SUM(I323,L323,N323)&lt;&gt;0,SUM(I323,L323,N323),"")</f>
        <v>1008.6999999999971</v>
      </c>
      <c r="Q323" s="354"/>
    </row>
    <row r="324" spans="1:31" ht="23.25" customHeight="1">
      <c r="B324" s="344" t="s">
        <v>715</v>
      </c>
      <c r="D324" s="354" t="s">
        <v>216</v>
      </c>
      <c r="E324" s="354"/>
      <c r="F324" s="355"/>
      <c r="G324" s="368"/>
      <c r="H324" s="368"/>
      <c r="I324" s="369">
        <f>TRUNC(SUM(I320:I323))</f>
        <v>3450</v>
      </c>
      <c r="J324" s="368"/>
      <c r="K324" s="368"/>
      <c r="L324" s="369">
        <f>TRUNC(SUM(L320:L323))</f>
        <v>50435</v>
      </c>
      <c r="M324" s="368"/>
      <c r="N324" s="369">
        <f>TRUNC(SUM(N320:N323))</f>
        <v>0</v>
      </c>
      <c r="O324" s="368" t="str">
        <f>IF((H324+K324+M324)=0, "", (H324+K324+M324))</f>
        <v/>
      </c>
      <c r="P324" s="368">
        <f>IF(SUM(I324,L324,N324)&lt;&gt;0,SUM(I324,L324,N324),"")</f>
        <v>53885</v>
      </c>
      <c r="Q324" s="354"/>
      <c r="AC324" s="347">
        <f>TRUNC(AE324*옵션!$B$36/100,1)</f>
        <v>1008.7</v>
      </c>
      <c r="AD324" s="347">
        <f>TRUNC(SUM(L320:L322))</f>
        <v>50435</v>
      </c>
      <c r="AE324" s="347">
        <f>TRUNC(SUM(AE320:AE323))</f>
        <v>50435</v>
      </c>
    </row>
    <row r="325" spans="1:31" ht="23.25" customHeight="1">
      <c r="D325" s="354"/>
      <c r="E325" s="354"/>
      <c r="F325" s="355"/>
      <c r="G325" s="368"/>
      <c r="H325" s="368"/>
      <c r="I325" s="369"/>
      <c r="J325" s="368"/>
      <c r="K325" s="368"/>
      <c r="L325" s="369"/>
      <c r="M325" s="368"/>
      <c r="N325" s="369"/>
      <c r="O325" s="368"/>
      <c r="P325" s="368"/>
      <c r="Q325" s="354"/>
    </row>
    <row r="326" spans="1:31" ht="23.25" customHeight="1">
      <c r="A326" s="344" t="s">
        <v>777</v>
      </c>
      <c r="B326" s="344" t="s">
        <v>1833</v>
      </c>
      <c r="C326" s="365" t="s">
        <v>2046</v>
      </c>
      <c r="D326" s="714" t="s">
        <v>2047</v>
      </c>
      <c r="E326" s="715"/>
      <c r="F326" s="355"/>
      <c r="G326" s="368"/>
      <c r="H326" s="368"/>
      <c r="I326" s="369"/>
      <c r="J326" s="368"/>
      <c r="K326" s="368"/>
      <c r="L326" s="369"/>
      <c r="M326" s="368"/>
      <c r="N326" s="369"/>
      <c r="O326" s="368"/>
      <c r="P326" s="368"/>
      <c r="Q326" s="354"/>
    </row>
    <row r="327" spans="1:31" ht="23.25" customHeight="1">
      <c r="A327" s="344" t="s">
        <v>2048</v>
      </c>
      <c r="B327" s="344" t="s">
        <v>1570</v>
      </c>
      <c r="C327" s="365" t="s">
        <v>2048</v>
      </c>
      <c r="D327" s="354" t="s">
        <v>266</v>
      </c>
      <c r="E327" s="354" t="s">
        <v>402</v>
      </c>
      <c r="F327" s="355" t="s">
        <v>265</v>
      </c>
      <c r="G327" s="368">
        <v>1</v>
      </c>
      <c r="H327" s="368">
        <f>합산자재!H41</f>
        <v>6148.4259200000006</v>
      </c>
      <c r="I327" s="369">
        <f>IF(G327*H327&lt;&gt;0, TRUNC(G327*H327, 1), "")</f>
        <v>6148.4</v>
      </c>
      <c r="J327" s="368">
        <v>1</v>
      </c>
      <c r="K327" s="368">
        <f>합산자재!I41</f>
        <v>0</v>
      </c>
      <c r="L327" s="369" t="str">
        <f>IF(G327*K327&lt;&gt;0, TRUNC(G327*K327, 1), "")</f>
        <v/>
      </c>
      <c r="M327" s="368">
        <f>합산자재!J41</f>
        <v>0</v>
      </c>
      <c r="N327" s="369" t="str">
        <f>IF(G327*M327&lt;&gt;0, TRUNC(G327*M327, 1), "")</f>
        <v/>
      </c>
      <c r="O327" s="368">
        <f>IF((H327+K327+M327)=0, "", (H327+K327+M327))</f>
        <v>6148.4259200000006</v>
      </c>
      <c r="P327" s="368">
        <f>IF(SUM(I327,L327,N327)&lt;&gt;0,SUM(I327,L327,N327),"")</f>
        <v>6148.4</v>
      </c>
      <c r="Q327" s="354"/>
    </row>
    <row r="328" spans="1:31" ht="23.25" customHeight="1">
      <c r="A328" s="344" t="s">
        <v>1850</v>
      </c>
      <c r="B328" s="344" t="s">
        <v>1570</v>
      </c>
      <c r="C328" s="365" t="s">
        <v>1850</v>
      </c>
      <c r="D328" s="354" t="s">
        <v>1664</v>
      </c>
      <c r="E328" s="354" t="s">
        <v>1851</v>
      </c>
      <c r="F328" s="355" t="s">
        <v>1852</v>
      </c>
      <c r="G328" s="368">
        <f>일위노임!G135</f>
        <v>0.22</v>
      </c>
      <c r="H328" s="368">
        <f>합산자재!H120</f>
        <v>0</v>
      </c>
      <c r="I328" s="369" t="str">
        <f>IF(G328*H328&lt;&gt;0, TRUNC(G328*H328, 1), "")</f>
        <v/>
      </c>
      <c r="J328" s="368">
        <v>0.22</v>
      </c>
      <c r="K328" s="368">
        <f>합산자재!I120</f>
        <v>229252.87931000002</v>
      </c>
      <c r="L328" s="369">
        <f>IF(G328*K328&lt;&gt;0, TRUNC(G328*K328, 1), "")</f>
        <v>50435.6</v>
      </c>
      <c r="M328" s="368">
        <f>합산자재!J120</f>
        <v>0</v>
      </c>
      <c r="N328" s="369" t="str">
        <f>IF(G328*M328&lt;&gt;0, TRUNC(G328*M328, 1), "")</f>
        <v/>
      </c>
      <c r="O328" s="368">
        <f>IF((H328+K328+M328)=0, "", (H328+K328+M328))</f>
        <v>229252.87931000002</v>
      </c>
      <c r="P328" s="368">
        <f>IF(SUM(I328,L328,N328)&lt;&gt;0,SUM(I328,L328,N328),"")</f>
        <v>50435.6</v>
      </c>
      <c r="Q328" s="354"/>
      <c r="AE328" s="347">
        <f>L328</f>
        <v>50435.6</v>
      </c>
    </row>
    <row r="329" spans="1:31" ht="23.25" customHeight="1">
      <c r="A329" s="344" t="s">
        <v>1853</v>
      </c>
      <c r="B329" s="344" t="s">
        <v>1570</v>
      </c>
      <c r="C329" s="365" t="s">
        <v>1853</v>
      </c>
      <c r="D329" s="354" t="s">
        <v>1854</v>
      </c>
      <c r="E329" s="354" t="s">
        <v>1855</v>
      </c>
      <c r="F329" s="355" t="s">
        <v>212</v>
      </c>
      <c r="G329" s="368">
        <v>1</v>
      </c>
      <c r="H329" s="368">
        <f>IF(TRUNC((AD330+AC330)/$AE$3,1)*$AE$3-AD330 &lt;0, AC330, TRUNC((AD330+AC330)/$AE$3,1)*$AE$3-AD330)</f>
        <v>1008.6999999999971</v>
      </c>
      <c r="I329" s="369">
        <f>H329</f>
        <v>1008.6999999999971</v>
      </c>
      <c r="J329" s="368">
        <v>1</v>
      </c>
      <c r="K329" s="368"/>
      <c r="L329" s="369" t="str">
        <f>IF(G329*K329&lt;&gt;0, TRUNC(G329*K329, 1), "")</f>
        <v/>
      </c>
      <c r="M329" s="368"/>
      <c r="N329" s="369" t="str">
        <f>IF(G329*M329&lt;&gt;0, TRUNC(G329*M329, 1), "")</f>
        <v/>
      </c>
      <c r="O329" s="368">
        <f>IF((H329+K329+M329)=0, "", (H329+K329+M329))</f>
        <v>1008.6999999999971</v>
      </c>
      <c r="P329" s="368">
        <f>IF(SUM(I329,L329,N329)&lt;&gt;0,SUM(I329,L329,N329),"")</f>
        <v>1008.6999999999971</v>
      </c>
      <c r="Q329" s="354"/>
    </row>
    <row r="330" spans="1:31" ht="23.25" customHeight="1">
      <c r="B330" s="344" t="s">
        <v>715</v>
      </c>
      <c r="D330" s="354" t="s">
        <v>216</v>
      </c>
      <c r="E330" s="354"/>
      <c r="F330" s="355"/>
      <c r="G330" s="368"/>
      <c r="H330" s="368"/>
      <c r="I330" s="369">
        <f>TRUNC(SUM(I326:I329))</f>
        <v>7157</v>
      </c>
      <c r="J330" s="368"/>
      <c r="K330" s="368"/>
      <c r="L330" s="369">
        <f>TRUNC(SUM(L326:L329))</f>
        <v>50435</v>
      </c>
      <c r="M330" s="368"/>
      <c r="N330" s="369">
        <f>TRUNC(SUM(N326:N329))</f>
        <v>0</v>
      </c>
      <c r="O330" s="368" t="str">
        <f>IF((H330+K330+M330)=0, "", (H330+K330+M330))</f>
        <v/>
      </c>
      <c r="P330" s="368">
        <f>IF(SUM(I330,L330,N330)&lt;&gt;0,SUM(I330,L330,N330),"")</f>
        <v>57592</v>
      </c>
      <c r="Q330" s="354"/>
      <c r="AC330" s="347">
        <f>TRUNC(AE330*옵션!$B$36/100,1)</f>
        <v>1008.7</v>
      </c>
      <c r="AD330" s="347">
        <f>TRUNC(SUM(L326:L328))</f>
        <v>50435</v>
      </c>
      <c r="AE330" s="347">
        <f>TRUNC(SUM(AE326:AE329))</f>
        <v>50435</v>
      </c>
    </row>
    <row r="331" spans="1:31" ht="23.25" customHeight="1">
      <c r="D331" s="354"/>
      <c r="E331" s="354"/>
      <c r="F331" s="355"/>
      <c r="G331" s="368"/>
      <c r="H331" s="368"/>
      <c r="I331" s="369"/>
      <c r="J331" s="368"/>
      <c r="K331" s="368"/>
      <c r="L331" s="369"/>
      <c r="M331" s="368"/>
      <c r="N331" s="369"/>
      <c r="O331" s="368"/>
      <c r="P331" s="368"/>
      <c r="Q331" s="354"/>
    </row>
    <row r="332" spans="1:31" ht="23.25" customHeight="1">
      <c r="A332" s="344" t="s">
        <v>780</v>
      </c>
      <c r="B332" s="344" t="s">
        <v>1833</v>
      </c>
      <c r="C332" s="365" t="s">
        <v>2049</v>
      </c>
      <c r="D332" s="714" t="s">
        <v>2050</v>
      </c>
      <c r="E332" s="715"/>
      <c r="F332" s="355"/>
      <c r="G332" s="368"/>
      <c r="H332" s="368"/>
      <c r="I332" s="369"/>
      <c r="J332" s="368"/>
      <c r="K332" s="368"/>
      <c r="L332" s="369"/>
      <c r="M332" s="368"/>
      <c r="N332" s="369"/>
      <c r="O332" s="368"/>
      <c r="P332" s="368"/>
      <c r="Q332" s="354"/>
    </row>
    <row r="333" spans="1:31" ht="23.25" customHeight="1">
      <c r="A333" s="344" t="s">
        <v>2051</v>
      </c>
      <c r="B333" s="344" t="s">
        <v>1572</v>
      </c>
      <c r="C333" s="365" t="s">
        <v>2051</v>
      </c>
      <c r="D333" s="354" t="s">
        <v>266</v>
      </c>
      <c r="E333" s="354" t="s">
        <v>403</v>
      </c>
      <c r="F333" s="355" t="s">
        <v>265</v>
      </c>
      <c r="G333" s="368">
        <v>1</v>
      </c>
      <c r="H333" s="368">
        <f>합산자재!H42</f>
        <v>8338.0943100000004</v>
      </c>
      <c r="I333" s="369">
        <f>IF(G333*H333&lt;&gt;0, TRUNC(G333*H333, 1), "")</f>
        <v>8338</v>
      </c>
      <c r="J333" s="368">
        <v>1</v>
      </c>
      <c r="K333" s="368">
        <f>합산자재!I42</f>
        <v>0</v>
      </c>
      <c r="L333" s="369" t="str">
        <f>IF(G333*K333&lt;&gt;0, TRUNC(G333*K333, 1), "")</f>
        <v/>
      </c>
      <c r="M333" s="368">
        <f>합산자재!J42</f>
        <v>0</v>
      </c>
      <c r="N333" s="369" t="str">
        <f>IF(G333*M333&lt;&gt;0, TRUNC(G333*M333, 1), "")</f>
        <v/>
      </c>
      <c r="O333" s="368">
        <f>IF((H333+K333+M333)=0, "", (H333+K333+M333))</f>
        <v>8338.0943100000004</v>
      </c>
      <c r="P333" s="368">
        <f>IF(SUM(I333,L333,N333)&lt;&gt;0,SUM(I333,L333,N333),"")</f>
        <v>8338</v>
      </c>
      <c r="Q333" s="354"/>
    </row>
    <row r="334" spans="1:31" ht="23.25" customHeight="1">
      <c r="A334" s="344" t="s">
        <v>1850</v>
      </c>
      <c r="B334" s="344" t="s">
        <v>1572</v>
      </c>
      <c r="C334" s="365" t="s">
        <v>1850</v>
      </c>
      <c r="D334" s="354" t="s">
        <v>1664</v>
      </c>
      <c r="E334" s="354" t="s">
        <v>1851</v>
      </c>
      <c r="F334" s="355" t="s">
        <v>1852</v>
      </c>
      <c r="G334" s="368">
        <f>일위노임!G138</f>
        <v>0.35</v>
      </c>
      <c r="H334" s="368">
        <f>합산자재!H120</f>
        <v>0</v>
      </c>
      <c r="I334" s="369" t="str">
        <f>IF(G334*H334&lt;&gt;0, TRUNC(G334*H334, 1), "")</f>
        <v/>
      </c>
      <c r="J334" s="368">
        <v>0.35</v>
      </c>
      <c r="K334" s="368">
        <f>합산자재!I120</f>
        <v>229252.87931000002</v>
      </c>
      <c r="L334" s="369">
        <f>IF(G334*K334&lt;&gt;0, TRUNC(G334*K334, 1), "")</f>
        <v>80238.5</v>
      </c>
      <c r="M334" s="368">
        <f>합산자재!J120</f>
        <v>0</v>
      </c>
      <c r="N334" s="369" t="str">
        <f>IF(G334*M334&lt;&gt;0, TRUNC(G334*M334, 1), "")</f>
        <v/>
      </c>
      <c r="O334" s="368">
        <f>IF((H334+K334+M334)=0, "", (H334+K334+M334))</f>
        <v>229252.87931000002</v>
      </c>
      <c r="P334" s="368">
        <f>IF(SUM(I334,L334,N334)&lt;&gt;0,SUM(I334,L334,N334),"")</f>
        <v>80238.5</v>
      </c>
      <c r="Q334" s="354"/>
      <c r="AE334" s="347">
        <f>L334</f>
        <v>80238.5</v>
      </c>
    </row>
    <row r="335" spans="1:31" ht="23.25" customHeight="1">
      <c r="A335" s="344" t="s">
        <v>1853</v>
      </c>
      <c r="B335" s="344" t="s">
        <v>1572</v>
      </c>
      <c r="C335" s="365" t="s">
        <v>1853</v>
      </c>
      <c r="D335" s="354" t="s">
        <v>1854</v>
      </c>
      <c r="E335" s="354" t="s">
        <v>1855</v>
      </c>
      <c r="F335" s="355" t="s">
        <v>212</v>
      </c>
      <c r="G335" s="368">
        <v>1</v>
      </c>
      <c r="H335" s="368">
        <f>IF(TRUNC((AD336+AC336)/$AE$3,1)*$AE$3-AD336 &lt;0, AC336, TRUNC((AD336+AC336)/$AE$3,1)*$AE$3-AD336)</f>
        <v>1604.6999999999971</v>
      </c>
      <c r="I335" s="369">
        <f>H335</f>
        <v>1604.6999999999971</v>
      </c>
      <c r="J335" s="368">
        <v>1</v>
      </c>
      <c r="K335" s="368"/>
      <c r="L335" s="369" t="str">
        <f>IF(G335*K335&lt;&gt;0, TRUNC(G335*K335, 1), "")</f>
        <v/>
      </c>
      <c r="M335" s="368"/>
      <c r="N335" s="369" t="str">
        <f>IF(G335*M335&lt;&gt;0, TRUNC(G335*M335, 1), "")</f>
        <v/>
      </c>
      <c r="O335" s="368">
        <f>IF((H335+K335+M335)=0, "", (H335+K335+M335))</f>
        <v>1604.6999999999971</v>
      </c>
      <c r="P335" s="368">
        <f>IF(SUM(I335,L335,N335)&lt;&gt;0,SUM(I335,L335,N335),"")</f>
        <v>1604.6999999999971</v>
      </c>
      <c r="Q335" s="354"/>
    </row>
    <row r="336" spans="1:31" ht="23.25" customHeight="1">
      <c r="B336" s="344" t="s">
        <v>715</v>
      </c>
      <c r="D336" s="354" t="s">
        <v>216</v>
      </c>
      <c r="E336" s="354"/>
      <c r="F336" s="355"/>
      <c r="G336" s="368"/>
      <c r="H336" s="368"/>
      <c r="I336" s="369">
        <f>TRUNC(SUM(I332:I335))</f>
        <v>9942</v>
      </c>
      <c r="J336" s="368"/>
      <c r="K336" s="368"/>
      <c r="L336" s="369">
        <f>TRUNC(SUM(L332:L335))</f>
        <v>80238</v>
      </c>
      <c r="M336" s="368"/>
      <c r="N336" s="369">
        <f>TRUNC(SUM(N332:N335))</f>
        <v>0</v>
      </c>
      <c r="O336" s="368" t="str">
        <f>IF((H336+K336+M336)=0, "", (H336+K336+M336))</f>
        <v/>
      </c>
      <c r="P336" s="368">
        <f>IF(SUM(I336,L336,N336)&lt;&gt;0,SUM(I336,L336,N336),"")</f>
        <v>90180</v>
      </c>
      <c r="Q336" s="354"/>
      <c r="AC336" s="347">
        <f>TRUNC(AE336*옵션!$B$36/100,1)</f>
        <v>1604.7</v>
      </c>
      <c r="AD336" s="347">
        <f>TRUNC(SUM(L332:L334))</f>
        <v>80238</v>
      </c>
      <c r="AE336" s="347">
        <f>TRUNC(SUM(AE332:AE335))</f>
        <v>80238</v>
      </c>
    </row>
    <row r="337" spans="1:31" ht="23.25" customHeight="1">
      <c r="D337" s="354"/>
      <c r="E337" s="354"/>
      <c r="F337" s="355"/>
      <c r="G337" s="368"/>
      <c r="H337" s="368"/>
      <c r="I337" s="369"/>
      <c r="J337" s="368"/>
      <c r="K337" s="368"/>
      <c r="L337" s="369"/>
      <c r="M337" s="368"/>
      <c r="N337" s="369"/>
      <c r="O337" s="368"/>
      <c r="P337" s="368"/>
      <c r="Q337" s="354"/>
    </row>
    <row r="338" spans="1:31" ht="23.25" customHeight="1">
      <c r="A338" s="344" t="s">
        <v>620</v>
      </c>
      <c r="B338" s="344" t="s">
        <v>1833</v>
      </c>
      <c r="C338" s="365" t="s">
        <v>2052</v>
      </c>
      <c r="D338" s="714" t="s">
        <v>2053</v>
      </c>
      <c r="E338" s="715"/>
      <c r="F338" s="355"/>
      <c r="G338" s="368"/>
      <c r="H338" s="368"/>
      <c r="I338" s="369"/>
      <c r="J338" s="368"/>
      <c r="K338" s="368"/>
      <c r="L338" s="369"/>
      <c r="M338" s="368"/>
      <c r="N338" s="369"/>
      <c r="O338" s="368"/>
      <c r="P338" s="368"/>
      <c r="Q338" s="354"/>
    </row>
    <row r="339" spans="1:31" ht="23.25" customHeight="1">
      <c r="A339" s="344" t="s">
        <v>2054</v>
      </c>
      <c r="B339" s="344" t="s">
        <v>1573</v>
      </c>
      <c r="C339" s="365" t="s">
        <v>2054</v>
      </c>
      <c r="D339" s="354" t="s">
        <v>266</v>
      </c>
      <c r="E339" s="354" t="s">
        <v>267</v>
      </c>
      <c r="F339" s="355" t="s">
        <v>265</v>
      </c>
      <c r="G339" s="368">
        <v>1</v>
      </c>
      <c r="H339" s="368">
        <f>합산자재!H43</f>
        <v>19341.332920000001</v>
      </c>
      <c r="I339" s="369">
        <f>IF(G339*H339&lt;&gt;0, TRUNC(G339*H339, 1), "")</f>
        <v>19341.3</v>
      </c>
      <c r="J339" s="368">
        <v>1</v>
      </c>
      <c r="K339" s="368">
        <f>합산자재!I43</f>
        <v>0</v>
      </c>
      <c r="L339" s="369" t="str">
        <f>IF(G339*K339&lt;&gt;0, TRUNC(G339*K339, 1), "")</f>
        <v/>
      </c>
      <c r="M339" s="368">
        <f>합산자재!J43</f>
        <v>0</v>
      </c>
      <c r="N339" s="369" t="str">
        <f>IF(G339*M339&lt;&gt;0, TRUNC(G339*M339, 1), "")</f>
        <v/>
      </c>
      <c r="O339" s="368">
        <f>IF((H339+K339+M339)=0, "", (H339+K339+M339))</f>
        <v>19341.332920000001</v>
      </c>
      <c r="P339" s="368">
        <f>IF(SUM(I339,L339,N339)&lt;&gt;0,SUM(I339,L339,N339),"")</f>
        <v>19341.3</v>
      </c>
      <c r="Q339" s="354"/>
    </row>
    <row r="340" spans="1:31" ht="23.25" customHeight="1">
      <c r="A340" s="344" t="s">
        <v>1850</v>
      </c>
      <c r="B340" s="344" t="s">
        <v>1573</v>
      </c>
      <c r="C340" s="365" t="s">
        <v>1850</v>
      </c>
      <c r="D340" s="354" t="s">
        <v>1664</v>
      </c>
      <c r="E340" s="354" t="s">
        <v>1851</v>
      </c>
      <c r="F340" s="355" t="s">
        <v>1852</v>
      </c>
      <c r="G340" s="368">
        <f>일위노임!G141</f>
        <v>0.35</v>
      </c>
      <c r="H340" s="368">
        <f>합산자재!H120</f>
        <v>0</v>
      </c>
      <c r="I340" s="369" t="str">
        <f>IF(G340*H340&lt;&gt;0, TRUNC(G340*H340, 1), "")</f>
        <v/>
      </c>
      <c r="J340" s="368">
        <v>0.35</v>
      </c>
      <c r="K340" s="368">
        <f>합산자재!I120</f>
        <v>229252.87931000002</v>
      </c>
      <c r="L340" s="369">
        <f>IF(G340*K340&lt;&gt;0, TRUNC(G340*K340, 1), "")</f>
        <v>80238.5</v>
      </c>
      <c r="M340" s="368">
        <f>합산자재!J120</f>
        <v>0</v>
      </c>
      <c r="N340" s="369" t="str">
        <f>IF(G340*M340&lt;&gt;0, TRUNC(G340*M340, 1), "")</f>
        <v/>
      </c>
      <c r="O340" s="368">
        <f>IF((H340+K340+M340)=0, "", (H340+K340+M340))</f>
        <v>229252.87931000002</v>
      </c>
      <c r="P340" s="368">
        <f>IF(SUM(I340,L340,N340)&lt;&gt;0,SUM(I340,L340,N340),"")</f>
        <v>80238.5</v>
      </c>
      <c r="Q340" s="354"/>
      <c r="AE340" s="347">
        <f>L340</f>
        <v>80238.5</v>
      </c>
    </row>
    <row r="341" spans="1:31" ht="23.25" customHeight="1">
      <c r="A341" s="344" t="s">
        <v>1853</v>
      </c>
      <c r="B341" s="344" t="s">
        <v>1573</v>
      </c>
      <c r="C341" s="365" t="s">
        <v>1853</v>
      </c>
      <c r="D341" s="354" t="s">
        <v>1854</v>
      </c>
      <c r="E341" s="354" t="s">
        <v>1855</v>
      </c>
      <c r="F341" s="355" t="s">
        <v>212</v>
      </c>
      <c r="G341" s="368">
        <v>1</v>
      </c>
      <c r="H341" s="368">
        <f>IF(TRUNC((AD342+AC342)/$AE$3,1)*$AE$3-AD342 &lt;0, AC342, TRUNC((AD342+AC342)/$AE$3,1)*$AE$3-AD342)</f>
        <v>1604.6999999999971</v>
      </c>
      <c r="I341" s="369">
        <f>H341</f>
        <v>1604.6999999999971</v>
      </c>
      <c r="J341" s="368">
        <v>1</v>
      </c>
      <c r="K341" s="368"/>
      <c r="L341" s="369" t="str">
        <f>IF(G341*K341&lt;&gt;0, TRUNC(G341*K341, 1), "")</f>
        <v/>
      </c>
      <c r="M341" s="368"/>
      <c r="N341" s="369" t="str">
        <f>IF(G341*M341&lt;&gt;0, TRUNC(G341*M341, 1), "")</f>
        <v/>
      </c>
      <c r="O341" s="368">
        <f>IF((H341+K341+M341)=0, "", (H341+K341+M341))</f>
        <v>1604.6999999999971</v>
      </c>
      <c r="P341" s="368">
        <f>IF(SUM(I341,L341,N341)&lt;&gt;0,SUM(I341,L341,N341),"")</f>
        <v>1604.6999999999971</v>
      </c>
      <c r="Q341" s="354"/>
    </row>
    <row r="342" spans="1:31" ht="23.25" customHeight="1">
      <c r="B342" s="344" t="s">
        <v>715</v>
      </c>
      <c r="D342" s="354" t="s">
        <v>216</v>
      </c>
      <c r="E342" s="354"/>
      <c r="F342" s="355"/>
      <c r="G342" s="368"/>
      <c r="H342" s="368"/>
      <c r="I342" s="369">
        <f>TRUNC(SUM(I338:I341))</f>
        <v>20946</v>
      </c>
      <c r="J342" s="368"/>
      <c r="K342" s="368"/>
      <c r="L342" s="369">
        <f>TRUNC(SUM(L338:L341))</f>
        <v>80238</v>
      </c>
      <c r="M342" s="368"/>
      <c r="N342" s="369">
        <f>TRUNC(SUM(N338:N341))</f>
        <v>0</v>
      </c>
      <c r="O342" s="368" t="str">
        <f>IF((H342+K342+M342)=0, "", (H342+K342+M342))</f>
        <v/>
      </c>
      <c r="P342" s="368">
        <f>IF(SUM(I342,L342,N342)&lt;&gt;0,SUM(I342,L342,N342),"")</f>
        <v>101184</v>
      </c>
      <c r="Q342" s="354"/>
      <c r="AC342" s="347">
        <f>TRUNC(AE342*옵션!$B$36/100,1)</f>
        <v>1604.7</v>
      </c>
      <c r="AD342" s="347">
        <f>TRUNC(SUM(L338:L340))</f>
        <v>80238</v>
      </c>
      <c r="AE342" s="347">
        <f>TRUNC(SUM(AE338:AE341))</f>
        <v>80238</v>
      </c>
    </row>
    <row r="343" spans="1:31" ht="23.25" customHeight="1">
      <c r="D343" s="354"/>
      <c r="E343" s="354"/>
      <c r="F343" s="355"/>
      <c r="G343" s="368"/>
      <c r="H343" s="368"/>
      <c r="I343" s="369"/>
      <c r="J343" s="368"/>
      <c r="K343" s="368"/>
      <c r="L343" s="369"/>
      <c r="M343" s="368"/>
      <c r="N343" s="369"/>
      <c r="O343" s="368"/>
      <c r="P343" s="368"/>
      <c r="Q343" s="354"/>
    </row>
    <row r="344" spans="1:31" ht="23.25" customHeight="1">
      <c r="A344" s="344" t="s">
        <v>891</v>
      </c>
      <c r="B344" s="344" t="s">
        <v>1833</v>
      </c>
      <c r="C344" s="365" t="s">
        <v>2055</v>
      </c>
      <c r="D344" s="714" t="s">
        <v>2056</v>
      </c>
      <c r="E344" s="715"/>
      <c r="F344" s="355"/>
      <c r="G344" s="368"/>
      <c r="H344" s="368"/>
      <c r="I344" s="369"/>
      <c r="J344" s="368"/>
      <c r="K344" s="368"/>
      <c r="L344" s="369"/>
      <c r="M344" s="368"/>
      <c r="N344" s="369"/>
      <c r="O344" s="368"/>
      <c r="P344" s="368"/>
      <c r="Q344" s="354"/>
    </row>
    <row r="345" spans="1:31" ht="23.25" customHeight="1">
      <c r="A345" s="344" t="s">
        <v>2057</v>
      </c>
      <c r="B345" s="344" t="s">
        <v>1575</v>
      </c>
      <c r="C345" s="365" t="s">
        <v>2057</v>
      </c>
      <c r="D345" s="354" t="s">
        <v>441</v>
      </c>
      <c r="E345" s="354" t="s">
        <v>458</v>
      </c>
      <c r="F345" s="355" t="s">
        <v>255</v>
      </c>
      <c r="G345" s="368">
        <v>1</v>
      </c>
      <c r="H345" s="368">
        <f>합산자재!H49</f>
        <v>401.98522000000003</v>
      </c>
      <c r="I345" s="369">
        <f>IF(G345*H345&lt;&gt;0, TRUNC(G345*H345, 1), "")</f>
        <v>401.9</v>
      </c>
      <c r="J345" s="368">
        <v>1</v>
      </c>
      <c r="K345" s="368">
        <f>합산자재!I49</f>
        <v>0</v>
      </c>
      <c r="L345" s="369" t="str">
        <f>IF(G345*K345&lt;&gt;0, TRUNC(G345*K345, 1), "")</f>
        <v/>
      </c>
      <c r="M345" s="368">
        <f>합산자재!J49</f>
        <v>0</v>
      </c>
      <c r="N345" s="369" t="str">
        <f>IF(G345*M345&lt;&gt;0, TRUNC(G345*M345, 1), "")</f>
        <v/>
      </c>
      <c r="O345" s="368">
        <f>IF((H345+K345+M345)=0, "", (H345+K345+M345))</f>
        <v>401.98522000000003</v>
      </c>
      <c r="P345" s="368">
        <f>IF(SUM(I345,L345,N345)&lt;&gt;0,SUM(I345,L345,N345),"")</f>
        <v>401.9</v>
      </c>
      <c r="Q345" s="354"/>
      <c r="AC345" s="347">
        <f>G345*H345</f>
        <v>401.98522000000003</v>
      </c>
    </row>
    <row r="346" spans="1:31" ht="23.25" customHeight="1">
      <c r="A346" s="344" t="s">
        <v>1885</v>
      </c>
      <c r="B346" s="344" t="s">
        <v>1575</v>
      </c>
      <c r="C346" s="365" t="s">
        <v>1885</v>
      </c>
      <c r="D346" s="354" t="s">
        <v>1886</v>
      </c>
      <c r="E346" s="354" t="s">
        <v>1887</v>
      </c>
      <c r="F346" s="355" t="s">
        <v>212</v>
      </c>
      <c r="G346" s="368">
        <v>1</v>
      </c>
      <c r="H346" s="368">
        <f>IF(TRUNC((AD346+AC346)/$AD$3,1)*$AD$3-AD346 &lt;0, AC346, TRUNC((AD346+AC346)/$AD$3,1)*$AD$3-AD346)</f>
        <v>8</v>
      </c>
      <c r="I346" s="369">
        <f>H346</f>
        <v>8</v>
      </c>
      <c r="J346" s="368">
        <v>1</v>
      </c>
      <c r="K346" s="368"/>
      <c r="L346" s="369" t="str">
        <f>IF(G346*K346&lt;&gt;0, TRUNC(G346*K346, 1), "")</f>
        <v/>
      </c>
      <c r="M346" s="368"/>
      <c r="N346" s="369" t="str">
        <f>IF(G346*M346&lt;&gt;0, TRUNC(G346*M346, 1), "")</f>
        <v/>
      </c>
      <c r="O346" s="368">
        <f>IF((H346+K346+M346)=0, "", (H346+K346+M346))</f>
        <v>8</v>
      </c>
      <c r="P346" s="368">
        <f>IF(SUM(I346,L346,N346)&lt;&gt;0,SUM(I346,L346,N346),"")</f>
        <v>8</v>
      </c>
      <c r="Q346" s="354"/>
      <c r="AC346" s="347">
        <f>TRUNC(TRUNC(SUM(AC344:AC345))*옵션!$B$33/100,1)</f>
        <v>8</v>
      </c>
      <c r="AD346" s="347">
        <f>TRUNC(SUM(I344:I345))+TRUNC(SUM(N344:N345))</f>
        <v>401</v>
      </c>
    </row>
    <row r="347" spans="1:31" ht="23.25" customHeight="1">
      <c r="A347" s="344" t="s">
        <v>1850</v>
      </c>
      <c r="B347" s="344" t="s">
        <v>1575</v>
      </c>
      <c r="C347" s="365" t="s">
        <v>1850</v>
      </c>
      <c r="D347" s="354" t="s">
        <v>1664</v>
      </c>
      <c r="E347" s="354" t="s">
        <v>1851</v>
      </c>
      <c r="F347" s="355" t="s">
        <v>1852</v>
      </c>
      <c r="G347" s="368">
        <f>일위노임!G144</f>
        <v>0.01</v>
      </c>
      <c r="H347" s="368">
        <f>합산자재!H120</f>
        <v>0</v>
      </c>
      <c r="I347" s="369" t="str">
        <f>IF(G347*H347&lt;&gt;0, TRUNC(G347*H347, 1), "")</f>
        <v/>
      </c>
      <c r="J347" s="368">
        <v>0.01</v>
      </c>
      <c r="K347" s="368">
        <f>합산자재!I120</f>
        <v>229252.87931000002</v>
      </c>
      <c r="L347" s="369">
        <f>IF(G347*K347&lt;&gt;0, TRUNC(G347*K347, 1), "")</f>
        <v>2292.5</v>
      </c>
      <c r="M347" s="368">
        <f>합산자재!J120</f>
        <v>0</v>
      </c>
      <c r="N347" s="369" t="str">
        <f>IF(G347*M347&lt;&gt;0, TRUNC(G347*M347, 1), "")</f>
        <v/>
      </c>
      <c r="O347" s="368">
        <f>IF((H347+K347+M347)=0, "", (H347+K347+M347))</f>
        <v>229252.87931000002</v>
      </c>
      <c r="P347" s="368">
        <f>IF(SUM(I347,L347,N347)&lt;&gt;0,SUM(I347,L347,N347),"")</f>
        <v>2292.5</v>
      </c>
      <c r="Q347" s="354"/>
      <c r="AE347" s="347">
        <f>L347</f>
        <v>2292.5</v>
      </c>
    </row>
    <row r="348" spans="1:31" ht="23.25" customHeight="1">
      <c r="A348" s="344" t="s">
        <v>1853</v>
      </c>
      <c r="B348" s="344" t="s">
        <v>1575</v>
      </c>
      <c r="C348" s="365" t="s">
        <v>1853</v>
      </c>
      <c r="D348" s="354" t="s">
        <v>1854</v>
      </c>
      <c r="E348" s="354" t="s">
        <v>1855</v>
      </c>
      <c r="F348" s="355" t="s">
        <v>212</v>
      </c>
      <c r="G348" s="368">
        <v>1</v>
      </c>
      <c r="H348" s="368">
        <f>IF(TRUNC((AD349+AC349)/$AE$3,1)*$AE$3-AD349 &lt;0, AC349, TRUNC((AD349+AC349)/$AE$3,1)*$AE$3-AD349)</f>
        <v>45.800000000000182</v>
      </c>
      <c r="I348" s="369">
        <f>H348</f>
        <v>45.800000000000182</v>
      </c>
      <c r="J348" s="368">
        <v>1</v>
      </c>
      <c r="K348" s="368"/>
      <c r="L348" s="369" t="str">
        <f>IF(G348*K348&lt;&gt;0, TRUNC(G348*K348, 1), "")</f>
        <v/>
      </c>
      <c r="M348" s="368"/>
      <c r="N348" s="369" t="str">
        <f>IF(G348*M348&lt;&gt;0, TRUNC(G348*M348, 1), "")</f>
        <v/>
      </c>
      <c r="O348" s="368">
        <f>IF((H348+K348+M348)=0, "", (H348+K348+M348))</f>
        <v>45.800000000000182</v>
      </c>
      <c r="P348" s="368">
        <f>IF(SUM(I348,L348,N348)&lt;&gt;0,SUM(I348,L348,N348),"")</f>
        <v>45.800000000000182</v>
      </c>
      <c r="Q348" s="354"/>
    </row>
    <row r="349" spans="1:31" ht="23.25" customHeight="1">
      <c r="B349" s="344" t="s">
        <v>715</v>
      </c>
      <c r="D349" s="354" t="s">
        <v>216</v>
      </c>
      <c r="E349" s="354"/>
      <c r="F349" s="355"/>
      <c r="G349" s="368"/>
      <c r="H349" s="368"/>
      <c r="I349" s="369">
        <f>TRUNC(SUM(I344:I348))</f>
        <v>455</v>
      </c>
      <c r="J349" s="368"/>
      <c r="K349" s="368"/>
      <c r="L349" s="369">
        <f>TRUNC(SUM(L344:L348))</f>
        <v>2292</v>
      </c>
      <c r="M349" s="368"/>
      <c r="N349" s="369">
        <f>TRUNC(SUM(N344:N348))</f>
        <v>0</v>
      </c>
      <c r="O349" s="368" t="str">
        <f>IF((H349+K349+M349)=0, "", (H349+K349+M349))</f>
        <v/>
      </c>
      <c r="P349" s="368">
        <f>IF(SUM(I349,L349,N349)&lt;&gt;0,SUM(I349,L349,N349),"")</f>
        <v>2747</v>
      </c>
      <c r="Q349" s="354"/>
      <c r="AC349" s="347">
        <f>TRUNC(AE349*옵션!$B$36/100,1)</f>
        <v>45.8</v>
      </c>
      <c r="AD349" s="347">
        <f>TRUNC(SUM(L344:L347))</f>
        <v>2292</v>
      </c>
      <c r="AE349" s="347">
        <f>TRUNC(SUM(AE344:AE348))</f>
        <v>2292</v>
      </c>
    </row>
    <row r="350" spans="1:31" ht="23.25" customHeight="1">
      <c r="D350" s="354"/>
      <c r="E350" s="354"/>
      <c r="F350" s="355"/>
      <c r="G350" s="368"/>
      <c r="H350" s="368"/>
      <c r="I350" s="369"/>
      <c r="J350" s="368"/>
      <c r="K350" s="368"/>
      <c r="L350" s="369"/>
      <c r="M350" s="368"/>
      <c r="N350" s="369"/>
      <c r="O350" s="368"/>
      <c r="P350" s="368"/>
      <c r="Q350" s="354"/>
    </row>
    <row r="351" spans="1:31" ht="23.25" customHeight="1">
      <c r="A351" s="344" t="s">
        <v>847</v>
      </c>
      <c r="B351" s="344" t="s">
        <v>1833</v>
      </c>
      <c r="C351" s="365" t="s">
        <v>2058</v>
      </c>
      <c r="D351" s="714" t="s">
        <v>2059</v>
      </c>
      <c r="E351" s="715"/>
      <c r="F351" s="355"/>
      <c r="G351" s="368"/>
      <c r="H351" s="368"/>
      <c r="I351" s="369"/>
      <c r="J351" s="368"/>
      <c r="K351" s="368"/>
      <c r="L351" s="369"/>
      <c r="M351" s="368"/>
      <c r="N351" s="369"/>
      <c r="O351" s="368"/>
      <c r="P351" s="368"/>
      <c r="Q351" s="354"/>
    </row>
    <row r="352" spans="1:31" ht="23.25" customHeight="1">
      <c r="A352" s="344" t="s">
        <v>2060</v>
      </c>
      <c r="B352" s="344" t="s">
        <v>1576</v>
      </c>
      <c r="C352" s="365" t="s">
        <v>2060</v>
      </c>
      <c r="D352" s="354" t="s">
        <v>441</v>
      </c>
      <c r="E352" s="354" t="s">
        <v>442</v>
      </c>
      <c r="F352" s="355" t="s">
        <v>255</v>
      </c>
      <c r="G352" s="368">
        <v>1</v>
      </c>
      <c r="H352" s="368">
        <f>합산자재!H50</f>
        <v>618.91557</v>
      </c>
      <c r="I352" s="369">
        <f>IF(G352*H352&lt;&gt;0, TRUNC(G352*H352, 1), "")</f>
        <v>618.9</v>
      </c>
      <c r="J352" s="368">
        <v>1</v>
      </c>
      <c r="K352" s="368">
        <f>합산자재!I50</f>
        <v>0</v>
      </c>
      <c r="L352" s="369" t="str">
        <f>IF(G352*K352&lt;&gt;0, TRUNC(G352*K352, 1), "")</f>
        <v/>
      </c>
      <c r="M352" s="368">
        <f>합산자재!J50</f>
        <v>0</v>
      </c>
      <c r="N352" s="369" t="str">
        <f>IF(G352*M352&lt;&gt;0, TRUNC(G352*M352, 1), "")</f>
        <v/>
      </c>
      <c r="O352" s="368">
        <f>IF((H352+K352+M352)=0, "", (H352+K352+M352))</f>
        <v>618.91557</v>
      </c>
      <c r="P352" s="368">
        <f>IF(SUM(I352,L352,N352)&lt;&gt;0,SUM(I352,L352,N352),"")</f>
        <v>618.9</v>
      </c>
      <c r="Q352" s="354"/>
      <c r="AC352" s="347">
        <f>G352*H352</f>
        <v>618.91557</v>
      </c>
    </row>
    <row r="353" spans="1:31" ht="23.25" customHeight="1">
      <c r="A353" s="344" t="s">
        <v>1885</v>
      </c>
      <c r="B353" s="344" t="s">
        <v>1576</v>
      </c>
      <c r="C353" s="365" t="s">
        <v>1885</v>
      </c>
      <c r="D353" s="354" t="s">
        <v>1886</v>
      </c>
      <c r="E353" s="354" t="s">
        <v>1887</v>
      </c>
      <c r="F353" s="355" t="s">
        <v>212</v>
      </c>
      <c r="G353" s="368">
        <v>1</v>
      </c>
      <c r="H353" s="368">
        <f>IF(TRUNC((AD353+AC353)/$AD$3,1)*$AD$3-AD353 &lt;0, AC353, TRUNC((AD353+AC353)/$AD$3,1)*$AD$3-AD353)</f>
        <v>12.299999999999955</v>
      </c>
      <c r="I353" s="369">
        <f>H353</f>
        <v>12.299999999999955</v>
      </c>
      <c r="J353" s="368">
        <v>1</v>
      </c>
      <c r="K353" s="368"/>
      <c r="L353" s="369" t="str">
        <f>IF(G353*K353&lt;&gt;0, TRUNC(G353*K353, 1), "")</f>
        <v/>
      </c>
      <c r="M353" s="368"/>
      <c r="N353" s="369" t="str">
        <f>IF(G353*M353&lt;&gt;0, TRUNC(G353*M353, 1), "")</f>
        <v/>
      </c>
      <c r="O353" s="368">
        <f>IF((H353+K353+M353)=0, "", (H353+K353+M353))</f>
        <v>12.299999999999955</v>
      </c>
      <c r="P353" s="368">
        <f>IF(SUM(I353,L353,N353)&lt;&gt;0,SUM(I353,L353,N353),"")</f>
        <v>12.299999999999955</v>
      </c>
      <c r="Q353" s="354"/>
      <c r="AC353" s="347">
        <f>TRUNC(TRUNC(SUM(AC351:AC352))*옵션!$B$33/100,1)</f>
        <v>12.3</v>
      </c>
      <c r="AD353" s="347">
        <f>TRUNC(SUM(I351:I352))+TRUNC(SUM(N351:N352))</f>
        <v>618</v>
      </c>
    </row>
    <row r="354" spans="1:31" ht="23.25" customHeight="1">
      <c r="A354" s="344" t="s">
        <v>1850</v>
      </c>
      <c r="B354" s="344" t="s">
        <v>1576</v>
      </c>
      <c r="C354" s="365" t="s">
        <v>1850</v>
      </c>
      <c r="D354" s="354" t="s">
        <v>1664</v>
      </c>
      <c r="E354" s="354" t="s">
        <v>1851</v>
      </c>
      <c r="F354" s="355" t="s">
        <v>1852</v>
      </c>
      <c r="G354" s="368">
        <f>일위노임!G147</f>
        <v>0.01</v>
      </c>
      <c r="H354" s="368">
        <f>합산자재!H120</f>
        <v>0</v>
      </c>
      <c r="I354" s="369" t="str">
        <f>IF(G354*H354&lt;&gt;0, TRUNC(G354*H354, 1), "")</f>
        <v/>
      </c>
      <c r="J354" s="368">
        <v>0.01</v>
      </c>
      <c r="K354" s="368">
        <f>합산자재!I120</f>
        <v>229252.87931000002</v>
      </c>
      <c r="L354" s="369">
        <f>IF(G354*K354&lt;&gt;0, TRUNC(G354*K354, 1), "")</f>
        <v>2292.5</v>
      </c>
      <c r="M354" s="368">
        <f>합산자재!J120</f>
        <v>0</v>
      </c>
      <c r="N354" s="369" t="str">
        <f>IF(G354*M354&lt;&gt;0, TRUNC(G354*M354, 1), "")</f>
        <v/>
      </c>
      <c r="O354" s="368">
        <f>IF((H354+K354+M354)=0, "", (H354+K354+M354))</f>
        <v>229252.87931000002</v>
      </c>
      <c r="P354" s="368">
        <f>IF(SUM(I354,L354,N354)&lt;&gt;0,SUM(I354,L354,N354),"")</f>
        <v>2292.5</v>
      </c>
      <c r="Q354" s="354"/>
      <c r="AE354" s="347">
        <f>L354</f>
        <v>2292.5</v>
      </c>
    </row>
    <row r="355" spans="1:31" ht="23.25" customHeight="1">
      <c r="A355" s="344" t="s">
        <v>1853</v>
      </c>
      <c r="B355" s="344" t="s">
        <v>1576</v>
      </c>
      <c r="C355" s="365" t="s">
        <v>1853</v>
      </c>
      <c r="D355" s="354" t="s">
        <v>1854</v>
      </c>
      <c r="E355" s="354" t="s">
        <v>1855</v>
      </c>
      <c r="F355" s="355" t="s">
        <v>212</v>
      </c>
      <c r="G355" s="368">
        <v>1</v>
      </c>
      <c r="H355" s="368">
        <f>IF(TRUNC((AD356+AC356)/$AE$3,1)*$AE$3-AD356 &lt;0, AC356, TRUNC((AD356+AC356)/$AE$3,1)*$AE$3-AD356)</f>
        <v>45.800000000000182</v>
      </c>
      <c r="I355" s="369">
        <f>H355</f>
        <v>45.800000000000182</v>
      </c>
      <c r="J355" s="368">
        <v>1</v>
      </c>
      <c r="K355" s="368"/>
      <c r="L355" s="369" t="str">
        <f>IF(G355*K355&lt;&gt;0, TRUNC(G355*K355, 1), "")</f>
        <v/>
      </c>
      <c r="M355" s="368"/>
      <c r="N355" s="369" t="str">
        <f>IF(G355*M355&lt;&gt;0, TRUNC(G355*M355, 1), "")</f>
        <v/>
      </c>
      <c r="O355" s="368">
        <f>IF((H355+K355+M355)=0, "", (H355+K355+M355))</f>
        <v>45.800000000000182</v>
      </c>
      <c r="P355" s="368">
        <f>IF(SUM(I355,L355,N355)&lt;&gt;0,SUM(I355,L355,N355),"")</f>
        <v>45.800000000000182</v>
      </c>
      <c r="Q355" s="354"/>
    </row>
    <row r="356" spans="1:31" ht="23.25" customHeight="1">
      <c r="B356" s="344" t="s">
        <v>715</v>
      </c>
      <c r="D356" s="354" t="s">
        <v>216</v>
      </c>
      <c r="E356" s="354"/>
      <c r="F356" s="355"/>
      <c r="G356" s="368"/>
      <c r="H356" s="368"/>
      <c r="I356" s="369">
        <f>TRUNC(SUM(I351:I355))</f>
        <v>677</v>
      </c>
      <c r="J356" s="368"/>
      <c r="K356" s="368"/>
      <c r="L356" s="369">
        <f>TRUNC(SUM(L351:L355))</f>
        <v>2292</v>
      </c>
      <c r="M356" s="368"/>
      <c r="N356" s="369">
        <f>TRUNC(SUM(N351:N355))</f>
        <v>0</v>
      </c>
      <c r="O356" s="368" t="str">
        <f>IF((H356+K356+M356)=0, "", (H356+K356+M356))</f>
        <v/>
      </c>
      <c r="P356" s="368">
        <f>IF(SUM(I356,L356,N356)&lt;&gt;0,SUM(I356,L356,N356),"")</f>
        <v>2969</v>
      </c>
      <c r="Q356" s="354"/>
      <c r="AC356" s="347">
        <f>TRUNC(AE356*옵션!$B$36/100,1)</f>
        <v>45.8</v>
      </c>
      <c r="AD356" s="347">
        <f>TRUNC(SUM(L351:L354))</f>
        <v>2292</v>
      </c>
      <c r="AE356" s="347">
        <f>TRUNC(SUM(AE351:AE355))</f>
        <v>2292</v>
      </c>
    </row>
    <row r="357" spans="1:31" ht="23.25" customHeight="1">
      <c r="D357" s="354"/>
      <c r="E357" s="354"/>
      <c r="F357" s="355"/>
      <c r="G357" s="368"/>
      <c r="H357" s="368"/>
      <c r="I357" s="369"/>
      <c r="J357" s="368"/>
      <c r="K357" s="368"/>
      <c r="L357" s="369"/>
      <c r="M357" s="368"/>
      <c r="N357" s="369"/>
      <c r="O357" s="368"/>
      <c r="P357" s="368"/>
      <c r="Q357" s="354"/>
    </row>
    <row r="358" spans="1:31" ht="23.25" customHeight="1">
      <c r="A358" s="344" t="s">
        <v>783</v>
      </c>
      <c r="B358" s="344" t="s">
        <v>1833</v>
      </c>
      <c r="C358" s="365" t="s">
        <v>2061</v>
      </c>
      <c r="D358" s="714" t="s">
        <v>2062</v>
      </c>
      <c r="E358" s="715"/>
      <c r="F358" s="355"/>
      <c r="G358" s="368"/>
      <c r="H358" s="368"/>
      <c r="I358" s="369"/>
      <c r="J358" s="368"/>
      <c r="K358" s="368"/>
      <c r="L358" s="369"/>
      <c r="M358" s="368"/>
      <c r="N358" s="369"/>
      <c r="O358" s="368"/>
      <c r="P358" s="368"/>
      <c r="Q358" s="354"/>
    </row>
    <row r="359" spans="1:31" ht="23.25" customHeight="1">
      <c r="A359" s="344" t="s">
        <v>2063</v>
      </c>
      <c r="B359" s="344" t="s">
        <v>1578</v>
      </c>
      <c r="C359" s="365" t="s">
        <v>2063</v>
      </c>
      <c r="D359" s="354" t="s">
        <v>268</v>
      </c>
      <c r="E359" s="354" t="s">
        <v>404</v>
      </c>
      <c r="F359" s="355" t="s">
        <v>255</v>
      </c>
      <c r="G359" s="368">
        <v>1</v>
      </c>
      <c r="H359" s="368">
        <f>합산자재!H51</f>
        <v>696.83341000000007</v>
      </c>
      <c r="I359" s="369">
        <f>IF(G359*H359&lt;&gt;0, TRUNC(G359*H359, 1), "")</f>
        <v>696.8</v>
      </c>
      <c r="J359" s="368">
        <v>1</v>
      </c>
      <c r="K359" s="368">
        <f>합산자재!I51</f>
        <v>0</v>
      </c>
      <c r="L359" s="369" t="str">
        <f>IF(G359*K359&lt;&gt;0, TRUNC(G359*K359, 1), "")</f>
        <v/>
      </c>
      <c r="M359" s="368">
        <f>합산자재!J51</f>
        <v>0</v>
      </c>
      <c r="N359" s="369" t="str">
        <f>IF(G359*M359&lt;&gt;0, TRUNC(G359*M359, 1), "")</f>
        <v/>
      </c>
      <c r="O359" s="368">
        <f>IF((H359+K359+M359)=0, "", (H359+K359+M359))</f>
        <v>696.83341000000007</v>
      </c>
      <c r="P359" s="368">
        <f>IF(SUM(I359,L359,N359)&lt;&gt;0,SUM(I359,L359,N359),"")</f>
        <v>696.8</v>
      </c>
      <c r="Q359" s="354"/>
      <c r="AC359" s="347">
        <f>G359*H359</f>
        <v>696.83341000000007</v>
      </c>
    </row>
    <row r="360" spans="1:31" ht="23.25" customHeight="1">
      <c r="A360" s="344" t="s">
        <v>1885</v>
      </c>
      <c r="B360" s="344" t="s">
        <v>1578</v>
      </c>
      <c r="C360" s="365" t="s">
        <v>1885</v>
      </c>
      <c r="D360" s="354" t="s">
        <v>1886</v>
      </c>
      <c r="E360" s="354" t="s">
        <v>1887</v>
      </c>
      <c r="F360" s="355" t="s">
        <v>212</v>
      </c>
      <c r="G360" s="368">
        <v>1</v>
      </c>
      <c r="H360" s="368">
        <f>IF(TRUNC((AD360+AC360)/$AD$3,1)*$AD$3-AD360 &lt;0, AC360, TRUNC((AD360+AC360)/$AD$3,1)*$AD$3-AD360)</f>
        <v>13.899999999999977</v>
      </c>
      <c r="I360" s="369">
        <f>H360</f>
        <v>13.899999999999977</v>
      </c>
      <c r="J360" s="368">
        <v>1</v>
      </c>
      <c r="K360" s="368"/>
      <c r="L360" s="369" t="str">
        <f>IF(G360*K360&lt;&gt;0, TRUNC(G360*K360, 1), "")</f>
        <v/>
      </c>
      <c r="M360" s="368"/>
      <c r="N360" s="369" t="str">
        <f>IF(G360*M360&lt;&gt;0, TRUNC(G360*M360, 1), "")</f>
        <v/>
      </c>
      <c r="O360" s="368">
        <f>IF((H360+K360+M360)=0, "", (H360+K360+M360))</f>
        <v>13.899999999999977</v>
      </c>
      <c r="P360" s="368">
        <f>IF(SUM(I360,L360,N360)&lt;&gt;0,SUM(I360,L360,N360),"")</f>
        <v>13.899999999999977</v>
      </c>
      <c r="Q360" s="354"/>
      <c r="AC360" s="347">
        <f>TRUNC(TRUNC(SUM(AC358:AC359))*옵션!$B$33/100,1)</f>
        <v>13.9</v>
      </c>
      <c r="AD360" s="347">
        <f>TRUNC(SUM(I358:I359))+TRUNC(SUM(N358:N359))</f>
        <v>696</v>
      </c>
    </row>
    <row r="361" spans="1:31" ht="23.25" customHeight="1">
      <c r="A361" s="344" t="s">
        <v>1850</v>
      </c>
      <c r="B361" s="344" t="s">
        <v>1578</v>
      </c>
      <c r="C361" s="365" t="s">
        <v>1850</v>
      </c>
      <c r="D361" s="354" t="s">
        <v>1664</v>
      </c>
      <c r="E361" s="354" t="s">
        <v>1851</v>
      </c>
      <c r="F361" s="355" t="s">
        <v>1852</v>
      </c>
      <c r="G361" s="368">
        <f>일위노임!G150</f>
        <v>8.9999999999999993E-3</v>
      </c>
      <c r="H361" s="368">
        <f>합산자재!H120</f>
        <v>0</v>
      </c>
      <c r="I361" s="369" t="str">
        <f>IF(G361*H361&lt;&gt;0, TRUNC(G361*H361, 1), "")</f>
        <v/>
      </c>
      <c r="J361" s="368">
        <v>8.9999999999999993E-3</v>
      </c>
      <c r="K361" s="368">
        <f>합산자재!I120</f>
        <v>229252.87931000002</v>
      </c>
      <c r="L361" s="369">
        <f>IF(G361*K361&lt;&gt;0, TRUNC(G361*K361, 1), "")</f>
        <v>2063.1999999999998</v>
      </c>
      <c r="M361" s="368">
        <f>합산자재!J120</f>
        <v>0</v>
      </c>
      <c r="N361" s="369" t="str">
        <f>IF(G361*M361&lt;&gt;0, TRUNC(G361*M361, 1), "")</f>
        <v/>
      </c>
      <c r="O361" s="368">
        <f>IF((H361+K361+M361)=0, "", (H361+K361+M361))</f>
        <v>229252.87931000002</v>
      </c>
      <c r="P361" s="368">
        <f>IF(SUM(I361,L361,N361)&lt;&gt;0,SUM(I361,L361,N361),"")</f>
        <v>2063.1999999999998</v>
      </c>
      <c r="Q361" s="354"/>
      <c r="AE361" s="347">
        <f>L361</f>
        <v>2063.1999999999998</v>
      </c>
    </row>
    <row r="362" spans="1:31" ht="23.25" customHeight="1">
      <c r="A362" s="344" t="s">
        <v>1853</v>
      </c>
      <c r="B362" s="344" t="s">
        <v>1578</v>
      </c>
      <c r="C362" s="365" t="s">
        <v>1853</v>
      </c>
      <c r="D362" s="354" t="s">
        <v>1854</v>
      </c>
      <c r="E362" s="354" t="s">
        <v>1855</v>
      </c>
      <c r="F362" s="355" t="s">
        <v>212</v>
      </c>
      <c r="G362" s="368">
        <v>1</v>
      </c>
      <c r="H362" s="368">
        <f>IF(TRUNC((AD363+AC363)/$AE$3,1)*$AE$3-AD363 &lt;0, AC363, TRUNC((AD363+AC363)/$AE$3,1)*$AE$3-AD363)</f>
        <v>41.199999999999818</v>
      </c>
      <c r="I362" s="369">
        <f>H362</f>
        <v>41.199999999999818</v>
      </c>
      <c r="J362" s="368">
        <v>1</v>
      </c>
      <c r="K362" s="368"/>
      <c r="L362" s="369" t="str">
        <f>IF(G362*K362&lt;&gt;0, TRUNC(G362*K362, 1), "")</f>
        <v/>
      </c>
      <c r="M362" s="368"/>
      <c r="N362" s="369" t="str">
        <f>IF(G362*M362&lt;&gt;0, TRUNC(G362*M362, 1), "")</f>
        <v/>
      </c>
      <c r="O362" s="368">
        <f>IF((H362+K362+M362)=0, "", (H362+K362+M362))</f>
        <v>41.199999999999818</v>
      </c>
      <c r="P362" s="368">
        <f>IF(SUM(I362,L362,N362)&lt;&gt;0,SUM(I362,L362,N362),"")</f>
        <v>41.199999999999818</v>
      </c>
      <c r="Q362" s="354"/>
    </row>
    <row r="363" spans="1:31" ht="23.25" customHeight="1">
      <c r="B363" s="344" t="s">
        <v>715</v>
      </c>
      <c r="D363" s="354" t="s">
        <v>216</v>
      </c>
      <c r="E363" s="354"/>
      <c r="F363" s="355"/>
      <c r="G363" s="368"/>
      <c r="H363" s="368"/>
      <c r="I363" s="369">
        <f>TRUNC(SUM(I358:I362))</f>
        <v>751</v>
      </c>
      <c r="J363" s="368"/>
      <c r="K363" s="368"/>
      <c r="L363" s="369">
        <f>TRUNC(SUM(L358:L362))</f>
        <v>2063</v>
      </c>
      <c r="M363" s="368"/>
      <c r="N363" s="369">
        <f>TRUNC(SUM(N358:N362))</f>
        <v>0</v>
      </c>
      <c r="O363" s="368" t="str">
        <f>IF((H363+K363+M363)=0, "", (H363+K363+M363))</f>
        <v/>
      </c>
      <c r="P363" s="368">
        <f>IF(SUM(I363,L363,N363)&lt;&gt;0,SUM(I363,L363,N363),"")</f>
        <v>2814</v>
      </c>
      <c r="Q363" s="354"/>
      <c r="AC363" s="347">
        <f>TRUNC(AE363*옵션!$B$36/100,1)</f>
        <v>41.2</v>
      </c>
      <c r="AD363" s="347">
        <f>TRUNC(SUM(L358:L361))</f>
        <v>2063</v>
      </c>
      <c r="AE363" s="347">
        <f>TRUNC(SUM(AE358:AE362))</f>
        <v>2063</v>
      </c>
    </row>
    <row r="364" spans="1:31" ht="23.25" customHeight="1">
      <c r="D364" s="354"/>
      <c r="E364" s="354"/>
      <c r="F364" s="355"/>
      <c r="G364" s="368"/>
      <c r="H364" s="368"/>
      <c r="I364" s="369"/>
      <c r="J364" s="368"/>
      <c r="K364" s="368"/>
      <c r="L364" s="369"/>
      <c r="M364" s="368"/>
      <c r="N364" s="369"/>
      <c r="O364" s="368"/>
      <c r="P364" s="368"/>
      <c r="Q364" s="354"/>
    </row>
    <row r="365" spans="1:31" ht="23.25" customHeight="1">
      <c r="A365" s="344" t="s">
        <v>786</v>
      </c>
      <c r="B365" s="344" t="s">
        <v>1833</v>
      </c>
      <c r="C365" s="365" t="s">
        <v>2064</v>
      </c>
      <c r="D365" s="714" t="s">
        <v>2065</v>
      </c>
      <c r="E365" s="715"/>
      <c r="F365" s="355"/>
      <c r="G365" s="368"/>
      <c r="H365" s="368"/>
      <c r="I365" s="369"/>
      <c r="J365" s="368"/>
      <c r="K365" s="368"/>
      <c r="L365" s="369"/>
      <c r="M365" s="368"/>
      <c r="N365" s="369"/>
      <c r="O365" s="368"/>
      <c r="P365" s="368"/>
      <c r="Q365" s="354"/>
    </row>
    <row r="366" spans="1:31" ht="23.25" customHeight="1">
      <c r="A366" s="344" t="s">
        <v>2066</v>
      </c>
      <c r="B366" s="344" t="s">
        <v>1580</v>
      </c>
      <c r="C366" s="365" t="s">
        <v>2066</v>
      </c>
      <c r="D366" s="354" t="s">
        <v>268</v>
      </c>
      <c r="E366" s="354" t="s">
        <v>405</v>
      </c>
      <c r="F366" s="355" t="s">
        <v>255</v>
      </c>
      <c r="G366" s="368">
        <v>1</v>
      </c>
      <c r="H366" s="368">
        <f>합산자재!H53</f>
        <v>8869.3523100000002</v>
      </c>
      <c r="I366" s="369">
        <f>IF(G366*H366&lt;&gt;0, TRUNC(G366*H366, 1), "")</f>
        <v>8869.2999999999993</v>
      </c>
      <c r="J366" s="368">
        <v>1</v>
      </c>
      <c r="K366" s="368">
        <f>합산자재!I53</f>
        <v>0</v>
      </c>
      <c r="L366" s="369" t="str">
        <f>IF(G366*K366&lt;&gt;0, TRUNC(G366*K366, 1), "")</f>
        <v/>
      </c>
      <c r="M366" s="368">
        <f>합산자재!J53</f>
        <v>0</v>
      </c>
      <c r="N366" s="369" t="str">
        <f>IF(G366*M366&lt;&gt;0, TRUNC(G366*M366, 1), "")</f>
        <v/>
      </c>
      <c r="O366" s="368">
        <f>IF((H366+K366+M366)=0, "", (H366+K366+M366))</f>
        <v>8869.3523100000002</v>
      </c>
      <c r="P366" s="368">
        <f>IF(SUM(I366,L366,N366)&lt;&gt;0,SUM(I366,L366,N366),"")</f>
        <v>8869.2999999999993</v>
      </c>
      <c r="Q366" s="354"/>
      <c r="AC366" s="347">
        <f>G366*H366</f>
        <v>8869.3523100000002</v>
      </c>
    </row>
    <row r="367" spans="1:31" ht="23.25" customHeight="1">
      <c r="A367" s="344" t="s">
        <v>1885</v>
      </c>
      <c r="B367" s="344" t="s">
        <v>1580</v>
      </c>
      <c r="C367" s="365" t="s">
        <v>1885</v>
      </c>
      <c r="D367" s="354" t="s">
        <v>1886</v>
      </c>
      <c r="E367" s="354" t="s">
        <v>1887</v>
      </c>
      <c r="F367" s="355" t="s">
        <v>212</v>
      </c>
      <c r="G367" s="368">
        <v>1</v>
      </c>
      <c r="H367" s="368">
        <f>IF(TRUNC((AD367+AC367)/$AD$3,1)*$AD$3-AD367 &lt;0, AC367, TRUNC((AD367+AC367)/$AD$3,1)*$AD$3-AD367)</f>
        <v>177.29999999999927</v>
      </c>
      <c r="I367" s="369">
        <f>H367</f>
        <v>177.29999999999927</v>
      </c>
      <c r="J367" s="368">
        <v>1</v>
      </c>
      <c r="K367" s="368"/>
      <c r="L367" s="369" t="str">
        <f>IF(G367*K367&lt;&gt;0, TRUNC(G367*K367, 1), "")</f>
        <v/>
      </c>
      <c r="M367" s="368"/>
      <c r="N367" s="369" t="str">
        <f>IF(G367*M367&lt;&gt;0, TRUNC(G367*M367, 1), "")</f>
        <v/>
      </c>
      <c r="O367" s="368">
        <f>IF((H367+K367+M367)=0, "", (H367+K367+M367))</f>
        <v>177.29999999999927</v>
      </c>
      <c r="P367" s="368">
        <f>IF(SUM(I367,L367,N367)&lt;&gt;0,SUM(I367,L367,N367),"")</f>
        <v>177.29999999999927</v>
      </c>
      <c r="Q367" s="354"/>
      <c r="AC367" s="347">
        <f>TRUNC(TRUNC(SUM(AC365:AC366))*옵션!$B$33/100,1)</f>
        <v>177.3</v>
      </c>
      <c r="AD367" s="347">
        <f>TRUNC(SUM(I365:I366))+TRUNC(SUM(N365:N366))</f>
        <v>8869</v>
      </c>
    </row>
    <row r="368" spans="1:31" ht="23.25" customHeight="1">
      <c r="A368" s="344" t="s">
        <v>1850</v>
      </c>
      <c r="B368" s="344" t="s">
        <v>1580</v>
      </c>
      <c r="C368" s="365" t="s">
        <v>1850</v>
      </c>
      <c r="D368" s="354" t="s">
        <v>1664</v>
      </c>
      <c r="E368" s="354" t="s">
        <v>1851</v>
      </c>
      <c r="F368" s="355" t="s">
        <v>1852</v>
      </c>
      <c r="G368" s="368">
        <f>일위노임!G153</f>
        <v>1.2E-2</v>
      </c>
      <c r="H368" s="368">
        <f>합산자재!H120</f>
        <v>0</v>
      </c>
      <c r="I368" s="369" t="str">
        <f>IF(G368*H368&lt;&gt;0, TRUNC(G368*H368, 1), "")</f>
        <v/>
      </c>
      <c r="J368" s="368">
        <v>1.2E-2</v>
      </c>
      <c r="K368" s="368">
        <f>합산자재!I120</f>
        <v>229252.87931000002</v>
      </c>
      <c r="L368" s="369">
        <f>IF(G368*K368&lt;&gt;0, TRUNC(G368*K368, 1), "")</f>
        <v>2751</v>
      </c>
      <c r="M368" s="368">
        <f>합산자재!J120</f>
        <v>0</v>
      </c>
      <c r="N368" s="369" t="str">
        <f>IF(G368*M368&lt;&gt;0, TRUNC(G368*M368, 1), "")</f>
        <v/>
      </c>
      <c r="O368" s="368">
        <f>IF((H368+K368+M368)=0, "", (H368+K368+M368))</f>
        <v>229252.87931000002</v>
      </c>
      <c r="P368" s="368">
        <f>IF(SUM(I368,L368,N368)&lt;&gt;0,SUM(I368,L368,N368),"")</f>
        <v>2751</v>
      </c>
      <c r="Q368" s="354"/>
      <c r="AE368" s="347">
        <f>L368</f>
        <v>2751</v>
      </c>
    </row>
    <row r="369" spans="1:31" ht="23.25" customHeight="1">
      <c r="A369" s="344" t="s">
        <v>1853</v>
      </c>
      <c r="B369" s="344" t="s">
        <v>1580</v>
      </c>
      <c r="C369" s="365" t="s">
        <v>1853</v>
      </c>
      <c r="D369" s="354" t="s">
        <v>1854</v>
      </c>
      <c r="E369" s="354" t="s">
        <v>1855</v>
      </c>
      <c r="F369" s="355" t="s">
        <v>212</v>
      </c>
      <c r="G369" s="368">
        <v>1</v>
      </c>
      <c r="H369" s="368">
        <f>IF(TRUNC((AD370+AC370)/$AE$3,1)*$AE$3-AD370 &lt;0, AC370, TRUNC((AD370+AC370)/$AE$3,1)*$AE$3-AD370)</f>
        <v>55</v>
      </c>
      <c r="I369" s="369">
        <f>H369</f>
        <v>55</v>
      </c>
      <c r="J369" s="368">
        <v>1</v>
      </c>
      <c r="K369" s="368"/>
      <c r="L369" s="369" t="str">
        <f>IF(G369*K369&lt;&gt;0, TRUNC(G369*K369, 1), "")</f>
        <v/>
      </c>
      <c r="M369" s="368"/>
      <c r="N369" s="369" t="str">
        <f>IF(G369*M369&lt;&gt;0, TRUNC(G369*M369, 1), "")</f>
        <v/>
      </c>
      <c r="O369" s="368">
        <f>IF((H369+K369+M369)=0, "", (H369+K369+M369))</f>
        <v>55</v>
      </c>
      <c r="P369" s="368">
        <f>IF(SUM(I369,L369,N369)&lt;&gt;0,SUM(I369,L369,N369),"")</f>
        <v>55</v>
      </c>
      <c r="Q369" s="354"/>
    </row>
    <row r="370" spans="1:31" ht="23.25" customHeight="1">
      <c r="B370" s="344" t="s">
        <v>715</v>
      </c>
      <c r="D370" s="354" t="s">
        <v>216</v>
      </c>
      <c r="E370" s="354"/>
      <c r="F370" s="355"/>
      <c r="G370" s="368"/>
      <c r="H370" s="368"/>
      <c r="I370" s="369">
        <f>TRUNC(SUM(I365:I369))</f>
        <v>9101</v>
      </c>
      <c r="J370" s="368"/>
      <c r="K370" s="368"/>
      <c r="L370" s="369">
        <f>TRUNC(SUM(L365:L369))</f>
        <v>2751</v>
      </c>
      <c r="M370" s="368"/>
      <c r="N370" s="369">
        <f>TRUNC(SUM(N365:N369))</f>
        <v>0</v>
      </c>
      <c r="O370" s="368" t="str">
        <f>IF((H370+K370+M370)=0, "", (H370+K370+M370))</f>
        <v/>
      </c>
      <c r="P370" s="368">
        <f>IF(SUM(I370,L370,N370)&lt;&gt;0,SUM(I370,L370,N370),"")</f>
        <v>11852</v>
      </c>
      <c r="Q370" s="354"/>
      <c r="AC370" s="347">
        <f>TRUNC(AE370*옵션!$B$36/100,1)</f>
        <v>55</v>
      </c>
      <c r="AD370" s="347">
        <f>TRUNC(SUM(L365:L368))</f>
        <v>2751</v>
      </c>
      <c r="AE370" s="347">
        <f>TRUNC(SUM(AE365:AE369))</f>
        <v>2751</v>
      </c>
    </row>
    <row r="371" spans="1:31" ht="23.25" customHeight="1">
      <c r="D371" s="354"/>
      <c r="E371" s="354"/>
      <c r="F371" s="355"/>
      <c r="G371" s="368"/>
      <c r="H371" s="368"/>
      <c r="I371" s="369"/>
      <c r="J371" s="368"/>
      <c r="K371" s="368"/>
      <c r="L371" s="369"/>
      <c r="M371" s="368"/>
      <c r="N371" s="369"/>
      <c r="O371" s="368"/>
      <c r="P371" s="368"/>
      <c r="Q371" s="354"/>
    </row>
    <row r="372" spans="1:31" ht="23.25" customHeight="1">
      <c r="A372" s="344" t="s">
        <v>789</v>
      </c>
      <c r="B372" s="344" t="s">
        <v>1833</v>
      </c>
      <c r="C372" s="365" t="s">
        <v>2067</v>
      </c>
      <c r="D372" s="714" t="s">
        <v>2068</v>
      </c>
      <c r="E372" s="715"/>
      <c r="F372" s="355"/>
      <c r="G372" s="368"/>
      <c r="H372" s="368"/>
      <c r="I372" s="369"/>
      <c r="J372" s="368"/>
      <c r="K372" s="368"/>
      <c r="L372" s="369"/>
      <c r="M372" s="368"/>
      <c r="N372" s="369"/>
      <c r="O372" s="368"/>
      <c r="P372" s="368"/>
      <c r="Q372" s="354"/>
    </row>
    <row r="373" spans="1:31" ht="23.25" customHeight="1">
      <c r="A373" s="344" t="s">
        <v>2069</v>
      </c>
      <c r="B373" s="344" t="s">
        <v>1582</v>
      </c>
      <c r="C373" s="365" t="s">
        <v>2069</v>
      </c>
      <c r="D373" s="354" t="s">
        <v>268</v>
      </c>
      <c r="E373" s="354" t="s">
        <v>406</v>
      </c>
      <c r="F373" s="355" t="s">
        <v>255</v>
      </c>
      <c r="G373" s="368">
        <v>1</v>
      </c>
      <c r="H373" s="368">
        <f>합산자재!H54</f>
        <v>10555.21103</v>
      </c>
      <c r="I373" s="369">
        <f>IF(G373*H373&lt;&gt;0, TRUNC(G373*H373, 1), "")</f>
        <v>10555.2</v>
      </c>
      <c r="J373" s="368">
        <v>1</v>
      </c>
      <c r="K373" s="368">
        <f>합산자재!I54</f>
        <v>0</v>
      </c>
      <c r="L373" s="369" t="str">
        <f>IF(G373*K373&lt;&gt;0, TRUNC(G373*K373, 1), "")</f>
        <v/>
      </c>
      <c r="M373" s="368">
        <f>합산자재!J54</f>
        <v>0</v>
      </c>
      <c r="N373" s="369" t="str">
        <f>IF(G373*M373&lt;&gt;0, TRUNC(G373*M373, 1), "")</f>
        <v/>
      </c>
      <c r="O373" s="368">
        <f>IF((H373+K373+M373)=0, "", (H373+K373+M373))</f>
        <v>10555.21103</v>
      </c>
      <c r="P373" s="368">
        <f>IF(SUM(I373,L373,N373)&lt;&gt;0,SUM(I373,L373,N373),"")</f>
        <v>10555.2</v>
      </c>
      <c r="Q373" s="354"/>
      <c r="AC373" s="347">
        <f>G373*H373</f>
        <v>10555.21103</v>
      </c>
    </row>
    <row r="374" spans="1:31" ht="23.25" customHeight="1">
      <c r="A374" s="344" t="s">
        <v>1885</v>
      </c>
      <c r="B374" s="344" t="s">
        <v>1582</v>
      </c>
      <c r="C374" s="365" t="s">
        <v>1885</v>
      </c>
      <c r="D374" s="354" t="s">
        <v>1886</v>
      </c>
      <c r="E374" s="354" t="s">
        <v>1887</v>
      </c>
      <c r="F374" s="355" t="s">
        <v>212</v>
      </c>
      <c r="G374" s="368">
        <v>1</v>
      </c>
      <c r="H374" s="368">
        <f>IF(TRUNC((AD374+AC374)/$AD$3,1)*$AD$3-AD374 &lt;0, AC374, TRUNC((AD374+AC374)/$AD$3,1)*$AD$3-AD374)</f>
        <v>211.10000000000036</v>
      </c>
      <c r="I374" s="369">
        <f>H374</f>
        <v>211.10000000000036</v>
      </c>
      <c r="J374" s="368">
        <v>1</v>
      </c>
      <c r="K374" s="368"/>
      <c r="L374" s="369" t="str">
        <f>IF(G374*K374&lt;&gt;0, TRUNC(G374*K374, 1), "")</f>
        <v/>
      </c>
      <c r="M374" s="368"/>
      <c r="N374" s="369" t="str">
        <f>IF(G374*M374&lt;&gt;0, TRUNC(G374*M374, 1), "")</f>
        <v/>
      </c>
      <c r="O374" s="368">
        <f>IF((H374+K374+M374)=0, "", (H374+K374+M374))</f>
        <v>211.10000000000036</v>
      </c>
      <c r="P374" s="368">
        <f>IF(SUM(I374,L374,N374)&lt;&gt;0,SUM(I374,L374,N374),"")</f>
        <v>211.10000000000036</v>
      </c>
      <c r="Q374" s="354"/>
      <c r="AC374" s="347">
        <f>TRUNC(TRUNC(SUM(AC372:AC373))*옵션!$B$33/100,1)</f>
        <v>211.1</v>
      </c>
      <c r="AD374" s="347">
        <f>TRUNC(SUM(I372:I373))+TRUNC(SUM(N372:N373))</f>
        <v>10555</v>
      </c>
    </row>
    <row r="375" spans="1:31" ht="23.25" customHeight="1">
      <c r="A375" s="344" t="s">
        <v>1850</v>
      </c>
      <c r="B375" s="344" t="s">
        <v>1582</v>
      </c>
      <c r="C375" s="365" t="s">
        <v>1850</v>
      </c>
      <c r="D375" s="354" t="s">
        <v>1664</v>
      </c>
      <c r="E375" s="354" t="s">
        <v>1851</v>
      </c>
      <c r="F375" s="355" t="s">
        <v>1852</v>
      </c>
      <c r="G375" s="368">
        <f>일위노임!G156</f>
        <v>1.6500000000000001E-2</v>
      </c>
      <c r="H375" s="368">
        <f>합산자재!H120</f>
        <v>0</v>
      </c>
      <c r="I375" s="369" t="str">
        <f>IF(G375*H375&lt;&gt;0, TRUNC(G375*H375, 1), "")</f>
        <v/>
      </c>
      <c r="J375" s="368">
        <v>1.6500000000000001E-2</v>
      </c>
      <c r="K375" s="368">
        <f>합산자재!I120</f>
        <v>229252.87931000002</v>
      </c>
      <c r="L375" s="369">
        <f>IF(G375*K375&lt;&gt;0, TRUNC(G375*K375, 1), "")</f>
        <v>3782.6</v>
      </c>
      <c r="M375" s="368">
        <f>합산자재!J120</f>
        <v>0</v>
      </c>
      <c r="N375" s="369" t="str">
        <f>IF(G375*M375&lt;&gt;0, TRUNC(G375*M375, 1), "")</f>
        <v/>
      </c>
      <c r="O375" s="368">
        <f>IF((H375+K375+M375)=0, "", (H375+K375+M375))</f>
        <v>229252.87931000002</v>
      </c>
      <c r="P375" s="368">
        <f>IF(SUM(I375,L375,N375)&lt;&gt;0,SUM(I375,L375,N375),"")</f>
        <v>3782.6</v>
      </c>
      <c r="Q375" s="354"/>
      <c r="AE375" s="347">
        <f>L375</f>
        <v>3782.6</v>
      </c>
    </row>
    <row r="376" spans="1:31" ht="23.25" customHeight="1">
      <c r="A376" s="344" t="s">
        <v>1853</v>
      </c>
      <c r="B376" s="344" t="s">
        <v>1582</v>
      </c>
      <c r="C376" s="365" t="s">
        <v>1853</v>
      </c>
      <c r="D376" s="354" t="s">
        <v>1854</v>
      </c>
      <c r="E376" s="354" t="s">
        <v>1855</v>
      </c>
      <c r="F376" s="355" t="s">
        <v>212</v>
      </c>
      <c r="G376" s="368">
        <v>1</v>
      </c>
      <c r="H376" s="368">
        <f>IF(TRUNC((AD377+AC377)/$AE$3,1)*$AE$3-AD377 &lt;0, AC377, TRUNC((AD377+AC377)/$AE$3,1)*$AE$3-AD377)</f>
        <v>75.599999999999909</v>
      </c>
      <c r="I376" s="369">
        <f>H376</f>
        <v>75.599999999999909</v>
      </c>
      <c r="J376" s="368">
        <v>1</v>
      </c>
      <c r="K376" s="368"/>
      <c r="L376" s="369" t="str">
        <f>IF(G376*K376&lt;&gt;0, TRUNC(G376*K376, 1), "")</f>
        <v/>
      </c>
      <c r="M376" s="368"/>
      <c r="N376" s="369" t="str">
        <f>IF(G376*M376&lt;&gt;0, TRUNC(G376*M376, 1), "")</f>
        <v/>
      </c>
      <c r="O376" s="368">
        <f>IF((H376+K376+M376)=0, "", (H376+K376+M376))</f>
        <v>75.599999999999909</v>
      </c>
      <c r="P376" s="368">
        <f>IF(SUM(I376,L376,N376)&lt;&gt;0,SUM(I376,L376,N376),"")</f>
        <v>75.599999999999909</v>
      </c>
      <c r="Q376" s="354"/>
    </row>
    <row r="377" spans="1:31" ht="23.25" customHeight="1">
      <c r="B377" s="344" t="s">
        <v>715</v>
      </c>
      <c r="D377" s="354" t="s">
        <v>216</v>
      </c>
      <c r="E377" s="354"/>
      <c r="F377" s="355"/>
      <c r="G377" s="368"/>
      <c r="H377" s="368"/>
      <c r="I377" s="369">
        <f>TRUNC(SUM(I372:I376))</f>
        <v>10841</v>
      </c>
      <c r="J377" s="368"/>
      <c r="K377" s="368"/>
      <c r="L377" s="369">
        <f>TRUNC(SUM(L372:L376))</f>
        <v>3782</v>
      </c>
      <c r="M377" s="368"/>
      <c r="N377" s="369">
        <f>TRUNC(SUM(N372:N376))</f>
        <v>0</v>
      </c>
      <c r="O377" s="368" t="str">
        <f>IF((H377+K377+M377)=0, "", (H377+K377+M377))</f>
        <v/>
      </c>
      <c r="P377" s="368">
        <f>IF(SUM(I377,L377,N377)&lt;&gt;0,SUM(I377,L377,N377),"")</f>
        <v>14623</v>
      </c>
      <c r="Q377" s="354"/>
      <c r="AC377" s="347">
        <f>TRUNC(AE377*옵션!$B$36/100,1)</f>
        <v>75.599999999999994</v>
      </c>
      <c r="AD377" s="347">
        <f>TRUNC(SUM(L372:L375))</f>
        <v>3782</v>
      </c>
      <c r="AE377" s="347">
        <f>TRUNC(SUM(AE372:AE376))</f>
        <v>3782</v>
      </c>
    </row>
    <row r="378" spans="1:31" ht="23.25" customHeight="1">
      <c r="D378" s="354"/>
      <c r="E378" s="354"/>
      <c r="F378" s="355"/>
      <c r="G378" s="368"/>
      <c r="H378" s="368"/>
      <c r="I378" s="369"/>
      <c r="J378" s="368"/>
      <c r="K378" s="368"/>
      <c r="L378" s="369"/>
      <c r="M378" s="368"/>
      <c r="N378" s="369"/>
      <c r="O378" s="368"/>
      <c r="P378" s="368"/>
      <c r="Q378" s="354"/>
    </row>
    <row r="379" spans="1:31" ht="23.25" customHeight="1">
      <c r="A379" s="344" t="s">
        <v>792</v>
      </c>
      <c r="B379" s="344" t="s">
        <v>1833</v>
      </c>
      <c r="C379" s="365" t="s">
        <v>2070</v>
      </c>
      <c r="D379" s="714" t="s">
        <v>2071</v>
      </c>
      <c r="E379" s="715"/>
      <c r="F379" s="355"/>
      <c r="G379" s="368"/>
      <c r="H379" s="368"/>
      <c r="I379" s="369"/>
      <c r="J379" s="368"/>
      <c r="K379" s="368"/>
      <c r="L379" s="369"/>
      <c r="M379" s="368"/>
      <c r="N379" s="369"/>
      <c r="O379" s="368"/>
      <c r="P379" s="368"/>
      <c r="Q379" s="354"/>
    </row>
    <row r="380" spans="1:31" ht="23.25" customHeight="1">
      <c r="A380" s="344" t="s">
        <v>2072</v>
      </c>
      <c r="B380" s="344" t="s">
        <v>1584</v>
      </c>
      <c r="C380" s="365" t="s">
        <v>2072</v>
      </c>
      <c r="D380" s="354" t="s">
        <v>270</v>
      </c>
      <c r="E380" s="354" t="s">
        <v>407</v>
      </c>
      <c r="F380" s="355" t="s">
        <v>255</v>
      </c>
      <c r="G380" s="368">
        <v>1</v>
      </c>
      <c r="H380" s="368">
        <f>합산자재!H55</f>
        <v>15387.002540000001</v>
      </c>
      <c r="I380" s="369">
        <f>IF(G380*H380&lt;&gt;0, TRUNC(G380*H380, 1), "")</f>
        <v>15387</v>
      </c>
      <c r="J380" s="368">
        <v>1</v>
      </c>
      <c r="K380" s="368">
        <f>합산자재!I55</f>
        <v>0</v>
      </c>
      <c r="L380" s="369" t="str">
        <f>IF(G380*K380&lt;&gt;0, TRUNC(G380*K380, 1), "")</f>
        <v/>
      </c>
      <c r="M380" s="368">
        <f>합산자재!J55</f>
        <v>0</v>
      </c>
      <c r="N380" s="369" t="str">
        <f>IF(G380*M380&lt;&gt;0, TRUNC(G380*M380, 1), "")</f>
        <v/>
      </c>
      <c r="O380" s="368">
        <f>IF((H380+K380+M380)=0, "", (H380+K380+M380))</f>
        <v>15387.002540000001</v>
      </c>
      <c r="P380" s="368">
        <f>IF(SUM(I380,L380,N380)&lt;&gt;0,SUM(I380,L380,N380),"")</f>
        <v>15387</v>
      </c>
      <c r="Q380" s="354"/>
      <c r="AC380" s="347">
        <f>G380*H380</f>
        <v>15387.002540000001</v>
      </c>
    </row>
    <row r="381" spans="1:31" ht="23.25" customHeight="1">
      <c r="A381" s="344" t="s">
        <v>1885</v>
      </c>
      <c r="B381" s="344" t="s">
        <v>1584</v>
      </c>
      <c r="C381" s="365" t="s">
        <v>1885</v>
      </c>
      <c r="D381" s="354" t="s">
        <v>1886</v>
      </c>
      <c r="E381" s="354" t="s">
        <v>1887</v>
      </c>
      <c r="F381" s="355" t="s">
        <v>212</v>
      </c>
      <c r="G381" s="368">
        <v>1</v>
      </c>
      <c r="H381" s="368">
        <f>IF(TRUNC((AD381+AC381)/$AD$3,1)*$AD$3-AD381 &lt;0, AC381, TRUNC((AD381+AC381)/$AD$3,1)*$AD$3-AD381)</f>
        <v>307.70000000000073</v>
      </c>
      <c r="I381" s="369">
        <f>H381</f>
        <v>307.70000000000073</v>
      </c>
      <c r="J381" s="368">
        <v>1</v>
      </c>
      <c r="K381" s="368"/>
      <c r="L381" s="369" t="str">
        <f>IF(G381*K381&lt;&gt;0, TRUNC(G381*K381, 1), "")</f>
        <v/>
      </c>
      <c r="M381" s="368"/>
      <c r="N381" s="369" t="str">
        <f>IF(G381*M381&lt;&gt;0, TRUNC(G381*M381, 1), "")</f>
        <v/>
      </c>
      <c r="O381" s="368">
        <f>IF((H381+K381+M381)=0, "", (H381+K381+M381))</f>
        <v>307.70000000000073</v>
      </c>
      <c r="P381" s="368">
        <f>IF(SUM(I381,L381,N381)&lt;&gt;0,SUM(I381,L381,N381),"")</f>
        <v>307.70000000000073</v>
      </c>
      <c r="Q381" s="354"/>
      <c r="AC381" s="347">
        <f>TRUNC(TRUNC(SUM(AC379:AC380))*옵션!$B$33/100,1)</f>
        <v>307.7</v>
      </c>
      <c r="AD381" s="347">
        <f>TRUNC(SUM(I379:I380))+TRUNC(SUM(N379:N380))</f>
        <v>15387</v>
      </c>
    </row>
    <row r="382" spans="1:31" ht="23.25" customHeight="1">
      <c r="A382" s="344" t="s">
        <v>1991</v>
      </c>
      <c r="B382" s="344" t="s">
        <v>1584</v>
      </c>
      <c r="C382" s="365" t="s">
        <v>1991</v>
      </c>
      <c r="D382" s="354" t="s">
        <v>1664</v>
      </c>
      <c r="E382" s="354" t="s">
        <v>1992</v>
      </c>
      <c r="F382" s="355" t="s">
        <v>1852</v>
      </c>
      <c r="G382" s="368">
        <f>일위노임!G159</f>
        <v>8.2449999999999996E-2</v>
      </c>
      <c r="H382" s="368">
        <f>합산자재!H121</f>
        <v>0</v>
      </c>
      <c r="I382" s="369" t="str">
        <f>IF(G382*H382&lt;&gt;0, TRUNC(G382*H382, 1), "")</f>
        <v/>
      </c>
      <c r="J382" s="368">
        <v>8.2449999999999996E-2</v>
      </c>
      <c r="K382" s="368">
        <f>합산자재!I121</f>
        <v>240586.38331</v>
      </c>
      <c r="L382" s="369">
        <f>IF(G382*K382&lt;&gt;0, TRUNC(G382*K382, 1), "")</f>
        <v>19836.3</v>
      </c>
      <c r="M382" s="368">
        <f>합산자재!J121</f>
        <v>0</v>
      </c>
      <c r="N382" s="369" t="str">
        <f>IF(G382*M382&lt;&gt;0, TRUNC(G382*M382, 1), "")</f>
        <v/>
      </c>
      <c r="O382" s="368">
        <f>IF((H382+K382+M382)=0, "", (H382+K382+M382))</f>
        <v>240586.38331</v>
      </c>
      <c r="P382" s="368">
        <f>IF(SUM(I382,L382,N382)&lt;&gt;0,SUM(I382,L382,N382),"")</f>
        <v>19836.3</v>
      </c>
      <c r="Q382" s="354"/>
      <c r="AE382" s="347">
        <f>L382</f>
        <v>19836.3</v>
      </c>
    </row>
    <row r="383" spans="1:31" ht="23.25" customHeight="1">
      <c r="A383" s="344" t="s">
        <v>1853</v>
      </c>
      <c r="B383" s="344" t="s">
        <v>1584</v>
      </c>
      <c r="C383" s="365" t="s">
        <v>1853</v>
      </c>
      <c r="D383" s="354" t="s">
        <v>1854</v>
      </c>
      <c r="E383" s="354" t="s">
        <v>1855</v>
      </c>
      <c r="F383" s="355" t="s">
        <v>212</v>
      </c>
      <c r="G383" s="368">
        <v>1</v>
      </c>
      <c r="H383" s="368">
        <f>IF(TRUNC((AD384+AC384)/$AE$3,1)*$AE$3-AD384 &lt;0, AC384, TRUNC((AD384+AC384)/$AE$3,1)*$AE$3-AD384)</f>
        <v>396.70000000000073</v>
      </c>
      <c r="I383" s="369">
        <f>H383</f>
        <v>396.70000000000073</v>
      </c>
      <c r="J383" s="368">
        <v>1</v>
      </c>
      <c r="K383" s="368"/>
      <c r="L383" s="369" t="str">
        <f>IF(G383*K383&lt;&gt;0, TRUNC(G383*K383, 1), "")</f>
        <v/>
      </c>
      <c r="M383" s="368"/>
      <c r="N383" s="369" t="str">
        <f>IF(G383*M383&lt;&gt;0, TRUNC(G383*M383, 1), "")</f>
        <v/>
      </c>
      <c r="O383" s="368">
        <f>IF((H383+K383+M383)=0, "", (H383+K383+M383))</f>
        <v>396.70000000000073</v>
      </c>
      <c r="P383" s="368">
        <f>IF(SUM(I383,L383,N383)&lt;&gt;0,SUM(I383,L383,N383),"")</f>
        <v>396.70000000000073</v>
      </c>
      <c r="Q383" s="354"/>
    </row>
    <row r="384" spans="1:31" ht="23.25" customHeight="1">
      <c r="B384" s="344" t="s">
        <v>715</v>
      </c>
      <c r="D384" s="354" t="s">
        <v>216</v>
      </c>
      <c r="E384" s="354"/>
      <c r="F384" s="355"/>
      <c r="G384" s="368"/>
      <c r="H384" s="368"/>
      <c r="I384" s="369">
        <f>TRUNC(SUM(I379:I383))</f>
        <v>16091</v>
      </c>
      <c r="J384" s="368"/>
      <c r="K384" s="368"/>
      <c r="L384" s="369">
        <f>TRUNC(SUM(L379:L383))</f>
        <v>19836</v>
      </c>
      <c r="M384" s="368"/>
      <c r="N384" s="369">
        <f>TRUNC(SUM(N379:N383))</f>
        <v>0</v>
      </c>
      <c r="O384" s="368" t="str">
        <f>IF((H384+K384+M384)=0, "", (H384+K384+M384))</f>
        <v/>
      </c>
      <c r="P384" s="368">
        <f>IF(SUM(I384,L384,N384)&lt;&gt;0,SUM(I384,L384,N384),"")</f>
        <v>35927</v>
      </c>
      <c r="Q384" s="354"/>
      <c r="AC384" s="347">
        <f>TRUNC(AE384*옵션!$B$36/100,1)</f>
        <v>396.7</v>
      </c>
      <c r="AD384" s="347">
        <f>TRUNC(SUM(L379:L382))</f>
        <v>19836</v>
      </c>
      <c r="AE384" s="347">
        <f>TRUNC(SUM(AE379:AE383))</f>
        <v>19836</v>
      </c>
    </row>
    <row r="385" spans="1:31" ht="23.25" customHeight="1">
      <c r="D385" s="354"/>
      <c r="E385" s="354"/>
      <c r="F385" s="355"/>
      <c r="G385" s="368"/>
      <c r="H385" s="368"/>
      <c r="I385" s="369"/>
      <c r="J385" s="368"/>
      <c r="K385" s="368"/>
      <c r="L385" s="369"/>
      <c r="M385" s="368"/>
      <c r="N385" s="369"/>
      <c r="O385" s="368"/>
      <c r="P385" s="368"/>
      <c r="Q385" s="354"/>
    </row>
    <row r="386" spans="1:31" ht="23.25" customHeight="1">
      <c r="A386" s="344" t="s">
        <v>795</v>
      </c>
      <c r="B386" s="344" t="s">
        <v>1833</v>
      </c>
      <c r="C386" s="365" t="s">
        <v>2073</v>
      </c>
      <c r="D386" s="714" t="s">
        <v>2074</v>
      </c>
      <c r="E386" s="715"/>
      <c r="F386" s="355"/>
      <c r="G386" s="368"/>
      <c r="H386" s="368"/>
      <c r="I386" s="369"/>
      <c r="J386" s="368"/>
      <c r="K386" s="368"/>
      <c r="L386" s="369"/>
      <c r="M386" s="368"/>
      <c r="N386" s="369"/>
      <c r="O386" s="368"/>
      <c r="P386" s="368"/>
      <c r="Q386" s="354"/>
    </row>
    <row r="387" spans="1:31" ht="23.25" customHeight="1">
      <c r="A387" s="344" t="s">
        <v>2075</v>
      </c>
      <c r="B387" s="344" t="s">
        <v>1586</v>
      </c>
      <c r="C387" s="365" t="s">
        <v>2075</v>
      </c>
      <c r="D387" s="354" t="s">
        <v>270</v>
      </c>
      <c r="E387" s="354" t="s">
        <v>408</v>
      </c>
      <c r="F387" s="355" t="s">
        <v>255</v>
      </c>
      <c r="G387" s="368">
        <v>1</v>
      </c>
      <c r="H387" s="368">
        <f>합산자재!H56</f>
        <v>24533.494440000002</v>
      </c>
      <c r="I387" s="369">
        <f>IF(G387*H387&lt;&gt;0, TRUNC(G387*H387, 1), "")</f>
        <v>24533.4</v>
      </c>
      <c r="J387" s="368">
        <v>1</v>
      </c>
      <c r="K387" s="368">
        <f>합산자재!I56</f>
        <v>0</v>
      </c>
      <c r="L387" s="369" t="str">
        <f>IF(G387*K387&lt;&gt;0, TRUNC(G387*K387, 1), "")</f>
        <v/>
      </c>
      <c r="M387" s="368">
        <f>합산자재!J56</f>
        <v>0</v>
      </c>
      <c r="N387" s="369" t="str">
        <f>IF(G387*M387&lt;&gt;0, TRUNC(G387*M387, 1), "")</f>
        <v/>
      </c>
      <c r="O387" s="368">
        <f>IF((H387+K387+M387)=0, "", (H387+K387+M387))</f>
        <v>24533.494440000002</v>
      </c>
      <c r="P387" s="368">
        <f>IF(SUM(I387,L387,N387)&lt;&gt;0,SUM(I387,L387,N387),"")</f>
        <v>24533.4</v>
      </c>
      <c r="Q387" s="354"/>
      <c r="AC387" s="347">
        <f>G387*H387</f>
        <v>24533.494440000002</v>
      </c>
    </row>
    <row r="388" spans="1:31" ht="23.25" customHeight="1">
      <c r="A388" s="344" t="s">
        <v>1885</v>
      </c>
      <c r="B388" s="344" t="s">
        <v>1586</v>
      </c>
      <c r="C388" s="365" t="s">
        <v>1885</v>
      </c>
      <c r="D388" s="354" t="s">
        <v>1886</v>
      </c>
      <c r="E388" s="354" t="s">
        <v>1887</v>
      </c>
      <c r="F388" s="355" t="s">
        <v>212</v>
      </c>
      <c r="G388" s="368">
        <v>1</v>
      </c>
      <c r="H388" s="368">
        <f>IF(TRUNC((AD388+AC388)/$AD$3,1)*$AD$3-AD388 &lt;0, AC388, TRUNC((AD388+AC388)/$AD$3,1)*$AD$3-AD388)</f>
        <v>490.59999999999854</v>
      </c>
      <c r="I388" s="369">
        <f>H388</f>
        <v>490.59999999999854</v>
      </c>
      <c r="J388" s="368">
        <v>1</v>
      </c>
      <c r="K388" s="368"/>
      <c r="L388" s="369" t="str">
        <f>IF(G388*K388&lt;&gt;0, TRUNC(G388*K388, 1), "")</f>
        <v/>
      </c>
      <c r="M388" s="368"/>
      <c r="N388" s="369" t="str">
        <f>IF(G388*M388&lt;&gt;0, TRUNC(G388*M388, 1), "")</f>
        <v/>
      </c>
      <c r="O388" s="368">
        <f>IF((H388+K388+M388)=0, "", (H388+K388+M388))</f>
        <v>490.59999999999854</v>
      </c>
      <c r="P388" s="368">
        <f>IF(SUM(I388,L388,N388)&lt;&gt;0,SUM(I388,L388,N388),"")</f>
        <v>490.59999999999854</v>
      </c>
      <c r="Q388" s="354"/>
      <c r="AC388" s="347">
        <f>TRUNC(TRUNC(SUM(AC386:AC387))*옵션!$B$33/100,1)</f>
        <v>490.6</v>
      </c>
      <c r="AD388" s="347">
        <f>TRUNC(SUM(I386:I387))+TRUNC(SUM(N386:N387))</f>
        <v>24533</v>
      </c>
    </row>
    <row r="389" spans="1:31" ht="23.25" customHeight="1">
      <c r="A389" s="344" t="s">
        <v>1991</v>
      </c>
      <c r="B389" s="344" t="s">
        <v>1586</v>
      </c>
      <c r="C389" s="365" t="s">
        <v>1991</v>
      </c>
      <c r="D389" s="354" t="s">
        <v>1664</v>
      </c>
      <c r="E389" s="354" t="s">
        <v>1992</v>
      </c>
      <c r="F389" s="355" t="s">
        <v>1852</v>
      </c>
      <c r="G389" s="368">
        <f>일위노임!G162</f>
        <v>0.11559999999999999</v>
      </c>
      <c r="H389" s="368">
        <f>합산자재!H121</f>
        <v>0</v>
      </c>
      <c r="I389" s="369" t="str">
        <f>IF(G389*H389&lt;&gt;0, TRUNC(G389*H389, 1), "")</f>
        <v/>
      </c>
      <c r="J389" s="368">
        <v>0.11559999999999999</v>
      </c>
      <c r="K389" s="368">
        <f>합산자재!I121</f>
        <v>240586.38331</v>
      </c>
      <c r="L389" s="369">
        <f>IF(G389*K389&lt;&gt;0, TRUNC(G389*K389, 1), "")</f>
        <v>27811.7</v>
      </c>
      <c r="M389" s="368">
        <f>합산자재!J121</f>
        <v>0</v>
      </c>
      <c r="N389" s="369" t="str">
        <f>IF(G389*M389&lt;&gt;0, TRUNC(G389*M389, 1), "")</f>
        <v/>
      </c>
      <c r="O389" s="368">
        <f>IF((H389+K389+M389)=0, "", (H389+K389+M389))</f>
        <v>240586.38331</v>
      </c>
      <c r="P389" s="368">
        <f>IF(SUM(I389,L389,N389)&lt;&gt;0,SUM(I389,L389,N389),"")</f>
        <v>27811.7</v>
      </c>
      <c r="Q389" s="354"/>
      <c r="AE389" s="347">
        <f>L389</f>
        <v>27811.7</v>
      </c>
    </row>
    <row r="390" spans="1:31" ht="23.25" customHeight="1">
      <c r="A390" s="344" t="s">
        <v>1853</v>
      </c>
      <c r="B390" s="344" t="s">
        <v>1586</v>
      </c>
      <c r="C390" s="365" t="s">
        <v>1853</v>
      </c>
      <c r="D390" s="354" t="s">
        <v>1854</v>
      </c>
      <c r="E390" s="354" t="s">
        <v>1855</v>
      </c>
      <c r="F390" s="355" t="s">
        <v>212</v>
      </c>
      <c r="G390" s="368">
        <v>1</v>
      </c>
      <c r="H390" s="368">
        <f>IF(TRUNC((AD391+AC391)/$AE$3,1)*$AE$3-AD391 &lt;0, AC391, TRUNC((AD391+AC391)/$AE$3,1)*$AE$3-AD391)</f>
        <v>556.20000000000073</v>
      </c>
      <c r="I390" s="369">
        <f>H390</f>
        <v>556.20000000000073</v>
      </c>
      <c r="J390" s="368">
        <v>1</v>
      </c>
      <c r="K390" s="368"/>
      <c r="L390" s="369" t="str">
        <f>IF(G390*K390&lt;&gt;0, TRUNC(G390*K390, 1), "")</f>
        <v/>
      </c>
      <c r="M390" s="368"/>
      <c r="N390" s="369" t="str">
        <f>IF(G390*M390&lt;&gt;0, TRUNC(G390*M390, 1), "")</f>
        <v/>
      </c>
      <c r="O390" s="368">
        <f>IF((H390+K390+M390)=0, "", (H390+K390+M390))</f>
        <v>556.20000000000073</v>
      </c>
      <c r="P390" s="368">
        <f>IF(SUM(I390,L390,N390)&lt;&gt;0,SUM(I390,L390,N390),"")</f>
        <v>556.20000000000073</v>
      </c>
      <c r="Q390" s="354"/>
    </row>
    <row r="391" spans="1:31" ht="23.25" customHeight="1">
      <c r="B391" s="344" t="s">
        <v>715</v>
      </c>
      <c r="D391" s="354" t="s">
        <v>216</v>
      </c>
      <c r="E391" s="354"/>
      <c r="F391" s="355"/>
      <c r="G391" s="368"/>
      <c r="H391" s="368"/>
      <c r="I391" s="369">
        <f>TRUNC(SUM(I386:I390))</f>
        <v>25580</v>
      </c>
      <c r="J391" s="368"/>
      <c r="K391" s="368"/>
      <c r="L391" s="369">
        <f>TRUNC(SUM(L386:L390))</f>
        <v>27811</v>
      </c>
      <c r="M391" s="368"/>
      <c r="N391" s="369">
        <f>TRUNC(SUM(N386:N390))</f>
        <v>0</v>
      </c>
      <c r="O391" s="368" t="str">
        <f>IF((H391+K391+M391)=0, "", (H391+K391+M391))</f>
        <v/>
      </c>
      <c r="P391" s="368">
        <f>IF(SUM(I391,L391,N391)&lt;&gt;0,SUM(I391,L391,N391),"")</f>
        <v>53391</v>
      </c>
      <c r="Q391" s="354"/>
      <c r="AC391" s="347">
        <f>TRUNC(AE391*옵션!$B$36/100,1)</f>
        <v>556.20000000000005</v>
      </c>
      <c r="AD391" s="347">
        <f>TRUNC(SUM(L386:L389))</f>
        <v>27811</v>
      </c>
      <c r="AE391" s="347">
        <f>TRUNC(SUM(AE386:AE390))</f>
        <v>27811</v>
      </c>
    </row>
    <row r="392" spans="1:31" ht="23.25" customHeight="1">
      <c r="D392" s="354"/>
      <c r="E392" s="354"/>
      <c r="F392" s="355"/>
      <c r="G392" s="368"/>
      <c r="H392" s="368"/>
      <c r="I392" s="369"/>
      <c r="J392" s="368"/>
      <c r="K392" s="368"/>
      <c r="L392" s="369"/>
      <c r="M392" s="368"/>
      <c r="N392" s="369"/>
      <c r="O392" s="368"/>
      <c r="P392" s="368"/>
      <c r="Q392" s="354"/>
    </row>
    <row r="393" spans="1:31" ht="23.25" customHeight="1">
      <c r="A393" s="344" t="s">
        <v>798</v>
      </c>
      <c r="B393" s="344" t="s">
        <v>1833</v>
      </c>
      <c r="C393" s="365" t="s">
        <v>2076</v>
      </c>
      <c r="D393" s="714" t="s">
        <v>2077</v>
      </c>
      <c r="E393" s="715"/>
      <c r="F393" s="355"/>
      <c r="G393" s="368"/>
      <c r="H393" s="368"/>
      <c r="I393" s="369"/>
      <c r="J393" s="368"/>
      <c r="K393" s="368"/>
      <c r="L393" s="369"/>
      <c r="M393" s="368"/>
      <c r="N393" s="369"/>
      <c r="O393" s="368"/>
      <c r="P393" s="368"/>
      <c r="Q393" s="354"/>
    </row>
    <row r="394" spans="1:31" ht="23.25" customHeight="1">
      <c r="A394" s="344" t="s">
        <v>2078</v>
      </c>
      <c r="B394" s="344" t="s">
        <v>1588</v>
      </c>
      <c r="C394" s="365" t="s">
        <v>2078</v>
      </c>
      <c r="D394" s="354" t="s">
        <v>270</v>
      </c>
      <c r="E394" s="354" t="s">
        <v>409</v>
      </c>
      <c r="F394" s="355" t="s">
        <v>255</v>
      </c>
      <c r="G394" s="368">
        <v>1</v>
      </c>
      <c r="H394" s="368">
        <f>합산자재!H57</f>
        <v>3352.2379800000003</v>
      </c>
      <c r="I394" s="369">
        <f>IF(G394*H394&lt;&gt;0, TRUNC(G394*H394, 1), "")</f>
        <v>3352.2</v>
      </c>
      <c r="J394" s="368">
        <v>1</v>
      </c>
      <c r="K394" s="368">
        <f>합산자재!I57</f>
        <v>0</v>
      </c>
      <c r="L394" s="369" t="str">
        <f>IF(G394*K394&lt;&gt;0, TRUNC(G394*K394, 1), "")</f>
        <v/>
      </c>
      <c r="M394" s="368">
        <f>합산자재!J57</f>
        <v>0</v>
      </c>
      <c r="N394" s="369" t="str">
        <f>IF(G394*M394&lt;&gt;0, TRUNC(G394*M394, 1), "")</f>
        <v/>
      </c>
      <c r="O394" s="368">
        <f>IF((H394+K394+M394)=0, "", (H394+K394+M394))</f>
        <v>3352.2379800000003</v>
      </c>
      <c r="P394" s="368">
        <f>IF(SUM(I394,L394,N394)&lt;&gt;0,SUM(I394,L394,N394),"")</f>
        <v>3352.2</v>
      </c>
      <c r="Q394" s="354"/>
      <c r="AC394" s="347">
        <f>G394*H394</f>
        <v>3352.2379800000003</v>
      </c>
    </row>
    <row r="395" spans="1:31" ht="23.25" customHeight="1">
      <c r="A395" s="344" t="s">
        <v>1885</v>
      </c>
      <c r="B395" s="344" t="s">
        <v>1588</v>
      </c>
      <c r="C395" s="365" t="s">
        <v>1885</v>
      </c>
      <c r="D395" s="354" t="s">
        <v>1886</v>
      </c>
      <c r="E395" s="354" t="s">
        <v>1887</v>
      </c>
      <c r="F395" s="355" t="s">
        <v>212</v>
      </c>
      <c r="G395" s="368">
        <v>1</v>
      </c>
      <c r="H395" s="368">
        <f>IF(TRUNC((AD395+AC395)/$AD$3,1)*$AD$3-AD395 &lt;0, AC395, TRUNC((AD395+AC395)/$AD$3,1)*$AD$3-AD395)</f>
        <v>67</v>
      </c>
      <c r="I395" s="369">
        <f>H395</f>
        <v>67</v>
      </c>
      <c r="J395" s="368">
        <v>1</v>
      </c>
      <c r="K395" s="368"/>
      <c r="L395" s="369" t="str">
        <f>IF(G395*K395&lt;&gt;0, TRUNC(G395*K395, 1), "")</f>
        <v/>
      </c>
      <c r="M395" s="368"/>
      <c r="N395" s="369" t="str">
        <f>IF(G395*M395&lt;&gt;0, TRUNC(G395*M395, 1), "")</f>
        <v/>
      </c>
      <c r="O395" s="368">
        <f>IF((H395+K395+M395)=0, "", (H395+K395+M395))</f>
        <v>67</v>
      </c>
      <c r="P395" s="368">
        <f>IF(SUM(I395,L395,N395)&lt;&gt;0,SUM(I395,L395,N395),"")</f>
        <v>67</v>
      </c>
      <c r="Q395" s="354"/>
      <c r="AC395" s="347">
        <f>TRUNC(TRUNC(SUM(AC393:AC394))*옵션!$B$33/100,1)</f>
        <v>67</v>
      </c>
      <c r="AD395" s="347">
        <f>TRUNC(SUM(I393:I394))+TRUNC(SUM(N393:N394))</f>
        <v>3352</v>
      </c>
    </row>
    <row r="396" spans="1:31" ht="23.25" customHeight="1">
      <c r="A396" s="344" t="s">
        <v>1991</v>
      </c>
      <c r="B396" s="344" t="s">
        <v>1588</v>
      </c>
      <c r="C396" s="365" t="s">
        <v>1991</v>
      </c>
      <c r="D396" s="354" t="s">
        <v>1664</v>
      </c>
      <c r="E396" s="354" t="s">
        <v>1992</v>
      </c>
      <c r="F396" s="355" t="s">
        <v>1852</v>
      </c>
      <c r="G396" s="368">
        <f>일위노임!G165</f>
        <v>3.4000000000000002E-2</v>
      </c>
      <c r="H396" s="368">
        <f>합산자재!H121</f>
        <v>0</v>
      </c>
      <c r="I396" s="369" t="str">
        <f>IF(G396*H396&lt;&gt;0, TRUNC(G396*H396, 1), "")</f>
        <v/>
      </c>
      <c r="J396" s="368">
        <v>3.4000000000000002E-2</v>
      </c>
      <c r="K396" s="368">
        <f>합산자재!I121</f>
        <v>240586.38331</v>
      </c>
      <c r="L396" s="369">
        <f>IF(G396*K396&lt;&gt;0, TRUNC(G396*K396, 1), "")</f>
        <v>8179.9</v>
      </c>
      <c r="M396" s="368">
        <f>합산자재!J121</f>
        <v>0</v>
      </c>
      <c r="N396" s="369" t="str">
        <f>IF(G396*M396&lt;&gt;0, TRUNC(G396*M396, 1), "")</f>
        <v/>
      </c>
      <c r="O396" s="368">
        <f>IF((H396+K396+M396)=0, "", (H396+K396+M396))</f>
        <v>240586.38331</v>
      </c>
      <c r="P396" s="368">
        <f>IF(SUM(I396,L396,N396)&lt;&gt;0,SUM(I396,L396,N396),"")</f>
        <v>8179.9</v>
      </c>
      <c r="Q396" s="354"/>
      <c r="AE396" s="347">
        <f>L396</f>
        <v>8179.9</v>
      </c>
    </row>
    <row r="397" spans="1:31" ht="23.25" customHeight="1">
      <c r="A397" s="344" t="s">
        <v>1853</v>
      </c>
      <c r="B397" s="344" t="s">
        <v>1588</v>
      </c>
      <c r="C397" s="365" t="s">
        <v>1853</v>
      </c>
      <c r="D397" s="354" t="s">
        <v>1854</v>
      </c>
      <c r="E397" s="354" t="s">
        <v>1855</v>
      </c>
      <c r="F397" s="355" t="s">
        <v>212</v>
      </c>
      <c r="G397" s="368">
        <v>1</v>
      </c>
      <c r="H397" s="368">
        <f>IF(TRUNC((AD398+AC398)/$AE$3,1)*$AE$3-AD398 &lt;0, AC398, TRUNC((AD398+AC398)/$AE$3,1)*$AE$3-AD398)</f>
        <v>163.5</v>
      </c>
      <c r="I397" s="369">
        <f>H397</f>
        <v>163.5</v>
      </c>
      <c r="J397" s="368">
        <v>1</v>
      </c>
      <c r="K397" s="368"/>
      <c r="L397" s="369" t="str">
        <f>IF(G397*K397&lt;&gt;0, TRUNC(G397*K397, 1), "")</f>
        <v/>
      </c>
      <c r="M397" s="368"/>
      <c r="N397" s="369" t="str">
        <f>IF(G397*M397&lt;&gt;0, TRUNC(G397*M397, 1), "")</f>
        <v/>
      </c>
      <c r="O397" s="368">
        <f>IF((H397+K397+M397)=0, "", (H397+K397+M397))</f>
        <v>163.5</v>
      </c>
      <c r="P397" s="368">
        <f>IF(SUM(I397,L397,N397)&lt;&gt;0,SUM(I397,L397,N397),"")</f>
        <v>163.5</v>
      </c>
      <c r="Q397" s="354"/>
    </row>
    <row r="398" spans="1:31" ht="23.25" customHeight="1">
      <c r="B398" s="344" t="s">
        <v>715</v>
      </c>
      <c r="D398" s="354" t="s">
        <v>216</v>
      </c>
      <c r="E398" s="354"/>
      <c r="F398" s="355"/>
      <c r="G398" s="368"/>
      <c r="H398" s="368"/>
      <c r="I398" s="369">
        <f>TRUNC(SUM(I393:I397))</f>
        <v>3582</v>
      </c>
      <c r="J398" s="368"/>
      <c r="K398" s="368"/>
      <c r="L398" s="369">
        <f>TRUNC(SUM(L393:L397))</f>
        <v>8179</v>
      </c>
      <c r="M398" s="368"/>
      <c r="N398" s="369">
        <f>TRUNC(SUM(N393:N397))</f>
        <v>0</v>
      </c>
      <c r="O398" s="368" t="str">
        <f>IF((H398+K398+M398)=0, "", (H398+K398+M398))</f>
        <v/>
      </c>
      <c r="P398" s="368">
        <f>IF(SUM(I398,L398,N398)&lt;&gt;0,SUM(I398,L398,N398),"")</f>
        <v>11761</v>
      </c>
      <c r="Q398" s="354"/>
      <c r="AC398" s="347">
        <f>TRUNC(AE398*옵션!$B$36/100,1)</f>
        <v>163.5</v>
      </c>
      <c r="AD398" s="347">
        <f>TRUNC(SUM(L393:L396))</f>
        <v>8179</v>
      </c>
      <c r="AE398" s="347">
        <f>TRUNC(SUM(AE393:AE397))</f>
        <v>8179</v>
      </c>
    </row>
    <row r="399" spans="1:31" ht="23.25" customHeight="1">
      <c r="D399" s="354"/>
      <c r="E399" s="354"/>
      <c r="F399" s="355"/>
      <c r="G399" s="368"/>
      <c r="H399" s="368"/>
      <c r="I399" s="369"/>
      <c r="J399" s="368"/>
      <c r="K399" s="368"/>
      <c r="L399" s="369"/>
      <c r="M399" s="368"/>
      <c r="N399" s="369"/>
      <c r="O399" s="368"/>
      <c r="P399" s="368"/>
      <c r="Q399" s="354"/>
    </row>
    <row r="400" spans="1:31" ht="23.25" customHeight="1">
      <c r="A400" s="344" t="s">
        <v>894</v>
      </c>
      <c r="B400" s="344" t="s">
        <v>1833</v>
      </c>
      <c r="C400" s="365" t="s">
        <v>2079</v>
      </c>
      <c r="D400" s="714" t="s">
        <v>2080</v>
      </c>
      <c r="E400" s="715"/>
      <c r="F400" s="355"/>
      <c r="G400" s="368"/>
      <c r="H400" s="368"/>
      <c r="I400" s="369"/>
      <c r="J400" s="368"/>
      <c r="K400" s="368"/>
      <c r="L400" s="369"/>
      <c r="M400" s="368"/>
      <c r="N400" s="369"/>
      <c r="O400" s="368"/>
      <c r="P400" s="368"/>
      <c r="Q400" s="354"/>
    </row>
    <row r="401" spans="1:31" ht="23.25" customHeight="1">
      <c r="A401" s="344" t="s">
        <v>2081</v>
      </c>
      <c r="B401" s="344" t="s">
        <v>1590</v>
      </c>
      <c r="C401" s="365" t="s">
        <v>2081</v>
      </c>
      <c r="D401" s="354" t="s">
        <v>459</v>
      </c>
      <c r="E401" s="354" t="s">
        <v>460</v>
      </c>
      <c r="F401" s="355" t="s">
        <v>265</v>
      </c>
      <c r="G401" s="368">
        <v>1</v>
      </c>
      <c r="H401" s="368">
        <f>합산자재!H58</f>
        <v>1478.6681000000001</v>
      </c>
      <c r="I401" s="369">
        <f>IF(G401*H401&lt;&gt;0, TRUNC(G401*H401, 1), "")</f>
        <v>1478.6</v>
      </c>
      <c r="J401" s="368">
        <v>1</v>
      </c>
      <c r="K401" s="368">
        <f>합산자재!I58</f>
        <v>0</v>
      </c>
      <c r="L401" s="369" t="str">
        <f>IF(G401*K401&lt;&gt;0, TRUNC(G401*K401, 1), "")</f>
        <v/>
      </c>
      <c r="M401" s="368">
        <f>합산자재!J58</f>
        <v>0</v>
      </c>
      <c r="N401" s="369" t="str">
        <f>IF(G401*M401&lt;&gt;0, TRUNC(G401*M401, 1), "")</f>
        <v/>
      </c>
      <c r="O401" s="368">
        <f>IF((H401+K401+M401)=0, "", (H401+K401+M401))</f>
        <v>1478.6681000000001</v>
      </c>
      <c r="P401" s="368">
        <f>IF(SUM(I401,L401,N401)&lt;&gt;0,SUM(I401,L401,N401),"")</f>
        <v>1478.6</v>
      </c>
      <c r="Q401" s="354"/>
    </row>
    <row r="402" spans="1:31" ht="23.25" customHeight="1">
      <c r="A402" s="344" t="s">
        <v>1850</v>
      </c>
      <c r="B402" s="344" t="s">
        <v>1590</v>
      </c>
      <c r="C402" s="365" t="s">
        <v>1850</v>
      </c>
      <c r="D402" s="354" t="s">
        <v>1664</v>
      </c>
      <c r="E402" s="354" t="s">
        <v>1851</v>
      </c>
      <c r="F402" s="355" t="s">
        <v>1852</v>
      </c>
      <c r="G402" s="368">
        <f>일위노임!G168</f>
        <v>8.5000000000000006E-2</v>
      </c>
      <c r="H402" s="368">
        <f>합산자재!H120</f>
        <v>0</v>
      </c>
      <c r="I402" s="369" t="str">
        <f>IF(G402*H402&lt;&gt;0, TRUNC(G402*H402, 1), "")</f>
        <v/>
      </c>
      <c r="J402" s="368">
        <v>8.5000000000000006E-2</v>
      </c>
      <c r="K402" s="368">
        <f>합산자재!I120</f>
        <v>229252.87931000002</v>
      </c>
      <c r="L402" s="369">
        <f>IF(G402*K402&lt;&gt;0, TRUNC(G402*K402, 1), "")</f>
        <v>19486.400000000001</v>
      </c>
      <c r="M402" s="368">
        <f>합산자재!J120</f>
        <v>0</v>
      </c>
      <c r="N402" s="369" t="str">
        <f>IF(G402*M402&lt;&gt;0, TRUNC(G402*M402, 1), "")</f>
        <v/>
      </c>
      <c r="O402" s="368">
        <f>IF((H402+K402+M402)=0, "", (H402+K402+M402))</f>
        <v>229252.87931000002</v>
      </c>
      <c r="P402" s="368">
        <f>IF(SUM(I402,L402,N402)&lt;&gt;0,SUM(I402,L402,N402),"")</f>
        <v>19486.400000000001</v>
      </c>
      <c r="Q402" s="354"/>
      <c r="AE402" s="347">
        <f>L402</f>
        <v>19486.400000000001</v>
      </c>
    </row>
    <row r="403" spans="1:31" ht="23.25" customHeight="1">
      <c r="A403" s="344" t="s">
        <v>1853</v>
      </c>
      <c r="B403" s="344" t="s">
        <v>1590</v>
      </c>
      <c r="C403" s="365" t="s">
        <v>1853</v>
      </c>
      <c r="D403" s="354" t="s">
        <v>1854</v>
      </c>
      <c r="E403" s="354" t="s">
        <v>1855</v>
      </c>
      <c r="F403" s="355" t="s">
        <v>212</v>
      </c>
      <c r="G403" s="368">
        <v>1</v>
      </c>
      <c r="H403" s="368">
        <f>IF(TRUNC((AD404+AC404)/$AE$3,1)*$AE$3-AD404 &lt;0, AC404, TRUNC((AD404+AC404)/$AE$3,1)*$AE$3-AD404)</f>
        <v>389.70000000000073</v>
      </c>
      <c r="I403" s="369">
        <f>H403</f>
        <v>389.70000000000073</v>
      </c>
      <c r="J403" s="368">
        <v>1</v>
      </c>
      <c r="K403" s="368"/>
      <c r="L403" s="369" t="str">
        <f>IF(G403*K403&lt;&gt;0, TRUNC(G403*K403, 1), "")</f>
        <v/>
      </c>
      <c r="M403" s="368"/>
      <c r="N403" s="369" t="str">
        <f>IF(G403*M403&lt;&gt;0, TRUNC(G403*M403, 1), "")</f>
        <v/>
      </c>
      <c r="O403" s="368">
        <f>IF((H403+K403+M403)=0, "", (H403+K403+M403))</f>
        <v>389.70000000000073</v>
      </c>
      <c r="P403" s="368">
        <f>IF(SUM(I403,L403,N403)&lt;&gt;0,SUM(I403,L403,N403),"")</f>
        <v>389.70000000000073</v>
      </c>
      <c r="Q403" s="354"/>
    </row>
    <row r="404" spans="1:31" ht="23.25" customHeight="1">
      <c r="B404" s="344" t="s">
        <v>715</v>
      </c>
      <c r="D404" s="354" t="s">
        <v>216</v>
      </c>
      <c r="E404" s="354"/>
      <c r="F404" s="355"/>
      <c r="G404" s="368"/>
      <c r="H404" s="368"/>
      <c r="I404" s="369">
        <f>TRUNC(SUM(I400:I403))</f>
        <v>1868</v>
      </c>
      <c r="J404" s="368"/>
      <c r="K404" s="368"/>
      <c r="L404" s="369">
        <f>TRUNC(SUM(L400:L403))</f>
        <v>19486</v>
      </c>
      <c r="M404" s="368"/>
      <c r="N404" s="369">
        <f>TRUNC(SUM(N400:N403))</f>
        <v>0</v>
      </c>
      <c r="O404" s="368" t="str">
        <f>IF((H404+K404+M404)=0, "", (H404+K404+M404))</f>
        <v/>
      </c>
      <c r="P404" s="368">
        <f>IF(SUM(I404,L404,N404)&lt;&gt;0,SUM(I404,L404,N404),"")</f>
        <v>21354</v>
      </c>
      <c r="Q404" s="354"/>
      <c r="AC404" s="347">
        <f>TRUNC(AE404*옵션!$B$36/100,1)</f>
        <v>389.7</v>
      </c>
      <c r="AD404" s="347">
        <f>TRUNC(SUM(L400:L402))</f>
        <v>19486</v>
      </c>
      <c r="AE404" s="347">
        <f>TRUNC(SUM(AE400:AE403))</f>
        <v>19486</v>
      </c>
    </row>
    <row r="405" spans="1:31" ht="23.25" customHeight="1">
      <c r="D405" s="354"/>
      <c r="E405" s="354"/>
      <c r="F405" s="355"/>
      <c r="G405" s="368"/>
      <c r="H405" s="368"/>
      <c r="I405" s="369"/>
      <c r="J405" s="368"/>
      <c r="K405" s="368"/>
      <c r="L405" s="369"/>
      <c r="M405" s="368"/>
      <c r="N405" s="369"/>
      <c r="O405" s="368"/>
      <c r="P405" s="368"/>
      <c r="Q405" s="354"/>
    </row>
    <row r="406" spans="1:31" ht="23.25" customHeight="1">
      <c r="A406" s="344" t="s">
        <v>898</v>
      </c>
      <c r="B406" s="344" t="s">
        <v>1833</v>
      </c>
      <c r="C406" s="365" t="s">
        <v>2082</v>
      </c>
      <c r="D406" s="714" t="s">
        <v>2083</v>
      </c>
      <c r="E406" s="715"/>
      <c r="F406" s="355"/>
      <c r="G406" s="368"/>
      <c r="H406" s="368"/>
      <c r="I406" s="369"/>
      <c r="J406" s="368"/>
      <c r="K406" s="368"/>
      <c r="L406" s="369"/>
      <c r="M406" s="368"/>
      <c r="N406" s="369"/>
      <c r="O406" s="368"/>
      <c r="P406" s="368"/>
      <c r="Q406" s="354"/>
    </row>
    <row r="407" spans="1:31" ht="23.25" customHeight="1">
      <c r="A407" s="344" t="s">
        <v>2084</v>
      </c>
      <c r="B407" s="344" t="s">
        <v>1592</v>
      </c>
      <c r="C407" s="365" t="s">
        <v>2084</v>
      </c>
      <c r="D407" s="354" t="s">
        <v>459</v>
      </c>
      <c r="E407" s="354" t="s">
        <v>461</v>
      </c>
      <c r="F407" s="355" t="s">
        <v>265</v>
      </c>
      <c r="G407" s="368">
        <v>1</v>
      </c>
      <c r="H407" s="368">
        <f>합산자재!H59</f>
        <v>2195.8664000000003</v>
      </c>
      <c r="I407" s="369">
        <f>IF(G407*H407&lt;&gt;0, TRUNC(G407*H407, 1), "")</f>
        <v>2195.8000000000002</v>
      </c>
      <c r="J407" s="368">
        <v>1</v>
      </c>
      <c r="K407" s="368">
        <f>합산자재!I59</f>
        <v>0</v>
      </c>
      <c r="L407" s="369" t="str">
        <f>IF(G407*K407&lt;&gt;0, TRUNC(G407*K407, 1), "")</f>
        <v/>
      </c>
      <c r="M407" s="368">
        <f>합산자재!J59</f>
        <v>0</v>
      </c>
      <c r="N407" s="369" t="str">
        <f>IF(G407*M407&lt;&gt;0, TRUNC(G407*M407, 1), "")</f>
        <v/>
      </c>
      <c r="O407" s="368">
        <f>IF((H407+K407+M407)=0, "", (H407+K407+M407))</f>
        <v>2195.8664000000003</v>
      </c>
      <c r="P407" s="368">
        <f>IF(SUM(I407,L407,N407)&lt;&gt;0,SUM(I407,L407,N407),"")</f>
        <v>2195.8000000000002</v>
      </c>
      <c r="Q407" s="354"/>
    </row>
    <row r="408" spans="1:31" ht="23.25" customHeight="1">
      <c r="A408" s="344" t="s">
        <v>1850</v>
      </c>
      <c r="B408" s="344" t="s">
        <v>1592</v>
      </c>
      <c r="C408" s="365" t="s">
        <v>1850</v>
      </c>
      <c r="D408" s="354" t="s">
        <v>1664</v>
      </c>
      <c r="E408" s="354" t="s">
        <v>1851</v>
      </c>
      <c r="F408" s="355" t="s">
        <v>1852</v>
      </c>
      <c r="G408" s="368">
        <f>일위노임!G171</f>
        <v>8.5000000000000006E-2</v>
      </c>
      <c r="H408" s="368">
        <f>합산자재!H120</f>
        <v>0</v>
      </c>
      <c r="I408" s="369" t="str">
        <f>IF(G408*H408&lt;&gt;0, TRUNC(G408*H408, 1), "")</f>
        <v/>
      </c>
      <c r="J408" s="368">
        <v>8.5000000000000006E-2</v>
      </c>
      <c r="K408" s="368">
        <f>합산자재!I120</f>
        <v>229252.87931000002</v>
      </c>
      <c r="L408" s="369">
        <f>IF(G408*K408&lt;&gt;0, TRUNC(G408*K408, 1), "")</f>
        <v>19486.400000000001</v>
      </c>
      <c r="M408" s="368">
        <f>합산자재!J120</f>
        <v>0</v>
      </c>
      <c r="N408" s="369" t="str">
        <f>IF(G408*M408&lt;&gt;0, TRUNC(G408*M408, 1), "")</f>
        <v/>
      </c>
      <c r="O408" s="368">
        <f>IF((H408+K408+M408)=0, "", (H408+K408+M408))</f>
        <v>229252.87931000002</v>
      </c>
      <c r="P408" s="368">
        <f>IF(SUM(I408,L408,N408)&lt;&gt;0,SUM(I408,L408,N408),"")</f>
        <v>19486.400000000001</v>
      </c>
      <c r="Q408" s="354"/>
      <c r="AE408" s="347">
        <f>L408</f>
        <v>19486.400000000001</v>
      </c>
    </row>
    <row r="409" spans="1:31" ht="23.25" customHeight="1">
      <c r="A409" s="344" t="s">
        <v>1853</v>
      </c>
      <c r="B409" s="344" t="s">
        <v>1592</v>
      </c>
      <c r="C409" s="365" t="s">
        <v>1853</v>
      </c>
      <c r="D409" s="354" t="s">
        <v>1854</v>
      </c>
      <c r="E409" s="354" t="s">
        <v>1855</v>
      </c>
      <c r="F409" s="355" t="s">
        <v>212</v>
      </c>
      <c r="G409" s="368">
        <v>1</v>
      </c>
      <c r="H409" s="368">
        <f>IF(TRUNC((AD410+AC410)/$AE$3,1)*$AE$3-AD410 &lt;0, AC410, TRUNC((AD410+AC410)/$AE$3,1)*$AE$3-AD410)</f>
        <v>389.70000000000073</v>
      </c>
      <c r="I409" s="369">
        <f>H409</f>
        <v>389.70000000000073</v>
      </c>
      <c r="J409" s="368">
        <v>1</v>
      </c>
      <c r="K409" s="368"/>
      <c r="L409" s="369" t="str">
        <f>IF(G409*K409&lt;&gt;0, TRUNC(G409*K409, 1), "")</f>
        <v/>
      </c>
      <c r="M409" s="368"/>
      <c r="N409" s="369" t="str">
        <f>IF(G409*M409&lt;&gt;0, TRUNC(G409*M409, 1), "")</f>
        <v/>
      </c>
      <c r="O409" s="368">
        <f>IF((H409+K409+M409)=0, "", (H409+K409+M409))</f>
        <v>389.70000000000073</v>
      </c>
      <c r="P409" s="368">
        <f>IF(SUM(I409,L409,N409)&lt;&gt;0,SUM(I409,L409,N409),"")</f>
        <v>389.70000000000073</v>
      </c>
      <c r="Q409" s="354"/>
    </row>
    <row r="410" spans="1:31" ht="23.25" customHeight="1">
      <c r="B410" s="344" t="s">
        <v>715</v>
      </c>
      <c r="D410" s="354" t="s">
        <v>216</v>
      </c>
      <c r="E410" s="354"/>
      <c r="F410" s="355"/>
      <c r="G410" s="368"/>
      <c r="H410" s="368"/>
      <c r="I410" s="369">
        <f>TRUNC(SUM(I406:I409))</f>
        <v>2585</v>
      </c>
      <c r="J410" s="368"/>
      <c r="K410" s="368"/>
      <c r="L410" s="369">
        <f>TRUNC(SUM(L406:L409))</f>
        <v>19486</v>
      </c>
      <c r="M410" s="368"/>
      <c r="N410" s="369">
        <f>TRUNC(SUM(N406:N409))</f>
        <v>0</v>
      </c>
      <c r="O410" s="368" t="str">
        <f>IF((H410+K410+M410)=0, "", (H410+K410+M410))</f>
        <v/>
      </c>
      <c r="P410" s="368">
        <f>IF(SUM(I410,L410,N410)&lt;&gt;0,SUM(I410,L410,N410),"")</f>
        <v>22071</v>
      </c>
      <c r="Q410" s="354"/>
      <c r="AC410" s="347">
        <f>TRUNC(AE410*옵션!$B$36/100,1)</f>
        <v>389.7</v>
      </c>
      <c r="AD410" s="347">
        <f>TRUNC(SUM(L406:L408))</f>
        <v>19486</v>
      </c>
      <c r="AE410" s="347">
        <f>TRUNC(SUM(AE406:AE409))</f>
        <v>19486</v>
      </c>
    </row>
    <row r="411" spans="1:31" ht="23.25" customHeight="1">
      <c r="D411" s="354"/>
      <c r="E411" s="354"/>
      <c r="F411" s="355"/>
      <c r="G411" s="368"/>
      <c r="H411" s="368"/>
      <c r="I411" s="369"/>
      <c r="J411" s="368"/>
      <c r="K411" s="368"/>
      <c r="L411" s="369"/>
      <c r="M411" s="368"/>
      <c r="N411" s="369"/>
      <c r="O411" s="368"/>
      <c r="P411" s="368"/>
      <c r="Q411" s="354"/>
    </row>
    <row r="412" spans="1:31" ht="23.25" customHeight="1">
      <c r="A412" s="344" t="s">
        <v>901</v>
      </c>
      <c r="B412" s="344" t="s">
        <v>1833</v>
      </c>
      <c r="C412" s="365" t="s">
        <v>2085</v>
      </c>
      <c r="D412" s="714" t="s">
        <v>2086</v>
      </c>
      <c r="E412" s="715"/>
      <c r="F412" s="355"/>
      <c r="G412" s="368"/>
      <c r="H412" s="368"/>
      <c r="I412" s="369"/>
      <c r="J412" s="368"/>
      <c r="K412" s="368"/>
      <c r="L412" s="369"/>
      <c r="M412" s="368"/>
      <c r="N412" s="369"/>
      <c r="O412" s="368"/>
      <c r="P412" s="368"/>
      <c r="Q412" s="354"/>
    </row>
    <row r="413" spans="1:31" ht="23.25" customHeight="1">
      <c r="A413" s="344" t="s">
        <v>2087</v>
      </c>
      <c r="B413" s="344" t="s">
        <v>1594</v>
      </c>
      <c r="C413" s="365" t="s">
        <v>2087</v>
      </c>
      <c r="D413" s="354" t="s">
        <v>459</v>
      </c>
      <c r="E413" s="354" t="s">
        <v>462</v>
      </c>
      <c r="F413" s="355" t="s">
        <v>265</v>
      </c>
      <c r="G413" s="368">
        <v>1</v>
      </c>
      <c r="H413" s="368">
        <f>합산자재!H60</f>
        <v>2833.3760000000002</v>
      </c>
      <c r="I413" s="369">
        <f>IF(G413*H413&lt;&gt;0, TRUNC(G413*H413, 1), "")</f>
        <v>2833.3</v>
      </c>
      <c r="J413" s="368">
        <v>1</v>
      </c>
      <c r="K413" s="368">
        <f>합산자재!I60</f>
        <v>0</v>
      </c>
      <c r="L413" s="369" t="str">
        <f>IF(G413*K413&lt;&gt;0, TRUNC(G413*K413, 1), "")</f>
        <v/>
      </c>
      <c r="M413" s="368">
        <f>합산자재!J60</f>
        <v>0</v>
      </c>
      <c r="N413" s="369" t="str">
        <f>IF(G413*M413&lt;&gt;0, TRUNC(G413*M413, 1), "")</f>
        <v/>
      </c>
      <c r="O413" s="368">
        <f>IF((H413+K413+M413)=0, "", (H413+K413+M413))</f>
        <v>2833.3760000000002</v>
      </c>
      <c r="P413" s="368">
        <f>IF(SUM(I413,L413,N413)&lt;&gt;0,SUM(I413,L413,N413),"")</f>
        <v>2833.3</v>
      </c>
      <c r="Q413" s="354"/>
    </row>
    <row r="414" spans="1:31" ht="23.25" customHeight="1">
      <c r="A414" s="344" t="s">
        <v>1850</v>
      </c>
      <c r="B414" s="344" t="s">
        <v>1594</v>
      </c>
      <c r="C414" s="365" t="s">
        <v>1850</v>
      </c>
      <c r="D414" s="354" t="s">
        <v>1664</v>
      </c>
      <c r="E414" s="354" t="s">
        <v>1851</v>
      </c>
      <c r="F414" s="355" t="s">
        <v>1852</v>
      </c>
      <c r="G414" s="368">
        <f>일위노임!G174</f>
        <v>8.5000000000000006E-2</v>
      </c>
      <c r="H414" s="368">
        <f>합산자재!H120</f>
        <v>0</v>
      </c>
      <c r="I414" s="369" t="str">
        <f>IF(G414*H414&lt;&gt;0, TRUNC(G414*H414, 1), "")</f>
        <v/>
      </c>
      <c r="J414" s="368">
        <v>8.5000000000000006E-2</v>
      </c>
      <c r="K414" s="368">
        <f>합산자재!I120</f>
        <v>229252.87931000002</v>
      </c>
      <c r="L414" s="369">
        <f>IF(G414*K414&lt;&gt;0, TRUNC(G414*K414, 1), "")</f>
        <v>19486.400000000001</v>
      </c>
      <c r="M414" s="368">
        <f>합산자재!J120</f>
        <v>0</v>
      </c>
      <c r="N414" s="369" t="str">
        <f>IF(G414*M414&lt;&gt;0, TRUNC(G414*M414, 1), "")</f>
        <v/>
      </c>
      <c r="O414" s="368">
        <f>IF((H414+K414+M414)=0, "", (H414+K414+M414))</f>
        <v>229252.87931000002</v>
      </c>
      <c r="P414" s="368">
        <f>IF(SUM(I414,L414,N414)&lt;&gt;0,SUM(I414,L414,N414),"")</f>
        <v>19486.400000000001</v>
      </c>
      <c r="Q414" s="354"/>
      <c r="AE414" s="347">
        <f>L414</f>
        <v>19486.400000000001</v>
      </c>
    </row>
    <row r="415" spans="1:31" ht="23.25" customHeight="1">
      <c r="A415" s="344" t="s">
        <v>1853</v>
      </c>
      <c r="B415" s="344" t="s">
        <v>1594</v>
      </c>
      <c r="C415" s="365" t="s">
        <v>1853</v>
      </c>
      <c r="D415" s="354" t="s">
        <v>1854</v>
      </c>
      <c r="E415" s="354" t="s">
        <v>1855</v>
      </c>
      <c r="F415" s="355" t="s">
        <v>212</v>
      </c>
      <c r="G415" s="368">
        <v>1</v>
      </c>
      <c r="H415" s="368">
        <f>IF(TRUNC((AD416+AC416)/$AE$3,1)*$AE$3-AD416 &lt;0, AC416, TRUNC((AD416+AC416)/$AE$3,1)*$AE$3-AD416)</f>
        <v>389.70000000000073</v>
      </c>
      <c r="I415" s="369">
        <f>H415</f>
        <v>389.70000000000073</v>
      </c>
      <c r="J415" s="368">
        <v>1</v>
      </c>
      <c r="K415" s="368"/>
      <c r="L415" s="369" t="str">
        <f>IF(G415*K415&lt;&gt;0, TRUNC(G415*K415, 1), "")</f>
        <v/>
      </c>
      <c r="M415" s="368"/>
      <c r="N415" s="369" t="str">
        <f>IF(G415*M415&lt;&gt;0, TRUNC(G415*M415, 1), "")</f>
        <v/>
      </c>
      <c r="O415" s="368">
        <f>IF((H415+K415+M415)=0, "", (H415+K415+M415))</f>
        <v>389.70000000000073</v>
      </c>
      <c r="P415" s="368">
        <f>IF(SUM(I415,L415,N415)&lt;&gt;0,SUM(I415,L415,N415),"")</f>
        <v>389.70000000000073</v>
      </c>
      <c r="Q415" s="354"/>
    </row>
    <row r="416" spans="1:31" ht="23.25" customHeight="1">
      <c r="B416" s="344" t="s">
        <v>715</v>
      </c>
      <c r="D416" s="354" t="s">
        <v>216</v>
      </c>
      <c r="E416" s="354"/>
      <c r="F416" s="355"/>
      <c r="G416" s="368"/>
      <c r="H416" s="368"/>
      <c r="I416" s="369">
        <f>TRUNC(SUM(I412:I415))</f>
        <v>3223</v>
      </c>
      <c r="J416" s="368"/>
      <c r="K416" s="368"/>
      <c r="L416" s="369">
        <f>TRUNC(SUM(L412:L415))</f>
        <v>19486</v>
      </c>
      <c r="M416" s="368"/>
      <c r="N416" s="369">
        <f>TRUNC(SUM(N412:N415))</f>
        <v>0</v>
      </c>
      <c r="O416" s="368" t="str">
        <f>IF((H416+K416+M416)=0, "", (H416+K416+M416))</f>
        <v/>
      </c>
      <c r="P416" s="368">
        <f>IF(SUM(I416,L416,N416)&lt;&gt;0,SUM(I416,L416,N416),"")</f>
        <v>22709</v>
      </c>
      <c r="Q416" s="354"/>
      <c r="AC416" s="347">
        <f>TRUNC(AE416*옵션!$B$36/100,1)</f>
        <v>389.7</v>
      </c>
      <c r="AD416" s="347">
        <f>TRUNC(SUM(L412:L414))</f>
        <v>19486</v>
      </c>
      <c r="AE416" s="347">
        <f>TRUNC(SUM(AE412:AE415))</f>
        <v>19486</v>
      </c>
    </row>
    <row r="417" spans="1:31" ht="23.25" customHeight="1">
      <c r="D417" s="354"/>
      <c r="E417" s="354"/>
      <c r="F417" s="355"/>
      <c r="G417" s="368"/>
      <c r="H417" s="368"/>
      <c r="I417" s="369"/>
      <c r="J417" s="368"/>
      <c r="K417" s="368"/>
      <c r="L417" s="369"/>
      <c r="M417" s="368"/>
      <c r="N417" s="369"/>
      <c r="O417" s="368"/>
      <c r="P417" s="368"/>
      <c r="Q417" s="354"/>
    </row>
    <row r="418" spans="1:31" ht="23.25" customHeight="1">
      <c r="A418" s="344" t="s">
        <v>939</v>
      </c>
      <c r="B418" s="344" t="s">
        <v>1833</v>
      </c>
      <c r="C418" s="365" t="s">
        <v>2088</v>
      </c>
      <c r="D418" s="714" t="s">
        <v>2089</v>
      </c>
      <c r="E418" s="715"/>
      <c r="F418" s="355"/>
      <c r="G418" s="368"/>
      <c r="H418" s="368"/>
      <c r="I418" s="369"/>
      <c r="J418" s="368"/>
      <c r="K418" s="368"/>
      <c r="L418" s="369"/>
      <c r="M418" s="368"/>
      <c r="N418" s="369"/>
      <c r="O418" s="368"/>
      <c r="P418" s="368"/>
      <c r="Q418" s="354"/>
    </row>
    <row r="419" spans="1:31" ht="23.25" customHeight="1">
      <c r="A419" s="344" t="s">
        <v>2090</v>
      </c>
      <c r="B419" s="344" t="s">
        <v>1595</v>
      </c>
      <c r="C419" s="365" t="s">
        <v>2090</v>
      </c>
      <c r="D419" s="354" t="s">
        <v>512</v>
      </c>
      <c r="E419" s="354" t="s">
        <v>513</v>
      </c>
      <c r="F419" s="355" t="s">
        <v>265</v>
      </c>
      <c r="G419" s="368">
        <v>1</v>
      </c>
      <c r="H419" s="368">
        <f>합산자재!H61</f>
        <v>1190.90335</v>
      </c>
      <c r="I419" s="369">
        <f>IF(G419*H419&lt;&gt;0, TRUNC(G419*H419, 1), "")</f>
        <v>1190.9000000000001</v>
      </c>
      <c r="J419" s="368">
        <v>1</v>
      </c>
      <c r="K419" s="368">
        <f>합산자재!I61</f>
        <v>0</v>
      </c>
      <c r="L419" s="369" t="str">
        <f>IF(G419*K419&lt;&gt;0, TRUNC(G419*K419, 1), "")</f>
        <v/>
      </c>
      <c r="M419" s="368">
        <f>합산자재!J61</f>
        <v>0</v>
      </c>
      <c r="N419" s="369" t="str">
        <f>IF(G419*M419&lt;&gt;0, TRUNC(G419*M419, 1), "")</f>
        <v/>
      </c>
      <c r="O419" s="368">
        <f>IF((H419+K419+M419)=0, "", (H419+K419+M419))</f>
        <v>1190.90335</v>
      </c>
      <c r="P419" s="368">
        <f>IF(SUM(I419,L419,N419)&lt;&gt;0,SUM(I419,L419,N419),"")</f>
        <v>1190.9000000000001</v>
      </c>
      <c r="Q419" s="354"/>
    </row>
    <row r="420" spans="1:31" ht="23.25" customHeight="1">
      <c r="A420" s="344" t="s">
        <v>1850</v>
      </c>
      <c r="B420" s="344" t="s">
        <v>1595</v>
      </c>
      <c r="C420" s="365" t="s">
        <v>1850</v>
      </c>
      <c r="D420" s="354" t="s">
        <v>1664</v>
      </c>
      <c r="E420" s="354" t="s">
        <v>1851</v>
      </c>
      <c r="F420" s="355" t="s">
        <v>1852</v>
      </c>
      <c r="G420" s="368">
        <f>일위노임!G177</f>
        <v>0.08</v>
      </c>
      <c r="H420" s="368">
        <f>합산자재!H120</f>
        <v>0</v>
      </c>
      <c r="I420" s="369" t="str">
        <f>IF(G420*H420&lt;&gt;0, TRUNC(G420*H420, 1), "")</f>
        <v/>
      </c>
      <c r="J420" s="368">
        <v>0.08</v>
      </c>
      <c r="K420" s="368">
        <f>합산자재!I120</f>
        <v>229252.87931000002</v>
      </c>
      <c r="L420" s="369">
        <f>IF(G420*K420&lt;&gt;0, TRUNC(G420*K420, 1), "")</f>
        <v>18340.2</v>
      </c>
      <c r="M420" s="368">
        <f>합산자재!J120</f>
        <v>0</v>
      </c>
      <c r="N420" s="369" t="str">
        <f>IF(G420*M420&lt;&gt;0, TRUNC(G420*M420, 1), "")</f>
        <v/>
      </c>
      <c r="O420" s="368">
        <f>IF((H420+K420+M420)=0, "", (H420+K420+M420))</f>
        <v>229252.87931000002</v>
      </c>
      <c r="P420" s="368">
        <f>IF(SUM(I420,L420,N420)&lt;&gt;0,SUM(I420,L420,N420),"")</f>
        <v>18340.2</v>
      </c>
      <c r="Q420" s="354"/>
      <c r="AE420" s="347">
        <f>L420</f>
        <v>18340.2</v>
      </c>
    </row>
    <row r="421" spans="1:31" ht="23.25" customHeight="1">
      <c r="A421" s="344" t="s">
        <v>1853</v>
      </c>
      <c r="B421" s="344" t="s">
        <v>1595</v>
      </c>
      <c r="C421" s="365" t="s">
        <v>1853</v>
      </c>
      <c r="D421" s="354" t="s">
        <v>1854</v>
      </c>
      <c r="E421" s="354" t="s">
        <v>1855</v>
      </c>
      <c r="F421" s="355" t="s">
        <v>212</v>
      </c>
      <c r="G421" s="368">
        <v>1</v>
      </c>
      <c r="H421" s="368">
        <f>IF(TRUNC((AD422+AC422)/$AE$3,1)*$AE$3-AD422 &lt;0, AC422, TRUNC((AD422+AC422)/$AE$3,1)*$AE$3-AD422)</f>
        <v>366.79999999999927</v>
      </c>
      <c r="I421" s="369">
        <f>H421</f>
        <v>366.79999999999927</v>
      </c>
      <c r="J421" s="368">
        <v>1</v>
      </c>
      <c r="K421" s="368"/>
      <c r="L421" s="369" t="str">
        <f>IF(G421*K421&lt;&gt;0, TRUNC(G421*K421, 1), "")</f>
        <v/>
      </c>
      <c r="M421" s="368"/>
      <c r="N421" s="369" t="str">
        <f>IF(G421*M421&lt;&gt;0, TRUNC(G421*M421, 1), "")</f>
        <v/>
      </c>
      <c r="O421" s="368">
        <f>IF((H421+K421+M421)=0, "", (H421+K421+M421))</f>
        <v>366.79999999999927</v>
      </c>
      <c r="P421" s="368">
        <f>IF(SUM(I421,L421,N421)&lt;&gt;0,SUM(I421,L421,N421),"")</f>
        <v>366.79999999999927</v>
      </c>
      <c r="Q421" s="354"/>
    </row>
    <row r="422" spans="1:31" ht="23.25" customHeight="1">
      <c r="B422" s="344" t="s">
        <v>715</v>
      </c>
      <c r="D422" s="354" t="s">
        <v>216</v>
      </c>
      <c r="E422" s="354"/>
      <c r="F422" s="355"/>
      <c r="G422" s="368"/>
      <c r="H422" s="368"/>
      <c r="I422" s="369">
        <f>TRUNC(SUM(I418:I421))</f>
        <v>1557</v>
      </c>
      <c r="J422" s="368"/>
      <c r="K422" s="368"/>
      <c r="L422" s="369">
        <f>TRUNC(SUM(L418:L421))</f>
        <v>18340</v>
      </c>
      <c r="M422" s="368"/>
      <c r="N422" s="369">
        <f>TRUNC(SUM(N418:N421))</f>
        <v>0</v>
      </c>
      <c r="O422" s="368" t="str">
        <f>IF((H422+K422+M422)=0, "", (H422+K422+M422))</f>
        <v/>
      </c>
      <c r="P422" s="368">
        <f>IF(SUM(I422,L422,N422)&lt;&gt;0,SUM(I422,L422,N422),"")</f>
        <v>19897</v>
      </c>
      <c r="Q422" s="354"/>
      <c r="AC422" s="347">
        <f>TRUNC(AE422*옵션!$B$36/100,1)</f>
        <v>366.8</v>
      </c>
      <c r="AD422" s="347">
        <f>TRUNC(SUM(L418:L420))</f>
        <v>18340</v>
      </c>
      <c r="AE422" s="347">
        <f>TRUNC(SUM(AE418:AE421))</f>
        <v>18340</v>
      </c>
    </row>
    <row r="423" spans="1:31" ht="23.25" customHeight="1">
      <c r="D423" s="354"/>
      <c r="E423" s="354"/>
      <c r="F423" s="355"/>
      <c r="G423" s="368"/>
      <c r="H423" s="368"/>
      <c r="I423" s="369"/>
      <c r="J423" s="368"/>
      <c r="K423" s="368"/>
      <c r="L423" s="369"/>
      <c r="M423" s="368"/>
      <c r="N423" s="369"/>
      <c r="O423" s="368"/>
      <c r="P423" s="368"/>
      <c r="Q423" s="354"/>
    </row>
    <row r="424" spans="1:31" ht="23.25" customHeight="1">
      <c r="A424" s="344" t="s">
        <v>944</v>
      </c>
      <c r="B424" s="344" t="s">
        <v>1833</v>
      </c>
      <c r="C424" s="365" t="s">
        <v>2091</v>
      </c>
      <c r="D424" s="714" t="s">
        <v>2092</v>
      </c>
      <c r="E424" s="715"/>
      <c r="F424" s="355"/>
      <c r="G424" s="368"/>
      <c r="H424" s="368"/>
      <c r="I424" s="369"/>
      <c r="J424" s="368"/>
      <c r="K424" s="368"/>
      <c r="L424" s="369"/>
      <c r="M424" s="368"/>
      <c r="N424" s="369"/>
      <c r="O424" s="368"/>
      <c r="P424" s="368"/>
      <c r="Q424" s="354"/>
    </row>
    <row r="425" spans="1:31" ht="23.25" customHeight="1">
      <c r="A425" s="344" t="s">
        <v>2093</v>
      </c>
      <c r="B425" s="344" t="s">
        <v>1596</v>
      </c>
      <c r="C425" s="365" t="s">
        <v>2093</v>
      </c>
      <c r="D425" s="354" t="s">
        <v>514</v>
      </c>
      <c r="E425" s="354" t="s">
        <v>513</v>
      </c>
      <c r="F425" s="355" t="s">
        <v>265</v>
      </c>
      <c r="G425" s="368">
        <v>1</v>
      </c>
      <c r="H425" s="368">
        <f>합산자재!H62</f>
        <v>2160.4492</v>
      </c>
      <c r="I425" s="369">
        <f>IF(G425*H425&lt;&gt;0, TRUNC(G425*H425, 1), "")</f>
        <v>2160.4</v>
      </c>
      <c r="J425" s="368">
        <v>1</v>
      </c>
      <c r="K425" s="368">
        <f>합산자재!I62</f>
        <v>0</v>
      </c>
      <c r="L425" s="369" t="str">
        <f>IF(G425*K425&lt;&gt;0, TRUNC(G425*K425, 1), "")</f>
        <v/>
      </c>
      <c r="M425" s="368">
        <f>합산자재!J62</f>
        <v>0</v>
      </c>
      <c r="N425" s="369" t="str">
        <f>IF(G425*M425&lt;&gt;0, TRUNC(G425*M425, 1), "")</f>
        <v/>
      </c>
      <c r="O425" s="368">
        <f>IF((H425+K425+M425)=0, "", (H425+K425+M425))</f>
        <v>2160.4492</v>
      </c>
      <c r="P425" s="368">
        <f>IF(SUM(I425,L425,N425)&lt;&gt;0,SUM(I425,L425,N425),"")</f>
        <v>2160.4</v>
      </c>
      <c r="Q425" s="354"/>
    </row>
    <row r="426" spans="1:31" ht="23.25" customHeight="1">
      <c r="A426" s="344" t="s">
        <v>1850</v>
      </c>
      <c r="B426" s="344" t="s">
        <v>1596</v>
      </c>
      <c r="C426" s="365" t="s">
        <v>1850</v>
      </c>
      <c r="D426" s="354" t="s">
        <v>1664</v>
      </c>
      <c r="E426" s="354" t="s">
        <v>1851</v>
      </c>
      <c r="F426" s="355" t="s">
        <v>1852</v>
      </c>
      <c r="G426" s="368">
        <f>일위노임!G180</f>
        <v>0.08</v>
      </c>
      <c r="H426" s="368">
        <f>합산자재!H120</f>
        <v>0</v>
      </c>
      <c r="I426" s="369" t="str">
        <f>IF(G426*H426&lt;&gt;0, TRUNC(G426*H426, 1), "")</f>
        <v/>
      </c>
      <c r="J426" s="368">
        <v>0.08</v>
      </c>
      <c r="K426" s="368">
        <f>합산자재!I120</f>
        <v>229252.87931000002</v>
      </c>
      <c r="L426" s="369">
        <f>IF(G426*K426&lt;&gt;0, TRUNC(G426*K426, 1), "")</f>
        <v>18340.2</v>
      </c>
      <c r="M426" s="368">
        <f>합산자재!J120</f>
        <v>0</v>
      </c>
      <c r="N426" s="369" t="str">
        <f>IF(G426*M426&lt;&gt;0, TRUNC(G426*M426, 1), "")</f>
        <v/>
      </c>
      <c r="O426" s="368">
        <f>IF((H426+K426+M426)=0, "", (H426+K426+M426))</f>
        <v>229252.87931000002</v>
      </c>
      <c r="P426" s="368">
        <f>IF(SUM(I426,L426,N426)&lt;&gt;0,SUM(I426,L426,N426),"")</f>
        <v>18340.2</v>
      </c>
      <c r="Q426" s="354"/>
      <c r="AE426" s="347">
        <f>L426</f>
        <v>18340.2</v>
      </c>
    </row>
    <row r="427" spans="1:31" ht="23.25" customHeight="1">
      <c r="A427" s="344" t="s">
        <v>1853</v>
      </c>
      <c r="B427" s="344" t="s">
        <v>1596</v>
      </c>
      <c r="C427" s="365" t="s">
        <v>1853</v>
      </c>
      <c r="D427" s="354" t="s">
        <v>1854</v>
      </c>
      <c r="E427" s="354" t="s">
        <v>1855</v>
      </c>
      <c r="F427" s="355" t="s">
        <v>212</v>
      </c>
      <c r="G427" s="368">
        <v>1</v>
      </c>
      <c r="H427" s="368">
        <f>IF(TRUNC((AD428+AC428)/$AE$3,1)*$AE$3-AD428 &lt;0, AC428, TRUNC((AD428+AC428)/$AE$3,1)*$AE$3-AD428)</f>
        <v>366.79999999999927</v>
      </c>
      <c r="I427" s="369">
        <f>H427</f>
        <v>366.79999999999927</v>
      </c>
      <c r="J427" s="368">
        <v>1</v>
      </c>
      <c r="K427" s="368"/>
      <c r="L427" s="369" t="str">
        <f>IF(G427*K427&lt;&gt;0, TRUNC(G427*K427, 1), "")</f>
        <v/>
      </c>
      <c r="M427" s="368"/>
      <c r="N427" s="369" t="str">
        <f>IF(G427*M427&lt;&gt;0, TRUNC(G427*M427, 1), "")</f>
        <v/>
      </c>
      <c r="O427" s="368">
        <f>IF((H427+K427+M427)=0, "", (H427+K427+M427))</f>
        <v>366.79999999999927</v>
      </c>
      <c r="P427" s="368">
        <f>IF(SUM(I427,L427,N427)&lt;&gt;0,SUM(I427,L427,N427),"")</f>
        <v>366.79999999999927</v>
      </c>
      <c r="Q427" s="354"/>
    </row>
    <row r="428" spans="1:31" ht="23.25" customHeight="1">
      <c r="B428" s="344" t="s">
        <v>715</v>
      </c>
      <c r="D428" s="354" t="s">
        <v>216</v>
      </c>
      <c r="E428" s="354"/>
      <c r="F428" s="355"/>
      <c r="G428" s="368"/>
      <c r="H428" s="368"/>
      <c r="I428" s="369">
        <f>TRUNC(SUM(I424:I427))</f>
        <v>2527</v>
      </c>
      <c r="J428" s="368"/>
      <c r="K428" s="368"/>
      <c r="L428" s="369">
        <f>TRUNC(SUM(L424:L427))</f>
        <v>18340</v>
      </c>
      <c r="M428" s="368"/>
      <c r="N428" s="369">
        <f>TRUNC(SUM(N424:N427))</f>
        <v>0</v>
      </c>
      <c r="O428" s="368" t="str">
        <f>IF((H428+K428+M428)=0, "", (H428+K428+M428))</f>
        <v/>
      </c>
      <c r="P428" s="368">
        <f>IF(SUM(I428,L428,N428)&lt;&gt;0,SUM(I428,L428,N428),"")</f>
        <v>20867</v>
      </c>
      <c r="Q428" s="354"/>
      <c r="AC428" s="347">
        <f>TRUNC(AE428*옵션!$B$36/100,1)</f>
        <v>366.8</v>
      </c>
      <c r="AD428" s="347">
        <f>TRUNC(SUM(L424:L426))</f>
        <v>18340</v>
      </c>
      <c r="AE428" s="347">
        <f>TRUNC(SUM(AE424:AE427))</f>
        <v>18340</v>
      </c>
    </row>
    <row r="429" spans="1:31" ht="23.25" customHeight="1">
      <c r="D429" s="354"/>
      <c r="E429" s="354"/>
      <c r="F429" s="355"/>
      <c r="G429" s="368"/>
      <c r="H429" s="368"/>
      <c r="I429" s="369"/>
      <c r="J429" s="368"/>
      <c r="K429" s="368"/>
      <c r="L429" s="369"/>
      <c r="M429" s="368"/>
      <c r="N429" s="369"/>
      <c r="O429" s="368"/>
      <c r="P429" s="368"/>
      <c r="Q429" s="354"/>
    </row>
    <row r="430" spans="1:31" ht="23.25" customHeight="1">
      <c r="A430" s="344" t="s">
        <v>801</v>
      </c>
      <c r="B430" s="344" t="s">
        <v>1833</v>
      </c>
      <c r="C430" s="365" t="s">
        <v>2094</v>
      </c>
      <c r="D430" s="714" t="s">
        <v>2095</v>
      </c>
      <c r="E430" s="715"/>
      <c r="F430" s="355"/>
      <c r="G430" s="368"/>
      <c r="H430" s="368"/>
      <c r="I430" s="369"/>
      <c r="J430" s="368"/>
      <c r="K430" s="368"/>
      <c r="L430" s="369"/>
      <c r="M430" s="368"/>
      <c r="N430" s="369"/>
      <c r="O430" s="368"/>
      <c r="P430" s="368"/>
      <c r="Q430" s="354"/>
    </row>
    <row r="431" spans="1:31" ht="23.25" customHeight="1">
      <c r="A431" s="344" t="s">
        <v>2096</v>
      </c>
      <c r="B431" s="344" t="s">
        <v>1598</v>
      </c>
      <c r="C431" s="365" t="s">
        <v>2096</v>
      </c>
      <c r="D431" s="354" t="s">
        <v>354</v>
      </c>
      <c r="E431" s="354" t="s">
        <v>410</v>
      </c>
      <c r="F431" s="355" t="s">
        <v>265</v>
      </c>
      <c r="G431" s="368">
        <v>1</v>
      </c>
      <c r="H431" s="368">
        <f>합산자재!H68</f>
        <v>1186.4762000000001</v>
      </c>
      <c r="I431" s="369">
        <f>IF(G431*H431&lt;&gt;0, TRUNC(G431*H431, 1), "")</f>
        <v>1186.4000000000001</v>
      </c>
      <c r="J431" s="368">
        <v>1</v>
      </c>
      <c r="K431" s="368">
        <f>합산자재!I68</f>
        <v>0</v>
      </c>
      <c r="L431" s="369" t="str">
        <f>IF(G431*K431&lt;&gt;0, TRUNC(G431*K431, 1), "")</f>
        <v/>
      </c>
      <c r="M431" s="368">
        <f>합산자재!J68</f>
        <v>0</v>
      </c>
      <c r="N431" s="369" t="str">
        <f>IF(G431*M431&lt;&gt;0, TRUNC(G431*M431, 1), "")</f>
        <v/>
      </c>
      <c r="O431" s="368">
        <f>IF((H431+K431+M431)=0, "", (H431+K431+M431))</f>
        <v>1186.4762000000001</v>
      </c>
      <c r="P431" s="368">
        <f>IF(SUM(I431,L431,N431)&lt;&gt;0,SUM(I431,L431,N431),"")</f>
        <v>1186.4000000000001</v>
      </c>
      <c r="Q431" s="354"/>
    </row>
    <row r="432" spans="1:31" ht="23.25" customHeight="1">
      <c r="A432" s="344" t="s">
        <v>1991</v>
      </c>
      <c r="B432" s="344" t="s">
        <v>1598</v>
      </c>
      <c r="C432" s="365" t="s">
        <v>1991</v>
      </c>
      <c r="D432" s="354" t="s">
        <v>1664</v>
      </c>
      <c r="E432" s="354" t="s">
        <v>1992</v>
      </c>
      <c r="F432" s="355" t="s">
        <v>1852</v>
      </c>
      <c r="G432" s="368">
        <f>일위노임!G183</f>
        <v>0.15</v>
      </c>
      <c r="H432" s="368">
        <f>합산자재!H121</f>
        <v>0</v>
      </c>
      <c r="I432" s="369" t="str">
        <f>IF(G432*H432&lt;&gt;0, TRUNC(G432*H432, 1), "")</f>
        <v/>
      </c>
      <c r="J432" s="368">
        <v>0.15</v>
      </c>
      <c r="K432" s="368">
        <f>합산자재!I121</f>
        <v>240586.38331</v>
      </c>
      <c r="L432" s="369">
        <f>IF(G432*K432&lt;&gt;0, TRUNC(G432*K432, 1), "")</f>
        <v>36087.9</v>
      </c>
      <c r="M432" s="368">
        <f>합산자재!J121</f>
        <v>0</v>
      </c>
      <c r="N432" s="369" t="str">
        <f>IF(G432*M432&lt;&gt;0, TRUNC(G432*M432, 1), "")</f>
        <v/>
      </c>
      <c r="O432" s="368">
        <f>IF((H432+K432+M432)=0, "", (H432+K432+M432))</f>
        <v>240586.38331</v>
      </c>
      <c r="P432" s="368">
        <f>IF(SUM(I432,L432,N432)&lt;&gt;0,SUM(I432,L432,N432),"")</f>
        <v>36087.9</v>
      </c>
      <c r="Q432" s="354"/>
      <c r="AE432" s="347">
        <f>L432</f>
        <v>36087.9</v>
      </c>
    </row>
    <row r="433" spans="1:31" ht="23.25" customHeight="1">
      <c r="A433" s="344" t="s">
        <v>1853</v>
      </c>
      <c r="B433" s="344" t="s">
        <v>1598</v>
      </c>
      <c r="C433" s="365" t="s">
        <v>1853</v>
      </c>
      <c r="D433" s="354" t="s">
        <v>1854</v>
      </c>
      <c r="E433" s="354" t="s">
        <v>1855</v>
      </c>
      <c r="F433" s="355" t="s">
        <v>212</v>
      </c>
      <c r="G433" s="368">
        <v>1</v>
      </c>
      <c r="H433" s="368">
        <f>IF(TRUNC((AD434+AC434)/$AE$3,1)*$AE$3-AD434 &lt;0, AC434, TRUNC((AD434+AC434)/$AE$3,1)*$AE$3-AD434)</f>
        <v>721.69999999999709</v>
      </c>
      <c r="I433" s="369">
        <f>H433</f>
        <v>721.69999999999709</v>
      </c>
      <c r="J433" s="368">
        <v>1</v>
      </c>
      <c r="K433" s="368"/>
      <c r="L433" s="369" t="str">
        <f>IF(G433*K433&lt;&gt;0, TRUNC(G433*K433, 1), "")</f>
        <v/>
      </c>
      <c r="M433" s="368"/>
      <c r="N433" s="369" t="str">
        <f>IF(G433*M433&lt;&gt;0, TRUNC(G433*M433, 1), "")</f>
        <v/>
      </c>
      <c r="O433" s="368">
        <f>IF((H433+K433+M433)=0, "", (H433+K433+M433))</f>
        <v>721.69999999999709</v>
      </c>
      <c r="P433" s="368">
        <f>IF(SUM(I433,L433,N433)&lt;&gt;0,SUM(I433,L433,N433),"")</f>
        <v>721.69999999999709</v>
      </c>
      <c r="Q433" s="354"/>
    </row>
    <row r="434" spans="1:31" ht="23.25" customHeight="1">
      <c r="B434" s="344" t="s">
        <v>715</v>
      </c>
      <c r="D434" s="354" t="s">
        <v>216</v>
      </c>
      <c r="E434" s="354"/>
      <c r="F434" s="355"/>
      <c r="G434" s="368"/>
      <c r="H434" s="368"/>
      <c r="I434" s="369">
        <f>TRUNC(SUM(I430:I433))</f>
        <v>1908</v>
      </c>
      <c r="J434" s="368"/>
      <c r="K434" s="368"/>
      <c r="L434" s="369">
        <f>TRUNC(SUM(L430:L433))</f>
        <v>36087</v>
      </c>
      <c r="M434" s="368"/>
      <c r="N434" s="369">
        <f>TRUNC(SUM(N430:N433))</f>
        <v>0</v>
      </c>
      <c r="O434" s="368" t="str">
        <f>IF((H434+K434+M434)=0, "", (H434+K434+M434))</f>
        <v/>
      </c>
      <c r="P434" s="368">
        <f>IF(SUM(I434,L434,N434)&lt;&gt;0,SUM(I434,L434,N434),"")</f>
        <v>37995</v>
      </c>
      <c r="Q434" s="354"/>
      <c r="AC434" s="347">
        <f>TRUNC(AE434*옵션!$B$36/100,1)</f>
        <v>721.7</v>
      </c>
      <c r="AD434" s="347">
        <f>TRUNC(SUM(L430:L432))</f>
        <v>36087</v>
      </c>
      <c r="AE434" s="347">
        <f>TRUNC(SUM(AE430:AE433))</f>
        <v>36087</v>
      </c>
    </row>
    <row r="435" spans="1:31" ht="23.25" customHeight="1">
      <c r="D435" s="354"/>
      <c r="E435" s="354"/>
      <c r="F435" s="355"/>
      <c r="G435" s="368"/>
      <c r="H435" s="368"/>
      <c r="I435" s="369"/>
      <c r="J435" s="368"/>
      <c r="K435" s="368"/>
      <c r="L435" s="369"/>
      <c r="M435" s="368"/>
      <c r="N435" s="369"/>
      <c r="O435" s="368"/>
      <c r="P435" s="368"/>
      <c r="Q435" s="354"/>
    </row>
    <row r="436" spans="1:31" ht="23.25" customHeight="1">
      <c r="A436" s="344" t="s">
        <v>804</v>
      </c>
      <c r="B436" s="344" t="s">
        <v>1833</v>
      </c>
      <c r="C436" s="365" t="s">
        <v>2097</v>
      </c>
      <c r="D436" s="714" t="s">
        <v>2098</v>
      </c>
      <c r="E436" s="715"/>
      <c r="F436" s="355"/>
      <c r="G436" s="368"/>
      <c r="H436" s="368"/>
      <c r="I436" s="369"/>
      <c r="J436" s="368"/>
      <c r="K436" s="368"/>
      <c r="L436" s="369"/>
      <c r="M436" s="368"/>
      <c r="N436" s="369"/>
      <c r="O436" s="368"/>
      <c r="P436" s="368"/>
      <c r="Q436" s="354"/>
    </row>
    <row r="437" spans="1:31" ht="23.25" customHeight="1">
      <c r="A437" s="344" t="s">
        <v>2099</v>
      </c>
      <c r="B437" s="344" t="s">
        <v>1600</v>
      </c>
      <c r="C437" s="365" t="s">
        <v>2099</v>
      </c>
      <c r="D437" s="354" t="s">
        <v>354</v>
      </c>
      <c r="E437" s="354" t="s">
        <v>411</v>
      </c>
      <c r="F437" s="355" t="s">
        <v>265</v>
      </c>
      <c r="G437" s="368">
        <v>1</v>
      </c>
      <c r="H437" s="368">
        <f>합산자재!H69</f>
        <v>2089.6148000000003</v>
      </c>
      <c r="I437" s="369">
        <f>IF(G437*H437&lt;&gt;0, TRUNC(G437*H437, 1), "")</f>
        <v>2089.6</v>
      </c>
      <c r="J437" s="368">
        <v>1</v>
      </c>
      <c r="K437" s="368">
        <f>합산자재!I69</f>
        <v>0</v>
      </c>
      <c r="L437" s="369" t="str">
        <f>IF(G437*K437&lt;&gt;0, TRUNC(G437*K437, 1), "")</f>
        <v/>
      </c>
      <c r="M437" s="368">
        <f>합산자재!J69</f>
        <v>0</v>
      </c>
      <c r="N437" s="369" t="str">
        <f>IF(G437*M437&lt;&gt;0, TRUNC(G437*M437, 1), "")</f>
        <v/>
      </c>
      <c r="O437" s="368">
        <f>IF((H437+K437+M437)=0, "", (H437+K437+M437))</f>
        <v>2089.6148000000003</v>
      </c>
      <c r="P437" s="368">
        <f>IF(SUM(I437,L437,N437)&lt;&gt;0,SUM(I437,L437,N437),"")</f>
        <v>2089.6</v>
      </c>
      <c r="Q437" s="354"/>
    </row>
    <row r="438" spans="1:31" ht="23.25" customHeight="1">
      <c r="A438" s="344" t="s">
        <v>1991</v>
      </c>
      <c r="B438" s="344" t="s">
        <v>1600</v>
      </c>
      <c r="C438" s="365" t="s">
        <v>1991</v>
      </c>
      <c r="D438" s="354" t="s">
        <v>1664</v>
      </c>
      <c r="E438" s="354" t="s">
        <v>1992</v>
      </c>
      <c r="F438" s="355" t="s">
        <v>1852</v>
      </c>
      <c r="G438" s="368">
        <f>일위노임!G186</f>
        <v>0.17100000000000001</v>
      </c>
      <c r="H438" s="368">
        <f>합산자재!H121</f>
        <v>0</v>
      </c>
      <c r="I438" s="369" t="str">
        <f>IF(G438*H438&lt;&gt;0, TRUNC(G438*H438, 1), "")</f>
        <v/>
      </c>
      <c r="J438" s="368">
        <v>0.17100000000000001</v>
      </c>
      <c r="K438" s="368">
        <f>합산자재!I121</f>
        <v>240586.38331</v>
      </c>
      <c r="L438" s="369">
        <f>IF(G438*K438&lt;&gt;0, TRUNC(G438*K438, 1), "")</f>
        <v>41140.199999999997</v>
      </c>
      <c r="M438" s="368">
        <f>합산자재!J121</f>
        <v>0</v>
      </c>
      <c r="N438" s="369" t="str">
        <f>IF(G438*M438&lt;&gt;0, TRUNC(G438*M438, 1), "")</f>
        <v/>
      </c>
      <c r="O438" s="368">
        <f>IF((H438+K438+M438)=0, "", (H438+K438+M438))</f>
        <v>240586.38331</v>
      </c>
      <c r="P438" s="368">
        <f>IF(SUM(I438,L438,N438)&lt;&gt;0,SUM(I438,L438,N438),"")</f>
        <v>41140.199999999997</v>
      </c>
      <c r="Q438" s="354"/>
      <c r="AE438" s="347">
        <f>L438</f>
        <v>41140.199999999997</v>
      </c>
    </row>
    <row r="439" spans="1:31" ht="23.25" customHeight="1">
      <c r="A439" s="344" t="s">
        <v>1853</v>
      </c>
      <c r="B439" s="344" t="s">
        <v>1600</v>
      </c>
      <c r="C439" s="365" t="s">
        <v>1853</v>
      </c>
      <c r="D439" s="354" t="s">
        <v>1854</v>
      </c>
      <c r="E439" s="354" t="s">
        <v>1855</v>
      </c>
      <c r="F439" s="355" t="s">
        <v>212</v>
      </c>
      <c r="G439" s="368">
        <v>1</v>
      </c>
      <c r="H439" s="368">
        <f>IF(TRUNC((AD440+AC440)/$AE$3,1)*$AE$3-AD440 &lt;0, AC440, TRUNC((AD440+AC440)/$AE$3,1)*$AE$3-AD440)</f>
        <v>822.80000000000291</v>
      </c>
      <c r="I439" s="369">
        <f>H439</f>
        <v>822.80000000000291</v>
      </c>
      <c r="J439" s="368">
        <v>1</v>
      </c>
      <c r="K439" s="368"/>
      <c r="L439" s="369" t="str">
        <f>IF(G439*K439&lt;&gt;0, TRUNC(G439*K439, 1), "")</f>
        <v/>
      </c>
      <c r="M439" s="368"/>
      <c r="N439" s="369" t="str">
        <f>IF(G439*M439&lt;&gt;0, TRUNC(G439*M439, 1), "")</f>
        <v/>
      </c>
      <c r="O439" s="368">
        <f>IF((H439+K439+M439)=0, "", (H439+K439+M439))</f>
        <v>822.80000000000291</v>
      </c>
      <c r="P439" s="368">
        <f>IF(SUM(I439,L439,N439)&lt;&gt;0,SUM(I439,L439,N439),"")</f>
        <v>822.80000000000291</v>
      </c>
      <c r="Q439" s="354"/>
    </row>
    <row r="440" spans="1:31" ht="23.25" customHeight="1">
      <c r="B440" s="344" t="s">
        <v>715</v>
      </c>
      <c r="D440" s="354" t="s">
        <v>216</v>
      </c>
      <c r="E440" s="354"/>
      <c r="F440" s="355"/>
      <c r="G440" s="368"/>
      <c r="H440" s="368"/>
      <c r="I440" s="369">
        <f>TRUNC(SUM(I436:I439))</f>
        <v>2912</v>
      </c>
      <c r="J440" s="368"/>
      <c r="K440" s="368"/>
      <c r="L440" s="369">
        <f>TRUNC(SUM(L436:L439))</f>
        <v>41140</v>
      </c>
      <c r="M440" s="368"/>
      <c r="N440" s="369">
        <f>TRUNC(SUM(N436:N439))</f>
        <v>0</v>
      </c>
      <c r="O440" s="368" t="str">
        <f>IF((H440+K440+M440)=0, "", (H440+K440+M440))</f>
        <v/>
      </c>
      <c r="P440" s="368">
        <f>IF(SUM(I440,L440,N440)&lt;&gt;0,SUM(I440,L440,N440),"")</f>
        <v>44052</v>
      </c>
      <c r="Q440" s="354"/>
      <c r="AC440" s="347">
        <f>TRUNC(AE440*옵션!$B$36/100,1)</f>
        <v>822.8</v>
      </c>
      <c r="AD440" s="347">
        <f>TRUNC(SUM(L436:L438))</f>
        <v>41140</v>
      </c>
      <c r="AE440" s="347">
        <f>TRUNC(SUM(AE436:AE439))</f>
        <v>41140</v>
      </c>
    </row>
    <row r="441" spans="1:31" ht="23.25" customHeight="1">
      <c r="D441" s="354"/>
      <c r="E441" s="354"/>
      <c r="F441" s="355"/>
      <c r="G441" s="368"/>
      <c r="H441" s="368"/>
      <c r="I441" s="369"/>
      <c r="J441" s="368"/>
      <c r="K441" s="368"/>
      <c r="L441" s="369"/>
      <c r="M441" s="368"/>
      <c r="N441" s="369"/>
      <c r="O441" s="368"/>
      <c r="P441" s="368"/>
      <c r="Q441" s="354"/>
    </row>
    <row r="442" spans="1:31" ht="23.25" customHeight="1">
      <c r="A442" s="344" t="s">
        <v>807</v>
      </c>
      <c r="B442" s="344" t="s">
        <v>1833</v>
      </c>
      <c r="C442" s="365" t="s">
        <v>2100</v>
      </c>
      <c r="D442" s="714" t="s">
        <v>2101</v>
      </c>
      <c r="E442" s="715"/>
      <c r="F442" s="355"/>
      <c r="G442" s="368"/>
      <c r="H442" s="368"/>
      <c r="I442" s="369"/>
      <c r="J442" s="368"/>
      <c r="K442" s="368"/>
      <c r="L442" s="369"/>
      <c r="M442" s="368"/>
      <c r="N442" s="369"/>
      <c r="O442" s="368"/>
      <c r="P442" s="368"/>
      <c r="Q442" s="354"/>
    </row>
    <row r="443" spans="1:31" ht="23.25" customHeight="1">
      <c r="A443" s="344" t="s">
        <v>2102</v>
      </c>
      <c r="B443" s="344" t="s">
        <v>1602</v>
      </c>
      <c r="C443" s="365" t="s">
        <v>2102</v>
      </c>
      <c r="D443" s="354" t="s">
        <v>354</v>
      </c>
      <c r="E443" s="354" t="s">
        <v>412</v>
      </c>
      <c r="F443" s="355" t="s">
        <v>265</v>
      </c>
      <c r="G443" s="368">
        <v>1</v>
      </c>
      <c r="H443" s="368">
        <f>합산자재!H70</f>
        <v>2842.2303000000002</v>
      </c>
      <c r="I443" s="369">
        <f>IF(G443*H443&lt;&gt;0, TRUNC(G443*H443, 1), "")</f>
        <v>2842.2</v>
      </c>
      <c r="J443" s="368">
        <v>1</v>
      </c>
      <c r="K443" s="368">
        <f>합산자재!I70</f>
        <v>0</v>
      </c>
      <c r="L443" s="369" t="str">
        <f>IF(G443*K443&lt;&gt;0, TRUNC(G443*K443, 1), "")</f>
        <v/>
      </c>
      <c r="M443" s="368">
        <f>합산자재!J70</f>
        <v>0</v>
      </c>
      <c r="N443" s="369" t="str">
        <f>IF(G443*M443&lt;&gt;0, TRUNC(G443*M443, 1), "")</f>
        <v/>
      </c>
      <c r="O443" s="368">
        <f>IF((H443+K443+M443)=0, "", (H443+K443+M443))</f>
        <v>2842.2303000000002</v>
      </c>
      <c r="P443" s="368">
        <f>IF(SUM(I443,L443,N443)&lt;&gt;0,SUM(I443,L443,N443),"")</f>
        <v>2842.2</v>
      </c>
      <c r="Q443" s="354"/>
    </row>
    <row r="444" spans="1:31" ht="23.25" customHeight="1">
      <c r="A444" s="344" t="s">
        <v>1991</v>
      </c>
      <c r="B444" s="344" t="s">
        <v>1602</v>
      </c>
      <c r="C444" s="365" t="s">
        <v>1991</v>
      </c>
      <c r="D444" s="354" t="s">
        <v>1664</v>
      </c>
      <c r="E444" s="354" t="s">
        <v>1992</v>
      </c>
      <c r="F444" s="355" t="s">
        <v>1852</v>
      </c>
      <c r="G444" s="368">
        <f>일위노임!G189</f>
        <v>0.192</v>
      </c>
      <c r="H444" s="368">
        <f>합산자재!H121</f>
        <v>0</v>
      </c>
      <c r="I444" s="369" t="str">
        <f>IF(G444*H444&lt;&gt;0, TRUNC(G444*H444, 1), "")</f>
        <v/>
      </c>
      <c r="J444" s="368">
        <v>0.192</v>
      </c>
      <c r="K444" s="368">
        <f>합산자재!I121</f>
        <v>240586.38331</v>
      </c>
      <c r="L444" s="369">
        <f>IF(G444*K444&lt;&gt;0, TRUNC(G444*K444, 1), "")</f>
        <v>46192.5</v>
      </c>
      <c r="M444" s="368">
        <f>합산자재!J121</f>
        <v>0</v>
      </c>
      <c r="N444" s="369" t="str">
        <f>IF(G444*M444&lt;&gt;0, TRUNC(G444*M444, 1), "")</f>
        <v/>
      </c>
      <c r="O444" s="368">
        <f>IF((H444+K444+M444)=0, "", (H444+K444+M444))</f>
        <v>240586.38331</v>
      </c>
      <c r="P444" s="368">
        <f>IF(SUM(I444,L444,N444)&lt;&gt;0,SUM(I444,L444,N444),"")</f>
        <v>46192.5</v>
      </c>
      <c r="Q444" s="354"/>
      <c r="AE444" s="347">
        <f>L444</f>
        <v>46192.5</v>
      </c>
    </row>
    <row r="445" spans="1:31" ht="23.25" customHeight="1">
      <c r="A445" s="344" t="s">
        <v>1853</v>
      </c>
      <c r="B445" s="344" t="s">
        <v>1602</v>
      </c>
      <c r="C445" s="365" t="s">
        <v>1853</v>
      </c>
      <c r="D445" s="354" t="s">
        <v>1854</v>
      </c>
      <c r="E445" s="354" t="s">
        <v>1855</v>
      </c>
      <c r="F445" s="355" t="s">
        <v>212</v>
      </c>
      <c r="G445" s="368">
        <v>1</v>
      </c>
      <c r="H445" s="368">
        <f>IF(TRUNC((AD446+AC446)/$AE$3,1)*$AE$3-AD446 &lt;0, AC446, TRUNC((AD446+AC446)/$AE$3,1)*$AE$3-AD446)</f>
        <v>923.80000000000291</v>
      </c>
      <c r="I445" s="369">
        <f>H445</f>
        <v>923.80000000000291</v>
      </c>
      <c r="J445" s="368">
        <v>1</v>
      </c>
      <c r="K445" s="368"/>
      <c r="L445" s="369" t="str">
        <f>IF(G445*K445&lt;&gt;0, TRUNC(G445*K445, 1), "")</f>
        <v/>
      </c>
      <c r="M445" s="368"/>
      <c r="N445" s="369" t="str">
        <f>IF(G445*M445&lt;&gt;0, TRUNC(G445*M445, 1), "")</f>
        <v/>
      </c>
      <c r="O445" s="368">
        <f>IF((H445+K445+M445)=0, "", (H445+K445+M445))</f>
        <v>923.80000000000291</v>
      </c>
      <c r="P445" s="368">
        <f>IF(SUM(I445,L445,N445)&lt;&gt;0,SUM(I445,L445,N445),"")</f>
        <v>923.80000000000291</v>
      </c>
      <c r="Q445" s="354"/>
    </row>
    <row r="446" spans="1:31" ht="23.25" customHeight="1">
      <c r="B446" s="344" t="s">
        <v>715</v>
      </c>
      <c r="D446" s="354" t="s">
        <v>216</v>
      </c>
      <c r="E446" s="354"/>
      <c r="F446" s="355"/>
      <c r="G446" s="368"/>
      <c r="H446" s="368"/>
      <c r="I446" s="369">
        <f>TRUNC(SUM(I442:I445))</f>
        <v>3766</v>
      </c>
      <c r="J446" s="368"/>
      <c r="K446" s="368"/>
      <c r="L446" s="369">
        <f>TRUNC(SUM(L442:L445))</f>
        <v>46192</v>
      </c>
      <c r="M446" s="368"/>
      <c r="N446" s="369">
        <f>TRUNC(SUM(N442:N445))</f>
        <v>0</v>
      </c>
      <c r="O446" s="368" t="str">
        <f>IF((H446+K446+M446)=0, "", (H446+K446+M446))</f>
        <v/>
      </c>
      <c r="P446" s="368">
        <f>IF(SUM(I446,L446,N446)&lt;&gt;0,SUM(I446,L446,N446),"")</f>
        <v>49958</v>
      </c>
      <c r="Q446" s="354"/>
      <c r="AC446" s="347">
        <f>TRUNC(AE446*옵션!$B$36/100,1)</f>
        <v>923.8</v>
      </c>
      <c r="AD446" s="347">
        <f>TRUNC(SUM(L442:L444))</f>
        <v>46192</v>
      </c>
      <c r="AE446" s="347">
        <f>TRUNC(SUM(AE442:AE445))</f>
        <v>46192</v>
      </c>
    </row>
    <row r="447" spans="1:31" ht="23.25" customHeight="1">
      <c r="D447" s="354"/>
      <c r="E447" s="354"/>
      <c r="F447" s="355"/>
      <c r="G447" s="368"/>
      <c r="H447" s="368"/>
      <c r="I447" s="369"/>
      <c r="J447" s="368"/>
      <c r="K447" s="368"/>
      <c r="L447" s="369"/>
      <c r="M447" s="368"/>
      <c r="N447" s="369"/>
      <c r="O447" s="368"/>
      <c r="P447" s="368"/>
      <c r="Q447" s="354"/>
    </row>
    <row r="448" spans="1:31" ht="23.25" customHeight="1">
      <c r="A448" s="344" t="s">
        <v>745</v>
      </c>
      <c r="B448" s="344" t="s">
        <v>1833</v>
      </c>
      <c r="C448" s="365" t="s">
        <v>2103</v>
      </c>
      <c r="D448" s="714" t="s">
        <v>2104</v>
      </c>
      <c r="E448" s="715"/>
      <c r="F448" s="355"/>
      <c r="G448" s="368"/>
      <c r="H448" s="368"/>
      <c r="I448" s="369"/>
      <c r="J448" s="368"/>
      <c r="K448" s="368"/>
      <c r="L448" s="369"/>
      <c r="M448" s="368"/>
      <c r="N448" s="369"/>
      <c r="O448" s="368"/>
      <c r="P448" s="368"/>
      <c r="Q448" s="354"/>
    </row>
    <row r="449" spans="1:31" ht="23.25" customHeight="1">
      <c r="A449" s="344" t="s">
        <v>2105</v>
      </c>
      <c r="B449" s="344" t="s">
        <v>1604</v>
      </c>
      <c r="C449" s="365" t="s">
        <v>2105</v>
      </c>
      <c r="D449" s="354" t="s">
        <v>354</v>
      </c>
      <c r="E449" s="354" t="s">
        <v>355</v>
      </c>
      <c r="F449" s="355" t="s">
        <v>265</v>
      </c>
      <c r="G449" s="368">
        <v>1</v>
      </c>
      <c r="H449" s="368">
        <f>합산자재!H71</f>
        <v>3833.9119000000001</v>
      </c>
      <c r="I449" s="369">
        <f>IF(G449*H449&lt;&gt;0, TRUNC(G449*H449, 1), "")</f>
        <v>3833.9</v>
      </c>
      <c r="J449" s="368">
        <v>1</v>
      </c>
      <c r="K449" s="368">
        <f>합산자재!I71</f>
        <v>0</v>
      </c>
      <c r="L449" s="369" t="str">
        <f>IF(G449*K449&lt;&gt;0, TRUNC(G449*K449, 1), "")</f>
        <v/>
      </c>
      <c r="M449" s="368">
        <f>합산자재!J71</f>
        <v>0</v>
      </c>
      <c r="N449" s="369" t="str">
        <f>IF(G449*M449&lt;&gt;0, TRUNC(G449*M449, 1), "")</f>
        <v/>
      </c>
      <c r="O449" s="368">
        <f>IF((H449+K449+M449)=0, "", (H449+K449+M449))</f>
        <v>3833.9119000000001</v>
      </c>
      <c r="P449" s="368">
        <f>IF(SUM(I449,L449,N449)&lt;&gt;0,SUM(I449,L449,N449),"")</f>
        <v>3833.9</v>
      </c>
      <c r="Q449" s="354"/>
    </row>
    <row r="450" spans="1:31" ht="23.25" customHeight="1">
      <c r="A450" s="344" t="s">
        <v>1991</v>
      </c>
      <c r="B450" s="344" t="s">
        <v>1604</v>
      </c>
      <c r="C450" s="365" t="s">
        <v>1991</v>
      </c>
      <c r="D450" s="354" t="s">
        <v>1664</v>
      </c>
      <c r="E450" s="354" t="s">
        <v>1992</v>
      </c>
      <c r="F450" s="355" t="s">
        <v>1852</v>
      </c>
      <c r="G450" s="368">
        <f>일위노임!G192</f>
        <v>0.23100000000000001</v>
      </c>
      <c r="H450" s="368">
        <f>합산자재!H121</f>
        <v>0</v>
      </c>
      <c r="I450" s="369" t="str">
        <f>IF(G450*H450&lt;&gt;0, TRUNC(G450*H450, 1), "")</f>
        <v/>
      </c>
      <c r="J450" s="368">
        <v>0.23100000000000001</v>
      </c>
      <c r="K450" s="368">
        <f>합산자재!I121</f>
        <v>240586.38331</v>
      </c>
      <c r="L450" s="369">
        <f>IF(G450*K450&lt;&gt;0, TRUNC(G450*K450, 1), "")</f>
        <v>55575.4</v>
      </c>
      <c r="M450" s="368">
        <f>합산자재!J121</f>
        <v>0</v>
      </c>
      <c r="N450" s="369" t="str">
        <f>IF(G450*M450&lt;&gt;0, TRUNC(G450*M450, 1), "")</f>
        <v/>
      </c>
      <c r="O450" s="368">
        <f>IF((H450+K450+M450)=0, "", (H450+K450+M450))</f>
        <v>240586.38331</v>
      </c>
      <c r="P450" s="368">
        <f>IF(SUM(I450,L450,N450)&lt;&gt;0,SUM(I450,L450,N450),"")</f>
        <v>55575.4</v>
      </c>
      <c r="Q450" s="354"/>
      <c r="AE450" s="347">
        <f>L450</f>
        <v>55575.4</v>
      </c>
    </row>
    <row r="451" spans="1:31" ht="23.25" customHeight="1">
      <c r="A451" s="344" t="s">
        <v>1853</v>
      </c>
      <c r="B451" s="344" t="s">
        <v>1604</v>
      </c>
      <c r="C451" s="365" t="s">
        <v>1853</v>
      </c>
      <c r="D451" s="354" t="s">
        <v>1854</v>
      </c>
      <c r="E451" s="354" t="s">
        <v>1855</v>
      </c>
      <c r="F451" s="355" t="s">
        <v>212</v>
      </c>
      <c r="G451" s="368">
        <v>1</v>
      </c>
      <c r="H451" s="368">
        <f>IF(TRUNC((AD452+AC452)/$AE$3,1)*$AE$3-AD452 &lt;0, AC452, TRUNC((AD452+AC452)/$AE$3,1)*$AE$3-AD452)</f>
        <v>1111.5</v>
      </c>
      <c r="I451" s="369">
        <f>H451</f>
        <v>1111.5</v>
      </c>
      <c r="J451" s="368">
        <v>1</v>
      </c>
      <c r="K451" s="368"/>
      <c r="L451" s="369" t="str">
        <f>IF(G451*K451&lt;&gt;0, TRUNC(G451*K451, 1), "")</f>
        <v/>
      </c>
      <c r="M451" s="368"/>
      <c r="N451" s="369" t="str">
        <f>IF(G451*M451&lt;&gt;0, TRUNC(G451*M451, 1), "")</f>
        <v/>
      </c>
      <c r="O451" s="368">
        <f>IF((H451+K451+M451)=0, "", (H451+K451+M451))</f>
        <v>1111.5</v>
      </c>
      <c r="P451" s="368">
        <f>IF(SUM(I451,L451,N451)&lt;&gt;0,SUM(I451,L451,N451),"")</f>
        <v>1111.5</v>
      </c>
      <c r="Q451" s="354"/>
    </row>
    <row r="452" spans="1:31" ht="23.25" customHeight="1">
      <c r="B452" s="344" t="s">
        <v>715</v>
      </c>
      <c r="D452" s="354" t="s">
        <v>216</v>
      </c>
      <c r="E452" s="354"/>
      <c r="F452" s="355"/>
      <c r="G452" s="368"/>
      <c r="H452" s="368"/>
      <c r="I452" s="369">
        <f>TRUNC(SUM(I448:I451))</f>
        <v>4945</v>
      </c>
      <c r="J452" s="368"/>
      <c r="K452" s="368"/>
      <c r="L452" s="369">
        <f>TRUNC(SUM(L448:L451))</f>
        <v>55575</v>
      </c>
      <c r="M452" s="368"/>
      <c r="N452" s="369">
        <f>TRUNC(SUM(N448:N451))</f>
        <v>0</v>
      </c>
      <c r="O452" s="368" t="str">
        <f>IF((H452+K452+M452)=0, "", (H452+K452+M452))</f>
        <v/>
      </c>
      <c r="P452" s="368">
        <f>IF(SUM(I452,L452,N452)&lt;&gt;0,SUM(I452,L452,N452),"")</f>
        <v>60520</v>
      </c>
      <c r="Q452" s="354"/>
      <c r="AC452" s="347">
        <f>TRUNC(AE452*옵션!$B$36/100,1)</f>
        <v>1111.5</v>
      </c>
      <c r="AD452" s="347">
        <f>TRUNC(SUM(L448:L450))</f>
        <v>55575</v>
      </c>
      <c r="AE452" s="347">
        <f>TRUNC(SUM(AE448:AE451))</f>
        <v>55575</v>
      </c>
    </row>
    <row r="453" spans="1:31" ht="23.25" customHeight="1">
      <c r="D453" s="354"/>
      <c r="E453" s="354"/>
      <c r="F453" s="355"/>
      <c r="G453" s="368"/>
      <c r="H453" s="368"/>
      <c r="I453" s="369"/>
      <c r="J453" s="368"/>
      <c r="K453" s="368"/>
      <c r="L453" s="369"/>
      <c r="M453" s="368"/>
      <c r="N453" s="369"/>
      <c r="O453" s="368"/>
      <c r="P453" s="368"/>
      <c r="Q453" s="354"/>
    </row>
    <row r="454" spans="1:31" ht="23.25" customHeight="1">
      <c r="A454" s="344" t="s">
        <v>991</v>
      </c>
      <c r="B454" s="344" t="s">
        <v>1833</v>
      </c>
      <c r="C454" s="365" t="s">
        <v>2106</v>
      </c>
      <c r="D454" s="714" t="s">
        <v>2107</v>
      </c>
      <c r="E454" s="715"/>
      <c r="F454" s="355"/>
      <c r="G454" s="368"/>
      <c r="H454" s="368"/>
      <c r="I454" s="369"/>
      <c r="J454" s="368"/>
      <c r="K454" s="368"/>
      <c r="L454" s="369"/>
      <c r="M454" s="368"/>
      <c r="N454" s="369"/>
      <c r="O454" s="368"/>
      <c r="P454" s="368"/>
      <c r="Q454" s="354"/>
    </row>
    <row r="455" spans="1:31" ht="23.25" customHeight="1">
      <c r="A455" s="344" t="s">
        <v>2108</v>
      </c>
      <c r="B455" s="344" t="s">
        <v>1606</v>
      </c>
      <c r="C455" s="365" t="s">
        <v>2108</v>
      </c>
      <c r="D455" s="354" t="s">
        <v>542</v>
      </c>
      <c r="E455" s="354" t="s">
        <v>543</v>
      </c>
      <c r="F455" s="355" t="s">
        <v>265</v>
      </c>
      <c r="G455" s="368">
        <v>1</v>
      </c>
      <c r="H455" s="368">
        <f>합산자재!H72</f>
        <v>146.98138</v>
      </c>
      <c r="I455" s="369">
        <f>IF(G455*H455&lt;&gt;0, TRUNC(G455*H455, 1), "")</f>
        <v>146.9</v>
      </c>
      <c r="J455" s="368">
        <v>1</v>
      </c>
      <c r="K455" s="368">
        <f>합산자재!I72</f>
        <v>0</v>
      </c>
      <c r="L455" s="369" t="str">
        <f>IF(G455*K455&lt;&gt;0, TRUNC(G455*K455, 1), "")</f>
        <v/>
      </c>
      <c r="M455" s="368">
        <f>합산자재!J72</f>
        <v>0</v>
      </c>
      <c r="N455" s="369" t="str">
        <f>IF(G455*M455&lt;&gt;0, TRUNC(G455*M455, 1), "")</f>
        <v/>
      </c>
      <c r="O455" s="368">
        <f>IF((H455+K455+M455)=0, "", (H455+K455+M455))</f>
        <v>146.98138</v>
      </c>
      <c r="P455" s="368">
        <f>IF(SUM(I455,L455,N455)&lt;&gt;0,SUM(I455,L455,N455),"")</f>
        <v>146.9</v>
      </c>
      <c r="Q455" s="354"/>
    </row>
    <row r="456" spans="1:31" ht="23.25" customHeight="1">
      <c r="A456" s="344" t="s">
        <v>1991</v>
      </c>
      <c r="B456" s="344" t="s">
        <v>1606</v>
      </c>
      <c r="C456" s="365" t="s">
        <v>1991</v>
      </c>
      <c r="D456" s="354" t="s">
        <v>1664</v>
      </c>
      <c r="E456" s="354" t="s">
        <v>1992</v>
      </c>
      <c r="F456" s="355" t="s">
        <v>1852</v>
      </c>
      <c r="G456" s="368">
        <f>일위노임!G195</f>
        <v>0.108</v>
      </c>
      <c r="H456" s="368">
        <f>합산자재!H121</f>
        <v>0</v>
      </c>
      <c r="I456" s="369" t="str">
        <f>IF(G456*H456&lt;&gt;0, TRUNC(G456*H456, 1), "")</f>
        <v/>
      </c>
      <c r="J456" s="368">
        <v>0.108</v>
      </c>
      <c r="K456" s="368">
        <f>합산자재!I121</f>
        <v>240586.38331</v>
      </c>
      <c r="L456" s="369">
        <f>IF(G456*K456&lt;&gt;0, TRUNC(G456*K456, 1), "")</f>
        <v>25983.3</v>
      </c>
      <c r="M456" s="368">
        <f>합산자재!J121</f>
        <v>0</v>
      </c>
      <c r="N456" s="369" t="str">
        <f>IF(G456*M456&lt;&gt;0, TRUNC(G456*M456, 1), "")</f>
        <v/>
      </c>
      <c r="O456" s="368">
        <f>IF((H456+K456+M456)=0, "", (H456+K456+M456))</f>
        <v>240586.38331</v>
      </c>
      <c r="P456" s="368">
        <f>IF(SUM(I456,L456,N456)&lt;&gt;0,SUM(I456,L456,N456),"")</f>
        <v>25983.3</v>
      </c>
      <c r="Q456" s="354"/>
      <c r="AE456" s="347">
        <f>L456</f>
        <v>25983.3</v>
      </c>
    </row>
    <row r="457" spans="1:31" ht="23.25" customHeight="1">
      <c r="A457" s="344" t="s">
        <v>1853</v>
      </c>
      <c r="B457" s="344" t="s">
        <v>1606</v>
      </c>
      <c r="C457" s="365" t="s">
        <v>1853</v>
      </c>
      <c r="D457" s="354" t="s">
        <v>1854</v>
      </c>
      <c r="E457" s="354" t="s">
        <v>1855</v>
      </c>
      <c r="F457" s="355" t="s">
        <v>212</v>
      </c>
      <c r="G457" s="368">
        <v>1</v>
      </c>
      <c r="H457" s="368">
        <f>IF(TRUNC((AD458+AC458)/$AE$3,1)*$AE$3-AD458 &lt;0, AC458, TRUNC((AD458+AC458)/$AE$3,1)*$AE$3-AD458)</f>
        <v>519.59999999999854</v>
      </c>
      <c r="I457" s="369">
        <f>H457</f>
        <v>519.59999999999854</v>
      </c>
      <c r="J457" s="368">
        <v>1</v>
      </c>
      <c r="K457" s="368"/>
      <c r="L457" s="369" t="str">
        <f>IF(G457*K457&lt;&gt;0, TRUNC(G457*K457, 1), "")</f>
        <v/>
      </c>
      <c r="M457" s="368"/>
      <c r="N457" s="369" t="str">
        <f>IF(G457*M457&lt;&gt;0, TRUNC(G457*M457, 1), "")</f>
        <v/>
      </c>
      <c r="O457" s="368">
        <f>IF((H457+K457+M457)=0, "", (H457+K457+M457))</f>
        <v>519.59999999999854</v>
      </c>
      <c r="P457" s="368">
        <f>IF(SUM(I457,L457,N457)&lt;&gt;0,SUM(I457,L457,N457),"")</f>
        <v>519.59999999999854</v>
      </c>
      <c r="Q457" s="354"/>
    </row>
    <row r="458" spans="1:31" ht="23.25" customHeight="1">
      <c r="B458" s="344" t="s">
        <v>715</v>
      </c>
      <c r="D458" s="354" t="s">
        <v>216</v>
      </c>
      <c r="E458" s="354"/>
      <c r="F458" s="355"/>
      <c r="G458" s="368"/>
      <c r="H458" s="368"/>
      <c r="I458" s="369">
        <f>TRUNC(SUM(I454:I457))</f>
        <v>666</v>
      </c>
      <c r="J458" s="368"/>
      <c r="K458" s="368"/>
      <c r="L458" s="369">
        <f>TRUNC(SUM(L454:L457))</f>
        <v>25983</v>
      </c>
      <c r="M458" s="368"/>
      <c r="N458" s="369">
        <f>TRUNC(SUM(N454:N457))</f>
        <v>0</v>
      </c>
      <c r="O458" s="368" t="str">
        <f>IF((H458+K458+M458)=0, "", (H458+K458+M458))</f>
        <v/>
      </c>
      <c r="P458" s="368">
        <f>IF(SUM(I458,L458,N458)&lt;&gt;0,SUM(I458,L458,N458),"")</f>
        <v>26649</v>
      </c>
      <c r="Q458" s="354"/>
      <c r="AC458" s="347">
        <f>TRUNC(AE458*옵션!$B$36/100,1)</f>
        <v>519.6</v>
      </c>
      <c r="AD458" s="347">
        <f>TRUNC(SUM(L454:L456))</f>
        <v>25983</v>
      </c>
      <c r="AE458" s="347">
        <f>TRUNC(SUM(AE454:AE457))</f>
        <v>25983</v>
      </c>
    </row>
    <row r="459" spans="1:31" ht="23.25" customHeight="1">
      <c r="D459" s="354"/>
      <c r="E459" s="354"/>
      <c r="F459" s="355"/>
      <c r="G459" s="368"/>
      <c r="H459" s="368"/>
      <c r="I459" s="369"/>
      <c r="J459" s="368"/>
      <c r="K459" s="368"/>
      <c r="L459" s="369"/>
      <c r="M459" s="368"/>
      <c r="N459" s="369"/>
      <c r="O459" s="368"/>
      <c r="P459" s="368"/>
      <c r="Q459" s="354"/>
    </row>
    <row r="460" spans="1:31" ht="23.25" customHeight="1">
      <c r="A460" s="344" t="s">
        <v>651</v>
      </c>
      <c r="B460" s="344" t="s">
        <v>1833</v>
      </c>
      <c r="C460" s="365" t="s">
        <v>2109</v>
      </c>
      <c r="D460" s="714" t="s">
        <v>2110</v>
      </c>
      <c r="E460" s="715"/>
      <c r="F460" s="355"/>
      <c r="G460" s="368"/>
      <c r="H460" s="368"/>
      <c r="I460" s="369"/>
      <c r="J460" s="368"/>
      <c r="K460" s="368"/>
      <c r="L460" s="369"/>
      <c r="M460" s="368"/>
      <c r="N460" s="369"/>
      <c r="O460" s="368"/>
      <c r="P460" s="368"/>
      <c r="Q460" s="354"/>
    </row>
    <row r="461" spans="1:31" ht="23.25" customHeight="1">
      <c r="A461" s="344" t="s">
        <v>2111</v>
      </c>
      <c r="B461" s="344" t="s">
        <v>1607</v>
      </c>
      <c r="C461" s="365" t="s">
        <v>2111</v>
      </c>
      <c r="D461" s="354" t="s">
        <v>276</v>
      </c>
      <c r="E461" s="354" t="s">
        <v>277</v>
      </c>
      <c r="F461" s="355" t="s">
        <v>255</v>
      </c>
      <c r="G461" s="368">
        <v>1</v>
      </c>
      <c r="H461" s="368">
        <f>합산자재!H73</f>
        <v>239.06610000000001</v>
      </c>
      <c r="I461" s="369">
        <f>IF(G461*H461&lt;&gt;0, TRUNC(G461*H461, 1), "")</f>
        <v>239</v>
      </c>
      <c r="J461" s="368">
        <v>1</v>
      </c>
      <c r="K461" s="368">
        <f>합산자재!I73</f>
        <v>0</v>
      </c>
      <c r="L461" s="369" t="str">
        <f>IF(G461*K461&lt;&gt;0, TRUNC(G461*K461, 1), "")</f>
        <v/>
      </c>
      <c r="M461" s="368">
        <f>합산자재!J73</f>
        <v>0</v>
      </c>
      <c r="N461" s="369" t="str">
        <f>IF(G461*M461&lt;&gt;0, TRUNC(G461*M461, 1), "")</f>
        <v/>
      </c>
      <c r="O461" s="368">
        <f>IF((H461+K461+M461)=0, "", (H461+K461+M461))</f>
        <v>239.06610000000001</v>
      </c>
      <c r="P461" s="368">
        <f>IF(SUM(I461,L461,N461)&lt;&gt;0,SUM(I461,L461,N461),"")</f>
        <v>239</v>
      </c>
      <c r="Q461" s="354"/>
    </row>
    <row r="462" spans="1:31" ht="23.25" customHeight="1">
      <c r="A462" s="344" t="s">
        <v>1991</v>
      </c>
      <c r="B462" s="344" t="s">
        <v>1607</v>
      </c>
      <c r="C462" s="365" t="s">
        <v>1991</v>
      </c>
      <c r="D462" s="354" t="s">
        <v>1664</v>
      </c>
      <c r="E462" s="354" t="s">
        <v>1992</v>
      </c>
      <c r="F462" s="355" t="s">
        <v>1852</v>
      </c>
      <c r="G462" s="368">
        <f>일위노임!G199</f>
        <v>5.0000000000000001E-4</v>
      </c>
      <c r="H462" s="368">
        <f>합산자재!H121</f>
        <v>0</v>
      </c>
      <c r="I462" s="369" t="str">
        <f>IF(G462*H462&lt;&gt;0, TRUNC(G462*H462, 1), "")</f>
        <v/>
      </c>
      <c r="J462" s="368">
        <v>5.0000000000000001E-4</v>
      </c>
      <c r="K462" s="368">
        <f>합산자재!I121</f>
        <v>240586.38331</v>
      </c>
      <c r="L462" s="369">
        <f>IF(G462*K462&lt;&gt;0, TRUNC(G462*K462, 1), "")</f>
        <v>120.2</v>
      </c>
      <c r="M462" s="368">
        <f>합산자재!J121</f>
        <v>0</v>
      </c>
      <c r="N462" s="369" t="str">
        <f>IF(G462*M462&lt;&gt;0, TRUNC(G462*M462, 1), "")</f>
        <v/>
      </c>
      <c r="O462" s="368">
        <f>IF((H462+K462+M462)=0, "", (H462+K462+M462))</f>
        <v>240586.38331</v>
      </c>
      <c r="P462" s="368">
        <f>IF(SUM(I462,L462,N462)&lt;&gt;0,SUM(I462,L462,N462),"")</f>
        <v>120.2</v>
      </c>
      <c r="Q462" s="354"/>
      <c r="AE462" s="347">
        <f>L462</f>
        <v>120.2</v>
      </c>
    </row>
    <row r="463" spans="1:31" ht="23.25" customHeight="1">
      <c r="A463" s="344" t="s">
        <v>1888</v>
      </c>
      <c r="B463" s="344" t="s">
        <v>1607</v>
      </c>
      <c r="C463" s="365" t="s">
        <v>1888</v>
      </c>
      <c r="D463" s="354" t="s">
        <v>1664</v>
      </c>
      <c r="E463" s="354" t="s">
        <v>1889</v>
      </c>
      <c r="F463" s="355" t="s">
        <v>1852</v>
      </c>
      <c r="G463" s="368">
        <f>일위노임!G200</f>
        <v>1E-3</v>
      </c>
      <c r="H463" s="368">
        <f>합산자재!H125</f>
        <v>0</v>
      </c>
      <c r="I463" s="369" t="str">
        <f>IF(G463*H463&lt;&gt;0, TRUNC(G463*H463, 1), "")</f>
        <v/>
      </c>
      <c r="J463" s="368">
        <v>1E-3</v>
      </c>
      <c r="K463" s="368">
        <f>합산자재!I125</f>
        <v>131495.20930000002</v>
      </c>
      <c r="L463" s="369">
        <f>IF(G463*K463&lt;&gt;0, TRUNC(G463*K463, 1), "")</f>
        <v>131.4</v>
      </c>
      <c r="M463" s="368">
        <f>합산자재!J125</f>
        <v>0</v>
      </c>
      <c r="N463" s="369" t="str">
        <f>IF(G463*M463&lt;&gt;0, TRUNC(G463*M463, 1), "")</f>
        <v/>
      </c>
      <c r="O463" s="368">
        <f>IF((H463+K463+M463)=0, "", (H463+K463+M463))</f>
        <v>131495.20930000002</v>
      </c>
      <c r="P463" s="368">
        <f>IF(SUM(I463,L463,N463)&lt;&gt;0,SUM(I463,L463,N463),"")</f>
        <v>131.4</v>
      </c>
      <c r="Q463" s="354"/>
      <c r="AE463" s="347">
        <f>L463</f>
        <v>131.4</v>
      </c>
    </row>
    <row r="464" spans="1:31" ht="23.25" customHeight="1">
      <c r="A464" s="344" t="s">
        <v>1853</v>
      </c>
      <c r="B464" s="344" t="s">
        <v>1607</v>
      </c>
      <c r="C464" s="365" t="s">
        <v>1853</v>
      </c>
      <c r="D464" s="354" t="s">
        <v>1854</v>
      </c>
      <c r="E464" s="354" t="s">
        <v>1855</v>
      </c>
      <c r="F464" s="355" t="s">
        <v>212</v>
      </c>
      <c r="G464" s="368">
        <v>1</v>
      </c>
      <c r="H464" s="368">
        <f>IF(TRUNC((AD465+AC465)/$AE$3,1)*$AE$3-AD465 &lt;0, AC465, TRUNC((AD465+AC465)/$AE$3,1)*$AE$3-AD465)</f>
        <v>5</v>
      </c>
      <c r="I464" s="369">
        <f>H464</f>
        <v>5</v>
      </c>
      <c r="J464" s="368">
        <v>1</v>
      </c>
      <c r="K464" s="368"/>
      <c r="L464" s="369" t="str">
        <f>IF(G464*K464&lt;&gt;0, TRUNC(G464*K464, 1), "")</f>
        <v/>
      </c>
      <c r="M464" s="368"/>
      <c r="N464" s="369" t="str">
        <f>IF(G464*M464&lt;&gt;0, TRUNC(G464*M464, 1), "")</f>
        <v/>
      </c>
      <c r="O464" s="368">
        <f>IF((H464+K464+M464)=0, "", (H464+K464+M464))</f>
        <v>5</v>
      </c>
      <c r="P464" s="368">
        <f>IF(SUM(I464,L464,N464)&lt;&gt;0,SUM(I464,L464,N464),"")</f>
        <v>5</v>
      </c>
      <c r="Q464" s="354"/>
    </row>
    <row r="465" spans="1:31" ht="23.25" customHeight="1">
      <c r="B465" s="344" t="s">
        <v>715</v>
      </c>
      <c r="D465" s="354" t="s">
        <v>216</v>
      </c>
      <c r="E465" s="354"/>
      <c r="F465" s="355"/>
      <c r="G465" s="368"/>
      <c r="H465" s="368"/>
      <c r="I465" s="369">
        <f>TRUNC(SUM(I460:I464))</f>
        <v>244</v>
      </c>
      <c r="J465" s="368"/>
      <c r="K465" s="368"/>
      <c r="L465" s="369">
        <f>TRUNC(SUM(L460:L464))</f>
        <v>251</v>
      </c>
      <c r="M465" s="368"/>
      <c r="N465" s="369">
        <f>TRUNC(SUM(N460:N464))</f>
        <v>0</v>
      </c>
      <c r="O465" s="368" t="str">
        <f>IF((H465+K465+M465)=0, "", (H465+K465+M465))</f>
        <v/>
      </c>
      <c r="P465" s="368">
        <f>IF(SUM(I465,L465,N465)&lt;&gt;0,SUM(I465,L465,N465),"")</f>
        <v>495</v>
      </c>
      <c r="Q465" s="354"/>
      <c r="AC465" s="347">
        <f>TRUNC(AE465*옵션!$B$36/100,1)</f>
        <v>5</v>
      </c>
      <c r="AD465" s="347">
        <f>TRUNC(SUM(L460:L463))</f>
        <v>251</v>
      </c>
      <c r="AE465" s="347">
        <f>TRUNC(SUM(AE460:AE464))</f>
        <v>251</v>
      </c>
    </row>
    <row r="466" spans="1:31" ht="23.25" customHeight="1">
      <c r="D466" s="354"/>
      <c r="E466" s="354"/>
      <c r="F466" s="355"/>
      <c r="G466" s="368"/>
      <c r="H466" s="368"/>
      <c r="I466" s="369"/>
      <c r="J466" s="368"/>
      <c r="K466" s="368"/>
      <c r="L466" s="369"/>
      <c r="M466" s="368"/>
      <c r="N466" s="369"/>
      <c r="O466" s="368"/>
      <c r="P466" s="368"/>
      <c r="Q466" s="354"/>
    </row>
    <row r="467" spans="1:31" ht="23.25" customHeight="1">
      <c r="A467" s="344" t="s">
        <v>676</v>
      </c>
      <c r="B467" s="344" t="s">
        <v>1833</v>
      </c>
      <c r="C467" s="365" t="s">
        <v>2112</v>
      </c>
      <c r="D467" s="714" t="s">
        <v>2113</v>
      </c>
      <c r="E467" s="715"/>
      <c r="F467" s="355"/>
      <c r="G467" s="368"/>
      <c r="H467" s="368"/>
      <c r="I467" s="369"/>
      <c r="J467" s="368"/>
      <c r="K467" s="368"/>
      <c r="L467" s="369"/>
      <c r="M467" s="368"/>
      <c r="N467" s="369"/>
      <c r="O467" s="368"/>
      <c r="P467" s="368"/>
      <c r="Q467" s="354"/>
    </row>
    <row r="468" spans="1:31" ht="23.25" customHeight="1">
      <c r="A468" s="344" t="s">
        <v>2114</v>
      </c>
      <c r="B468" s="344" t="s">
        <v>1609</v>
      </c>
      <c r="C468" s="365" t="s">
        <v>2114</v>
      </c>
      <c r="D468" s="354" t="s">
        <v>289</v>
      </c>
      <c r="E468" s="354" t="s">
        <v>290</v>
      </c>
      <c r="F468" s="355" t="s">
        <v>291</v>
      </c>
      <c r="G468" s="368">
        <v>1</v>
      </c>
      <c r="H468" s="368">
        <f>합산자재!H77</f>
        <v>39844.350000000006</v>
      </c>
      <c r="I468" s="369">
        <f>IF(G468*H468&lt;&gt;0, TRUNC(G468*H468, 1), "")</f>
        <v>39844.300000000003</v>
      </c>
      <c r="J468" s="368">
        <v>1</v>
      </c>
      <c r="K468" s="368">
        <f>합산자재!I77</f>
        <v>0</v>
      </c>
      <c r="L468" s="369" t="str">
        <f>IF(G468*K468&lt;&gt;0, TRUNC(G468*K468, 1), "")</f>
        <v/>
      </c>
      <c r="M468" s="368">
        <f>합산자재!J77</f>
        <v>0</v>
      </c>
      <c r="N468" s="369" t="str">
        <f>IF(G468*M468&lt;&gt;0, TRUNC(G468*M468, 1), "")</f>
        <v/>
      </c>
      <c r="O468" s="368">
        <f>IF((H468+K468+M468)=0, "", (H468+K468+M468))</f>
        <v>39844.350000000006</v>
      </c>
      <c r="P468" s="368">
        <f>IF(SUM(I468,L468,N468)&lt;&gt;0,SUM(I468,L468,N468),"")</f>
        <v>39844.300000000003</v>
      </c>
      <c r="Q468" s="354"/>
    </row>
    <row r="469" spans="1:31" ht="23.25" customHeight="1">
      <c r="A469" s="344" t="s">
        <v>1850</v>
      </c>
      <c r="B469" s="344" t="s">
        <v>1609</v>
      </c>
      <c r="C469" s="365" t="s">
        <v>1850</v>
      </c>
      <c r="D469" s="354" t="s">
        <v>1664</v>
      </c>
      <c r="E469" s="354" t="s">
        <v>1851</v>
      </c>
      <c r="F469" s="355" t="s">
        <v>1852</v>
      </c>
      <c r="G469" s="368">
        <f>일위노임!G203</f>
        <v>0.19</v>
      </c>
      <c r="H469" s="368">
        <f>합산자재!H120</f>
        <v>0</v>
      </c>
      <c r="I469" s="369" t="str">
        <f>IF(G469*H469&lt;&gt;0, TRUNC(G469*H469, 1), "")</f>
        <v/>
      </c>
      <c r="J469" s="368">
        <v>0.19</v>
      </c>
      <c r="K469" s="368">
        <f>합산자재!I120</f>
        <v>229252.87931000002</v>
      </c>
      <c r="L469" s="369">
        <f>IF(G469*K469&lt;&gt;0, TRUNC(G469*K469, 1), "")</f>
        <v>43558</v>
      </c>
      <c r="M469" s="368">
        <f>합산자재!J120</f>
        <v>0</v>
      </c>
      <c r="N469" s="369" t="str">
        <f>IF(G469*M469&lt;&gt;0, TRUNC(G469*M469, 1), "")</f>
        <v/>
      </c>
      <c r="O469" s="368">
        <f>IF((H469+K469+M469)=0, "", (H469+K469+M469))</f>
        <v>229252.87931000002</v>
      </c>
      <c r="P469" s="368">
        <f>IF(SUM(I469,L469,N469)&lt;&gt;0,SUM(I469,L469,N469),"")</f>
        <v>43558</v>
      </c>
      <c r="Q469" s="354"/>
      <c r="AE469" s="347">
        <f>L469</f>
        <v>43558</v>
      </c>
    </row>
    <row r="470" spans="1:31" ht="23.25" customHeight="1">
      <c r="A470" s="344" t="s">
        <v>1853</v>
      </c>
      <c r="B470" s="344" t="s">
        <v>1609</v>
      </c>
      <c r="C470" s="365" t="s">
        <v>1853</v>
      </c>
      <c r="D470" s="354" t="s">
        <v>1854</v>
      </c>
      <c r="E470" s="354" t="s">
        <v>1855</v>
      </c>
      <c r="F470" s="355" t="s">
        <v>212</v>
      </c>
      <c r="G470" s="368">
        <v>1</v>
      </c>
      <c r="H470" s="368">
        <f>IF(TRUNC((AD471+AC471)/$AE$3,1)*$AE$3-AD471 &lt;0, AC471, TRUNC((AD471+AC471)/$AE$3,1)*$AE$3-AD471)</f>
        <v>871.09999999999854</v>
      </c>
      <c r="I470" s="369">
        <f>H470</f>
        <v>871.09999999999854</v>
      </c>
      <c r="J470" s="368">
        <v>1</v>
      </c>
      <c r="K470" s="368"/>
      <c r="L470" s="369" t="str">
        <f>IF(G470*K470&lt;&gt;0, TRUNC(G470*K470, 1), "")</f>
        <v/>
      </c>
      <c r="M470" s="368"/>
      <c r="N470" s="369" t="str">
        <f>IF(G470*M470&lt;&gt;0, TRUNC(G470*M470, 1), "")</f>
        <v/>
      </c>
      <c r="O470" s="368">
        <f>IF((H470+K470+M470)=0, "", (H470+K470+M470))</f>
        <v>871.09999999999854</v>
      </c>
      <c r="P470" s="368">
        <f>IF(SUM(I470,L470,N470)&lt;&gt;0,SUM(I470,L470,N470),"")</f>
        <v>871.09999999999854</v>
      </c>
      <c r="Q470" s="354"/>
    </row>
    <row r="471" spans="1:31" ht="23.25" customHeight="1">
      <c r="B471" s="344" t="s">
        <v>715</v>
      </c>
      <c r="D471" s="354" t="s">
        <v>216</v>
      </c>
      <c r="E471" s="354"/>
      <c r="F471" s="355"/>
      <c r="G471" s="368"/>
      <c r="H471" s="368"/>
      <c r="I471" s="369">
        <f>TRUNC(SUM(I467:I470))</f>
        <v>40715</v>
      </c>
      <c r="J471" s="368"/>
      <c r="K471" s="368"/>
      <c r="L471" s="369">
        <f>TRUNC(SUM(L467:L470))</f>
        <v>43558</v>
      </c>
      <c r="M471" s="368"/>
      <c r="N471" s="369">
        <f>TRUNC(SUM(N467:N470))</f>
        <v>0</v>
      </c>
      <c r="O471" s="368" t="str">
        <f>IF((H471+K471+M471)=0, "", (H471+K471+M471))</f>
        <v/>
      </c>
      <c r="P471" s="368">
        <f>IF(SUM(I471,L471,N471)&lt;&gt;0,SUM(I471,L471,N471),"")</f>
        <v>84273</v>
      </c>
      <c r="Q471" s="354"/>
      <c r="AC471" s="347">
        <f>TRUNC(AE471*옵션!$B$36/100,1)</f>
        <v>871.1</v>
      </c>
      <c r="AD471" s="347">
        <f>TRUNC(SUM(L467:L469))</f>
        <v>43558</v>
      </c>
      <c r="AE471" s="347">
        <f>TRUNC(SUM(AE467:AE470))</f>
        <v>43558</v>
      </c>
    </row>
    <row r="472" spans="1:31" ht="23.25" customHeight="1">
      <c r="D472" s="354"/>
      <c r="E472" s="354"/>
      <c r="F472" s="355"/>
      <c r="G472" s="368"/>
      <c r="H472" s="368"/>
      <c r="I472" s="369"/>
      <c r="J472" s="368"/>
      <c r="K472" s="368"/>
      <c r="L472" s="369"/>
      <c r="M472" s="368"/>
      <c r="N472" s="369"/>
      <c r="O472" s="368"/>
      <c r="P472" s="368"/>
      <c r="Q472" s="354"/>
    </row>
    <row r="473" spans="1:31" ht="23.25" customHeight="1">
      <c r="A473" s="344" t="s">
        <v>904</v>
      </c>
      <c r="B473" s="344" t="s">
        <v>1833</v>
      </c>
      <c r="C473" s="365" t="s">
        <v>2115</v>
      </c>
      <c r="D473" s="714" t="s">
        <v>2116</v>
      </c>
      <c r="E473" s="715"/>
      <c r="F473" s="355"/>
      <c r="G473" s="368"/>
      <c r="H473" s="368"/>
      <c r="I473" s="369"/>
      <c r="J473" s="368"/>
      <c r="K473" s="368"/>
      <c r="L473" s="369"/>
      <c r="M473" s="368"/>
      <c r="N473" s="369"/>
      <c r="O473" s="368"/>
      <c r="P473" s="368"/>
      <c r="Q473" s="354"/>
    </row>
    <row r="474" spans="1:31" ht="23.25" customHeight="1">
      <c r="A474" s="344" t="s">
        <v>2117</v>
      </c>
      <c r="B474" s="344" t="s">
        <v>1611</v>
      </c>
      <c r="C474" s="365" t="s">
        <v>2117</v>
      </c>
      <c r="D474" s="354" t="s">
        <v>463</v>
      </c>
      <c r="E474" s="354" t="s">
        <v>464</v>
      </c>
      <c r="F474" s="355" t="s">
        <v>280</v>
      </c>
      <c r="G474" s="368">
        <v>1</v>
      </c>
      <c r="H474" s="368">
        <f>합산자재!H78</f>
        <v>0</v>
      </c>
      <c r="I474" s="369" t="str">
        <f>IF(G474*H474&lt;&gt;0, TRUNC(G474*H474, 1), "")</f>
        <v/>
      </c>
      <c r="J474" s="368">
        <v>1</v>
      </c>
      <c r="K474" s="368">
        <f>합산자재!I78</f>
        <v>0</v>
      </c>
      <c r="L474" s="369" t="str">
        <f>IF(G474*K474&lt;&gt;0, TRUNC(G474*K474, 1), "")</f>
        <v/>
      </c>
      <c r="M474" s="368">
        <f>합산자재!J78</f>
        <v>0</v>
      </c>
      <c r="N474" s="369" t="str">
        <f>IF(G474*M474&lt;&gt;0, TRUNC(G474*M474, 1), "")</f>
        <v/>
      </c>
      <c r="O474" s="368" t="str">
        <f>IF((H474+K474+M474)=0, "", (H474+K474+M474))</f>
        <v/>
      </c>
      <c r="P474" s="368" t="str">
        <f>IF(SUM(I474,L474,N474)&lt;&gt;0,SUM(I474,L474,N474),"")</f>
        <v/>
      </c>
      <c r="Q474" s="354"/>
    </row>
    <row r="475" spans="1:31" ht="23.25" customHeight="1">
      <c r="A475" s="344" t="s">
        <v>1850</v>
      </c>
      <c r="B475" s="344" t="s">
        <v>1611</v>
      </c>
      <c r="C475" s="365" t="s">
        <v>1850</v>
      </c>
      <c r="D475" s="354" t="s">
        <v>1664</v>
      </c>
      <c r="E475" s="354" t="s">
        <v>1851</v>
      </c>
      <c r="F475" s="355" t="s">
        <v>1852</v>
      </c>
      <c r="G475" s="368">
        <f>일위노임!G206</f>
        <v>0.1</v>
      </c>
      <c r="H475" s="368">
        <f>합산자재!H120</f>
        <v>0</v>
      </c>
      <c r="I475" s="369" t="str">
        <f>IF(G475*H475&lt;&gt;0, TRUNC(G475*H475, 1), "")</f>
        <v/>
      </c>
      <c r="J475" s="368">
        <v>0.1</v>
      </c>
      <c r="K475" s="368">
        <f>합산자재!I120</f>
        <v>229252.87931000002</v>
      </c>
      <c r="L475" s="369">
        <f>IF(G475*K475&lt;&gt;0, TRUNC(G475*K475, 1), "")</f>
        <v>22925.200000000001</v>
      </c>
      <c r="M475" s="368">
        <f>합산자재!J120</f>
        <v>0</v>
      </c>
      <c r="N475" s="369" t="str">
        <f>IF(G475*M475&lt;&gt;0, TRUNC(G475*M475, 1), "")</f>
        <v/>
      </c>
      <c r="O475" s="368">
        <f>IF((H475+K475+M475)=0, "", (H475+K475+M475))</f>
        <v>229252.87931000002</v>
      </c>
      <c r="P475" s="368">
        <f>IF(SUM(I475,L475,N475)&lt;&gt;0,SUM(I475,L475,N475),"")</f>
        <v>22925.200000000001</v>
      </c>
      <c r="Q475" s="354"/>
      <c r="AE475" s="347">
        <f>L475</f>
        <v>22925.200000000001</v>
      </c>
    </row>
    <row r="476" spans="1:31" ht="23.25" customHeight="1">
      <c r="A476" s="344" t="s">
        <v>1853</v>
      </c>
      <c r="B476" s="344" t="s">
        <v>1611</v>
      </c>
      <c r="C476" s="365" t="s">
        <v>1853</v>
      </c>
      <c r="D476" s="354" t="s">
        <v>1854</v>
      </c>
      <c r="E476" s="354" t="s">
        <v>1855</v>
      </c>
      <c r="F476" s="355" t="s">
        <v>212</v>
      </c>
      <c r="G476" s="368">
        <v>1</v>
      </c>
      <c r="H476" s="368">
        <f>IF(TRUNC((AD477+AC477)/$AE$3,1)*$AE$3-AD477 &lt;0, AC477, TRUNC((AD477+AC477)/$AE$3,1)*$AE$3-AD477)</f>
        <v>458.5</v>
      </c>
      <c r="I476" s="369">
        <f>H476</f>
        <v>458.5</v>
      </c>
      <c r="J476" s="368">
        <v>1</v>
      </c>
      <c r="K476" s="368"/>
      <c r="L476" s="369" t="str">
        <f>IF(G476*K476&lt;&gt;0, TRUNC(G476*K476, 1), "")</f>
        <v/>
      </c>
      <c r="M476" s="368"/>
      <c r="N476" s="369" t="str">
        <f>IF(G476*M476&lt;&gt;0, TRUNC(G476*M476, 1), "")</f>
        <v/>
      </c>
      <c r="O476" s="368">
        <f>IF((H476+K476+M476)=0, "", (H476+K476+M476))</f>
        <v>458.5</v>
      </c>
      <c r="P476" s="368">
        <f>IF(SUM(I476,L476,N476)&lt;&gt;0,SUM(I476,L476,N476),"")</f>
        <v>458.5</v>
      </c>
      <c r="Q476" s="354"/>
    </row>
    <row r="477" spans="1:31" ht="23.25" customHeight="1">
      <c r="B477" s="344" t="s">
        <v>715</v>
      </c>
      <c r="D477" s="354" t="s">
        <v>216</v>
      </c>
      <c r="E477" s="354"/>
      <c r="F477" s="355"/>
      <c r="G477" s="368"/>
      <c r="H477" s="368"/>
      <c r="I477" s="369">
        <f>TRUNC(SUM(I473:I476))</f>
        <v>458</v>
      </c>
      <c r="J477" s="368"/>
      <c r="K477" s="368"/>
      <c r="L477" s="369">
        <f>TRUNC(SUM(L473:L476))</f>
        <v>22925</v>
      </c>
      <c r="M477" s="368"/>
      <c r="N477" s="369">
        <f>TRUNC(SUM(N473:N476))</f>
        <v>0</v>
      </c>
      <c r="O477" s="368" t="str">
        <f>IF((H477+K477+M477)=0, "", (H477+K477+M477))</f>
        <v/>
      </c>
      <c r="P477" s="368">
        <f>IF(SUM(I477,L477,N477)&lt;&gt;0,SUM(I477,L477,N477),"")</f>
        <v>23383</v>
      </c>
      <c r="Q477" s="354"/>
      <c r="AC477" s="347">
        <f>TRUNC(AE477*옵션!$B$36/100,1)</f>
        <v>458.5</v>
      </c>
      <c r="AD477" s="347">
        <f>TRUNC(SUM(L473:L475))</f>
        <v>22925</v>
      </c>
      <c r="AE477" s="347">
        <f>TRUNC(SUM(AE473:AE476))</f>
        <v>22925</v>
      </c>
    </row>
    <row r="478" spans="1:31" ht="23.25" customHeight="1">
      <c r="D478" s="354"/>
      <c r="E478" s="354"/>
      <c r="F478" s="355"/>
      <c r="G478" s="368"/>
      <c r="H478" s="368"/>
      <c r="I478" s="369"/>
      <c r="J478" s="368"/>
      <c r="K478" s="368"/>
      <c r="L478" s="369"/>
      <c r="M478" s="368"/>
      <c r="N478" s="369"/>
      <c r="O478" s="368"/>
      <c r="P478" s="368"/>
      <c r="Q478" s="354"/>
    </row>
    <row r="479" spans="1:31" ht="23.25" customHeight="1">
      <c r="A479" s="344" t="s">
        <v>635</v>
      </c>
      <c r="B479" s="344" t="s">
        <v>1833</v>
      </c>
      <c r="C479" s="365" t="s">
        <v>2118</v>
      </c>
      <c r="D479" s="714" t="s">
        <v>2119</v>
      </c>
      <c r="E479" s="715"/>
      <c r="F479" s="355"/>
      <c r="G479" s="368"/>
      <c r="H479" s="368"/>
      <c r="I479" s="369"/>
      <c r="J479" s="368"/>
      <c r="K479" s="368"/>
      <c r="L479" s="369"/>
      <c r="M479" s="368"/>
      <c r="N479" s="369"/>
      <c r="O479" s="368"/>
      <c r="P479" s="368"/>
      <c r="Q479" s="354"/>
    </row>
    <row r="480" spans="1:31" ht="23.25" customHeight="1">
      <c r="A480" s="344" t="s">
        <v>2120</v>
      </c>
      <c r="B480" s="344" t="s">
        <v>1612</v>
      </c>
      <c r="C480" s="365" t="s">
        <v>2120</v>
      </c>
      <c r="D480" s="354" t="s">
        <v>270</v>
      </c>
      <c r="E480" s="354" t="s">
        <v>272</v>
      </c>
      <c r="F480" s="355" t="s">
        <v>255</v>
      </c>
      <c r="G480" s="368">
        <v>1</v>
      </c>
      <c r="H480" s="368">
        <f>합산자재!H79</f>
        <v>1911.64337</v>
      </c>
      <c r="I480" s="369">
        <f>IF(G480*H480&lt;&gt;0, TRUNC(G480*H480, 1), "")</f>
        <v>1911.6</v>
      </c>
      <c r="J480" s="368">
        <v>1</v>
      </c>
      <c r="K480" s="368">
        <f>합산자재!I79</f>
        <v>0</v>
      </c>
      <c r="L480" s="369" t="str">
        <f>IF(G480*K480&lt;&gt;0, TRUNC(G480*K480, 1), "")</f>
        <v/>
      </c>
      <c r="M480" s="368">
        <f>합산자재!J79</f>
        <v>0</v>
      </c>
      <c r="N480" s="369" t="str">
        <f>IF(G480*M480&lt;&gt;0, TRUNC(G480*M480, 1), "")</f>
        <v/>
      </c>
      <c r="O480" s="368">
        <f t="shared" ref="O480:O485" si="71">IF((H480+K480+M480)=0, "", (H480+K480+M480))</f>
        <v>1911.64337</v>
      </c>
      <c r="P480" s="368">
        <f t="shared" ref="P480:P485" si="72">IF(SUM(I480,L480,N480)&lt;&gt;0,SUM(I480,L480,N480),"")</f>
        <v>1911.6</v>
      </c>
      <c r="Q480" s="354"/>
      <c r="AC480" s="347">
        <f>G480*H480</f>
        <v>1911.64337</v>
      </c>
    </row>
    <row r="481" spans="1:31" ht="23.25" customHeight="1">
      <c r="A481" s="344" t="s">
        <v>1885</v>
      </c>
      <c r="B481" s="344" t="s">
        <v>1612</v>
      </c>
      <c r="C481" s="365" t="s">
        <v>1885</v>
      </c>
      <c r="D481" s="354" t="s">
        <v>1886</v>
      </c>
      <c r="E481" s="354" t="s">
        <v>1887</v>
      </c>
      <c r="F481" s="355" t="s">
        <v>212</v>
      </c>
      <c r="G481" s="368">
        <v>1</v>
      </c>
      <c r="H481" s="368">
        <f>IF(TRUNC((AD481+AC481)/$AD$3,1)*$AD$3-AD481 &lt;0, AC481, TRUNC((AD481+AC481)/$AD$3,1)*$AD$3-AD481)</f>
        <v>38.200000000000045</v>
      </c>
      <c r="I481" s="369">
        <f>H481</f>
        <v>38.200000000000045</v>
      </c>
      <c r="J481" s="368">
        <v>1</v>
      </c>
      <c r="K481" s="368"/>
      <c r="L481" s="369" t="str">
        <f>IF(G481*K481&lt;&gt;0, TRUNC(G481*K481, 1), "")</f>
        <v/>
      </c>
      <c r="M481" s="368"/>
      <c r="N481" s="369" t="str">
        <f>IF(G481*M481&lt;&gt;0, TRUNC(G481*M481, 1), "")</f>
        <v/>
      </c>
      <c r="O481" s="368">
        <f t="shared" si="71"/>
        <v>38.200000000000045</v>
      </c>
      <c r="P481" s="368">
        <f t="shared" si="72"/>
        <v>38.200000000000045</v>
      </c>
      <c r="Q481" s="354"/>
      <c r="AC481" s="347">
        <f>TRUNC(TRUNC(SUM(AC479:AC480))*옵션!$B$33/100,1)</f>
        <v>38.200000000000003</v>
      </c>
      <c r="AD481" s="347">
        <f>TRUNC(SUM(I479:I480))+TRUNC(SUM(N479:N480))</f>
        <v>1911</v>
      </c>
    </row>
    <row r="482" spans="1:31" ht="23.25" customHeight="1">
      <c r="A482" s="344" t="s">
        <v>1991</v>
      </c>
      <c r="B482" s="344" t="s">
        <v>1612</v>
      </c>
      <c r="C482" s="365" t="s">
        <v>1991</v>
      </c>
      <c r="D482" s="354" t="s">
        <v>1664</v>
      </c>
      <c r="E482" s="354" t="s">
        <v>1992</v>
      </c>
      <c r="F482" s="355" t="s">
        <v>1852</v>
      </c>
      <c r="G482" s="368">
        <f>일위노임!G210</f>
        <v>8.77E-3</v>
      </c>
      <c r="H482" s="368">
        <f>합산자재!H121</f>
        <v>0</v>
      </c>
      <c r="I482" s="369" t="str">
        <f>IF(G482*H482&lt;&gt;0, TRUNC(G482*H482, 1), "")</f>
        <v/>
      </c>
      <c r="J482" s="368">
        <v>8.7799999999999996E-3</v>
      </c>
      <c r="K482" s="368">
        <f>합산자재!I121</f>
        <v>240586.38331</v>
      </c>
      <c r="L482" s="369">
        <f>IF(G482*K482&lt;&gt;0, TRUNC(G482*K482, 1), "")</f>
        <v>2109.9</v>
      </c>
      <c r="M482" s="368">
        <f>합산자재!J121</f>
        <v>0</v>
      </c>
      <c r="N482" s="369" t="str">
        <f>IF(G482*M482&lt;&gt;0, TRUNC(G482*M482, 1), "")</f>
        <v/>
      </c>
      <c r="O482" s="368">
        <f t="shared" si="71"/>
        <v>240586.38331</v>
      </c>
      <c r="P482" s="368">
        <f t="shared" si="72"/>
        <v>2109.9</v>
      </c>
      <c r="Q482" s="354"/>
      <c r="AE482" s="347">
        <f>L482</f>
        <v>2109.9</v>
      </c>
    </row>
    <row r="483" spans="1:31" ht="23.25" customHeight="1">
      <c r="A483" s="344" t="s">
        <v>1888</v>
      </c>
      <c r="B483" s="344" t="s">
        <v>1612</v>
      </c>
      <c r="C483" s="365" t="s">
        <v>1888</v>
      </c>
      <c r="D483" s="354" t="s">
        <v>1664</v>
      </c>
      <c r="E483" s="354" t="s">
        <v>1889</v>
      </c>
      <c r="F483" s="355" t="s">
        <v>1852</v>
      </c>
      <c r="G483" s="368">
        <f>일위노임!G211</f>
        <v>8.77E-3</v>
      </c>
      <c r="H483" s="368">
        <f>합산자재!H125</f>
        <v>0</v>
      </c>
      <c r="I483" s="369" t="str">
        <f>IF(G483*H483&lt;&gt;0, TRUNC(G483*H483, 1), "")</f>
        <v/>
      </c>
      <c r="J483" s="368">
        <v>8.7799999999999996E-3</v>
      </c>
      <c r="K483" s="368">
        <f>합산자재!I125</f>
        <v>131495.20930000002</v>
      </c>
      <c r="L483" s="369">
        <f>IF(G483*K483&lt;&gt;0, TRUNC(G483*K483, 1), "")</f>
        <v>1153.2</v>
      </c>
      <c r="M483" s="368">
        <f>합산자재!J125</f>
        <v>0</v>
      </c>
      <c r="N483" s="369" t="str">
        <f>IF(G483*M483&lt;&gt;0, TRUNC(G483*M483, 1), "")</f>
        <v/>
      </c>
      <c r="O483" s="368">
        <f t="shared" si="71"/>
        <v>131495.20930000002</v>
      </c>
      <c r="P483" s="368">
        <f t="shared" si="72"/>
        <v>1153.2</v>
      </c>
      <c r="Q483" s="354"/>
      <c r="AE483" s="347">
        <f>L483</f>
        <v>1153.2</v>
      </c>
    </row>
    <row r="484" spans="1:31" ht="23.25" customHeight="1">
      <c r="A484" s="344" t="s">
        <v>1853</v>
      </c>
      <c r="B484" s="344" t="s">
        <v>1612</v>
      </c>
      <c r="C484" s="365" t="s">
        <v>1853</v>
      </c>
      <c r="D484" s="354" t="s">
        <v>1854</v>
      </c>
      <c r="E484" s="354" t="s">
        <v>1855</v>
      </c>
      <c r="F484" s="355" t="s">
        <v>212</v>
      </c>
      <c r="G484" s="368">
        <v>1</v>
      </c>
      <c r="H484" s="368">
        <f>IF(TRUNC((AD485+AC485)/$AE$3,1)*$AE$3-AD485 &lt;0, AC485, TRUNC((AD485+AC485)/$AE$3,1)*$AE$3-AD485)</f>
        <v>65.199999999999818</v>
      </c>
      <c r="I484" s="369">
        <f>H484</f>
        <v>65.199999999999818</v>
      </c>
      <c r="J484" s="368">
        <v>1</v>
      </c>
      <c r="K484" s="368"/>
      <c r="L484" s="369" t="str">
        <f>IF(G484*K484&lt;&gt;0, TRUNC(G484*K484, 1), "")</f>
        <v/>
      </c>
      <c r="M484" s="368"/>
      <c r="N484" s="369" t="str">
        <f>IF(G484*M484&lt;&gt;0, TRUNC(G484*M484, 1), "")</f>
        <v/>
      </c>
      <c r="O484" s="368">
        <f t="shared" si="71"/>
        <v>65.199999999999818</v>
      </c>
      <c r="P484" s="368">
        <f t="shared" si="72"/>
        <v>65.199999999999818</v>
      </c>
      <c r="Q484" s="354"/>
    </row>
    <row r="485" spans="1:31" ht="23.25" customHeight="1">
      <c r="B485" s="344" t="s">
        <v>715</v>
      </c>
      <c r="D485" s="354" t="s">
        <v>216</v>
      </c>
      <c r="E485" s="354"/>
      <c r="F485" s="355"/>
      <c r="G485" s="368"/>
      <c r="H485" s="368"/>
      <c r="I485" s="369">
        <f>TRUNC(SUM(I479:I484))</f>
        <v>2015</v>
      </c>
      <c r="J485" s="368"/>
      <c r="K485" s="368"/>
      <c r="L485" s="369">
        <f>TRUNC(SUM(L479:L484))</f>
        <v>3263</v>
      </c>
      <c r="M485" s="368"/>
      <c r="N485" s="369">
        <f>TRUNC(SUM(N479:N484))</f>
        <v>0</v>
      </c>
      <c r="O485" s="368" t="str">
        <f t="shared" si="71"/>
        <v/>
      </c>
      <c r="P485" s="368">
        <f t="shared" si="72"/>
        <v>5278</v>
      </c>
      <c r="Q485" s="354"/>
      <c r="AC485" s="347">
        <f>TRUNC(AE485*옵션!$B$36/100,1)</f>
        <v>65.2</v>
      </c>
      <c r="AD485" s="347">
        <f>TRUNC(SUM(L479:L483))</f>
        <v>3263</v>
      </c>
      <c r="AE485" s="347">
        <f>TRUNC(SUM(AE479:AE484))</f>
        <v>3263</v>
      </c>
    </row>
    <row r="486" spans="1:31" ht="23.25" customHeight="1">
      <c r="D486" s="354"/>
      <c r="E486" s="354"/>
      <c r="F486" s="355"/>
      <c r="G486" s="368"/>
      <c r="H486" s="368"/>
      <c r="I486" s="369"/>
      <c r="J486" s="368"/>
      <c r="K486" s="368"/>
      <c r="L486" s="369"/>
      <c r="M486" s="368"/>
      <c r="N486" s="369"/>
      <c r="O486" s="368"/>
      <c r="P486" s="368"/>
      <c r="Q486" s="354"/>
    </row>
    <row r="487" spans="1:31" ht="23.25" customHeight="1">
      <c r="A487" s="344" t="s">
        <v>639</v>
      </c>
      <c r="B487" s="344" t="s">
        <v>1833</v>
      </c>
      <c r="C487" s="365" t="s">
        <v>2121</v>
      </c>
      <c r="D487" s="714" t="s">
        <v>2122</v>
      </c>
      <c r="E487" s="715"/>
      <c r="F487" s="355"/>
      <c r="G487" s="368"/>
      <c r="H487" s="368"/>
      <c r="I487" s="369"/>
      <c r="J487" s="368"/>
      <c r="K487" s="368"/>
      <c r="L487" s="369"/>
      <c r="M487" s="368"/>
      <c r="N487" s="369"/>
      <c r="O487" s="368"/>
      <c r="P487" s="368"/>
      <c r="Q487" s="354"/>
    </row>
    <row r="488" spans="1:31" ht="23.25" customHeight="1">
      <c r="A488" s="344" t="s">
        <v>2123</v>
      </c>
      <c r="B488" s="344" t="s">
        <v>1613</v>
      </c>
      <c r="C488" s="365" t="s">
        <v>2123</v>
      </c>
      <c r="D488" s="354" t="s">
        <v>270</v>
      </c>
      <c r="E488" s="354" t="s">
        <v>273</v>
      </c>
      <c r="F488" s="355" t="s">
        <v>255</v>
      </c>
      <c r="G488" s="368">
        <v>1</v>
      </c>
      <c r="H488" s="368">
        <f>합산자재!H80</f>
        <v>1911.64337</v>
      </c>
      <c r="I488" s="369">
        <f>IF(G488*H488&lt;&gt;0, TRUNC(G488*H488, 1), "")</f>
        <v>1911.6</v>
      </c>
      <c r="J488" s="368">
        <v>1</v>
      </c>
      <c r="K488" s="368">
        <f>합산자재!I80</f>
        <v>0</v>
      </c>
      <c r="L488" s="369" t="str">
        <f>IF(G488*K488&lt;&gt;0, TRUNC(G488*K488, 1), "")</f>
        <v/>
      </c>
      <c r="M488" s="368">
        <f>합산자재!J80</f>
        <v>0</v>
      </c>
      <c r="N488" s="369" t="str">
        <f>IF(G488*M488&lt;&gt;0, TRUNC(G488*M488, 1), "")</f>
        <v/>
      </c>
      <c r="O488" s="368">
        <f t="shared" ref="O488:O493" si="73">IF((H488+K488+M488)=0, "", (H488+K488+M488))</f>
        <v>1911.64337</v>
      </c>
      <c r="P488" s="368">
        <f t="shared" ref="P488:P493" si="74">IF(SUM(I488,L488,N488)&lt;&gt;0,SUM(I488,L488,N488),"")</f>
        <v>1911.6</v>
      </c>
      <c r="Q488" s="354"/>
      <c r="AC488" s="347">
        <f>G488*H488</f>
        <v>1911.64337</v>
      </c>
    </row>
    <row r="489" spans="1:31" ht="23.25" customHeight="1">
      <c r="A489" s="344" t="s">
        <v>1885</v>
      </c>
      <c r="B489" s="344" t="s">
        <v>1613</v>
      </c>
      <c r="C489" s="365" t="s">
        <v>1885</v>
      </c>
      <c r="D489" s="354" t="s">
        <v>1886</v>
      </c>
      <c r="E489" s="354" t="s">
        <v>1887</v>
      </c>
      <c r="F489" s="355" t="s">
        <v>212</v>
      </c>
      <c r="G489" s="368">
        <v>1</v>
      </c>
      <c r="H489" s="368">
        <f>IF(TRUNC((AD489+AC489)/$AD$3,1)*$AD$3-AD489 &lt;0, AC489, TRUNC((AD489+AC489)/$AD$3,1)*$AD$3-AD489)</f>
        <v>38.200000000000045</v>
      </c>
      <c r="I489" s="369">
        <f>H489</f>
        <v>38.200000000000045</v>
      </c>
      <c r="J489" s="368">
        <v>1</v>
      </c>
      <c r="K489" s="368"/>
      <c r="L489" s="369" t="str">
        <f>IF(G489*K489&lt;&gt;0, TRUNC(G489*K489, 1), "")</f>
        <v/>
      </c>
      <c r="M489" s="368"/>
      <c r="N489" s="369" t="str">
        <f>IF(G489*M489&lt;&gt;0, TRUNC(G489*M489, 1), "")</f>
        <v/>
      </c>
      <c r="O489" s="368">
        <f t="shared" si="73"/>
        <v>38.200000000000045</v>
      </c>
      <c r="P489" s="368">
        <f t="shared" si="74"/>
        <v>38.200000000000045</v>
      </c>
      <c r="Q489" s="354"/>
      <c r="AC489" s="347">
        <f>TRUNC(TRUNC(SUM(AC487:AC488))*옵션!$B$33/100,1)</f>
        <v>38.200000000000003</v>
      </c>
      <c r="AD489" s="347">
        <f>TRUNC(SUM(I487:I488))+TRUNC(SUM(N487:N488))</f>
        <v>1911</v>
      </c>
    </row>
    <row r="490" spans="1:31" ht="23.25" customHeight="1">
      <c r="A490" s="344" t="s">
        <v>1991</v>
      </c>
      <c r="B490" s="344" t="s">
        <v>1613</v>
      </c>
      <c r="C490" s="365" t="s">
        <v>1991</v>
      </c>
      <c r="D490" s="354" t="s">
        <v>1664</v>
      </c>
      <c r="E490" s="354" t="s">
        <v>1992</v>
      </c>
      <c r="F490" s="355" t="s">
        <v>1852</v>
      </c>
      <c r="G490" s="368">
        <f>일위노임!G215</f>
        <v>7.9000000000000008E-3</v>
      </c>
      <c r="H490" s="368">
        <f>합산자재!H121</f>
        <v>0</v>
      </c>
      <c r="I490" s="369" t="str">
        <f>IF(G490*H490&lt;&gt;0, TRUNC(G490*H490, 1), "")</f>
        <v/>
      </c>
      <c r="J490" s="368">
        <v>7.9000000000000008E-3</v>
      </c>
      <c r="K490" s="368">
        <f>합산자재!I121</f>
        <v>240586.38331</v>
      </c>
      <c r="L490" s="369">
        <f>IF(G490*K490&lt;&gt;0, TRUNC(G490*K490, 1), "")</f>
        <v>1900.6</v>
      </c>
      <c r="M490" s="368">
        <f>합산자재!J121</f>
        <v>0</v>
      </c>
      <c r="N490" s="369" t="str">
        <f>IF(G490*M490&lt;&gt;0, TRUNC(G490*M490, 1), "")</f>
        <v/>
      </c>
      <c r="O490" s="368">
        <f t="shared" si="73"/>
        <v>240586.38331</v>
      </c>
      <c r="P490" s="368">
        <f t="shared" si="74"/>
        <v>1900.6</v>
      </c>
      <c r="Q490" s="354"/>
      <c r="AE490" s="347">
        <f>L490</f>
        <v>1900.6</v>
      </c>
    </row>
    <row r="491" spans="1:31" ht="23.25" customHeight="1">
      <c r="A491" s="344" t="s">
        <v>1888</v>
      </c>
      <c r="B491" s="344" t="s">
        <v>1613</v>
      </c>
      <c r="C491" s="365" t="s">
        <v>1888</v>
      </c>
      <c r="D491" s="354" t="s">
        <v>1664</v>
      </c>
      <c r="E491" s="354" t="s">
        <v>1889</v>
      </c>
      <c r="F491" s="355" t="s">
        <v>1852</v>
      </c>
      <c r="G491" s="368">
        <f>일위노임!G216</f>
        <v>7.9000000000000008E-3</v>
      </c>
      <c r="H491" s="368">
        <f>합산자재!H125</f>
        <v>0</v>
      </c>
      <c r="I491" s="369" t="str">
        <f>IF(G491*H491&lt;&gt;0, TRUNC(G491*H491, 1), "")</f>
        <v/>
      </c>
      <c r="J491" s="368">
        <v>7.9000000000000008E-3</v>
      </c>
      <c r="K491" s="368">
        <f>합산자재!I125</f>
        <v>131495.20930000002</v>
      </c>
      <c r="L491" s="369">
        <f>IF(G491*K491&lt;&gt;0, TRUNC(G491*K491, 1), "")</f>
        <v>1038.8</v>
      </c>
      <c r="M491" s="368">
        <f>합산자재!J125</f>
        <v>0</v>
      </c>
      <c r="N491" s="369" t="str">
        <f>IF(G491*M491&lt;&gt;0, TRUNC(G491*M491, 1), "")</f>
        <v/>
      </c>
      <c r="O491" s="368">
        <f t="shared" si="73"/>
        <v>131495.20930000002</v>
      </c>
      <c r="P491" s="368">
        <f t="shared" si="74"/>
        <v>1038.8</v>
      </c>
      <c r="Q491" s="354"/>
      <c r="AE491" s="347">
        <f>L491</f>
        <v>1038.8</v>
      </c>
    </row>
    <row r="492" spans="1:31" ht="23.25" customHeight="1">
      <c r="A492" s="344" t="s">
        <v>1853</v>
      </c>
      <c r="B492" s="344" t="s">
        <v>1613</v>
      </c>
      <c r="C492" s="365" t="s">
        <v>1853</v>
      </c>
      <c r="D492" s="354" t="s">
        <v>1854</v>
      </c>
      <c r="E492" s="354" t="s">
        <v>1855</v>
      </c>
      <c r="F492" s="355" t="s">
        <v>212</v>
      </c>
      <c r="G492" s="368">
        <v>1</v>
      </c>
      <c r="H492" s="368">
        <f>IF(TRUNC((AD493+AC493)/$AE$3,1)*$AE$3-AD493 &lt;0, AC493, TRUNC((AD493+AC493)/$AE$3,1)*$AE$3-AD493)</f>
        <v>58.699999999999818</v>
      </c>
      <c r="I492" s="369">
        <f>H492</f>
        <v>58.699999999999818</v>
      </c>
      <c r="J492" s="368">
        <v>1</v>
      </c>
      <c r="K492" s="368"/>
      <c r="L492" s="369" t="str">
        <f>IF(G492*K492&lt;&gt;0, TRUNC(G492*K492, 1), "")</f>
        <v/>
      </c>
      <c r="M492" s="368"/>
      <c r="N492" s="369" t="str">
        <f>IF(G492*M492&lt;&gt;0, TRUNC(G492*M492, 1), "")</f>
        <v/>
      </c>
      <c r="O492" s="368">
        <f t="shared" si="73"/>
        <v>58.699999999999818</v>
      </c>
      <c r="P492" s="368">
        <f t="shared" si="74"/>
        <v>58.699999999999818</v>
      </c>
      <c r="Q492" s="354"/>
    </row>
    <row r="493" spans="1:31" ht="23.25" customHeight="1">
      <c r="B493" s="344" t="s">
        <v>715</v>
      </c>
      <c r="D493" s="354" t="s">
        <v>216</v>
      </c>
      <c r="E493" s="354"/>
      <c r="F493" s="355"/>
      <c r="G493" s="368"/>
      <c r="H493" s="368"/>
      <c r="I493" s="369">
        <f>TRUNC(SUM(I487:I492))</f>
        <v>2008</v>
      </c>
      <c r="J493" s="368"/>
      <c r="K493" s="368"/>
      <c r="L493" s="369">
        <f>TRUNC(SUM(L487:L492))</f>
        <v>2939</v>
      </c>
      <c r="M493" s="368"/>
      <c r="N493" s="369">
        <f>TRUNC(SUM(N487:N492))</f>
        <v>0</v>
      </c>
      <c r="O493" s="368" t="str">
        <f t="shared" si="73"/>
        <v/>
      </c>
      <c r="P493" s="368">
        <f t="shared" si="74"/>
        <v>4947</v>
      </c>
      <c r="Q493" s="354"/>
      <c r="AC493" s="347">
        <f>TRUNC(AE493*옵션!$B$36/100,1)</f>
        <v>58.7</v>
      </c>
      <c r="AD493" s="347">
        <f>TRUNC(SUM(L487:L491))</f>
        <v>2939</v>
      </c>
      <c r="AE493" s="347">
        <f>TRUNC(SUM(AE487:AE492))</f>
        <v>2939</v>
      </c>
    </row>
    <row r="494" spans="1:31" ht="23.25" customHeight="1">
      <c r="D494" s="354"/>
      <c r="E494" s="354"/>
      <c r="F494" s="355"/>
      <c r="G494" s="368"/>
      <c r="H494" s="368"/>
      <c r="I494" s="369"/>
      <c r="J494" s="368"/>
      <c r="K494" s="368"/>
      <c r="L494" s="369"/>
      <c r="M494" s="368"/>
      <c r="N494" s="369"/>
      <c r="O494" s="368"/>
      <c r="P494" s="368"/>
      <c r="Q494" s="354"/>
    </row>
    <row r="495" spans="1:31" ht="23.25" customHeight="1">
      <c r="A495" s="344" t="s">
        <v>630</v>
      </c>
      <c r="B495" s="344" t="s">
        <v>1833</v>
      </c>
      <c r="C495" s="365" t="s">
        <v>2124</v>
      </c>
      <c r="D495" s="714" t="s">
        <v>2125</v>
      </c>
      <c r="E495" s="715"/>
      <c r="F495" s="355"/>
      <c r="G495" s="368"/>
      <c r="H495" s="368"/>
      <c r="I495" s="369"/>
      <c r="J495" s="368"/>
      <c r="K495" s="368"/>
      <c r="L495" s="369"/>
      <c r="M495" s="368"/>
      <c r="N495" s="369"/>
      <c r="O495" s="368"/>
      <c r="P495" s="368"/>
      <c r="Q495" s="354"/>
    </row>
    <row r="496" spans="1:31" ht="23.25" customHeight="1">
      <c r="A496" s="344" t="s">
        <v>2126</v>
      </c>
      <c r="B496" s="344" t="s">
        <v>1614</v>
      </c>
      <c r="C496" s="365" t="s">
        <v>2126</v>
      </c>
      <c r="D496" s="354" t="s">
        <v>270</v>
      </c>
      <c r="E496" s="354" t="s">
        <v>271</v>
      </c>
      <c r="F496" s="355" t="s">
        <v>255</v>
      </c>
      <c r="G496" s="368">
        <v>1</v>
      </c>
      <c r="H496" s="368">
        <f>합산자재!H81</f>
        <v>1064.2868600000002</v>
      </c>
      <c r="I496" s="369">
        <f>IF(G496*H496&lt;&gt;0, TRUNC(G496*H496, 1), "")</f>
        <v>1064.2</v>
      </c>
      <c r="J496" s="368">
        <v>1</v>
      </c>
      <c r="K496" s="368">
        <f>합산자재!I81</f>
        <v>0</v>
      </c>
      <c r="L496" s="369" t="str">
        <f>IF(G496*K496&lt;&gt;0, TRUNC(G496*K496, 1), "")</f>
        <v/>
      </c>
      <c r="M496" s="368">
        <f>합산자재!J81</f>
        <v>0</v>
      </c>
      <c r="N496" s="369" t="str">
        <f>IF(G496*M496&lt;&gt;0, TRUNC(G496*M496, 1), "")</f>
        <v/>
      </c>
      <c r="O496" s="368">
        <f t="shared" ref="O496:O501" si="75">IF((H496+K496+M496)=0, "", (H496+K496+M496))</f>
        <v>1064.2868600000002</v>
      </c>
      <c r="P496" s="368">
        <f t="shared" ref="P496:P501" si="76">IF(SUM(I496,L496,N496)&lt;&gt;0,SUM(I496,L496,N496),"")</f>
        <v>1064.2</v>
      </c>
      <c r="Q496" s="354"/>
      <c r="AC496" s="347">
        <f>G496*H496</f>
        <v>1064.2868600000002</v>
      </c>
    </row>
    <row r="497" spans="1:31" ht="23.25" customHeight="1">
      <c r="A497" s="344" t="s">
        <v>1885</v>
      </c>
      <c r="B497" s="344" t="s">
        <v>1614</v>
      </c>
      <c r="C497" s="365" t="s">
        <v>1885</v>
      </c>
      <c r="D497" s="354" t="s">
        <v>1886</v>
      </c>
      <c r="E497" s="354" t="s">
        <v>1887</v>
      </c>
      <c r="F497" s="355" t="s">
        <v>212</v>
      </c>
      <c r="G497" s="368">
        <v>1</v>
      </c>
      <c r="H497" s="368">
        <f>IF(TRUNC((AD497+AC497)/$AD$3,1)*$AD$3-AD497 &lt;0, AC497, TRUNC((AD497+AC497)/$AD$3,1)*$AD$3-AD497)</f>
        <v>21.200000000000045</v>
      </c>
      <c r="I497" s="369">
        <f>H497</f>
        <v>21.200000000000045</v>
      </c>
      <c r="J497" s="368">
        <v>1</v>
      </c>
      <c r="K497" s="368"/>
      <c r="L497" s="369" t="str">
        <f>IF(G497*K497&lt;&gt;0, TRUNC(G497*K497, 1), "")</f>
        <v/>
      </c>
      <c r="M497" s="368"/>
      <c r="N497" s="369" t="str">
        <f>IF(G497*M497&lt;&gt;0, TRUNC(G497*M497, 1), "")</f>
        <v/>
      </c>
      <c r="O497" s="368">
        <f t="shared" si="75"/>
        <v>21.200000000000045</v>
      </c>
      <c r="P497" s="368">
        <f t="shared" si="76"/>
        <v>21.200000000000045</v>
      </c>
      <c r="Q497" s="354"/>
      <c r="AC497" s="347">
        <f>TRUNC(TRUNC(SUM(AC495:AC496))*옵션!$B$33/100,1)</f>
        <v>21.2</v>
      </c>
      <c r="AD497" s="347">
        <f>TRUNC(SUM(I495:I496))+TRUNC(SUM(N495:N496))</f>
        <v>1064</v>
      </c>
    </row>
    <row r="498" spans="1:31" ht="23.25" customHeight="1">
      <c r="A498" s="344" t="s">
        <v>1991</v>
      </c>
      <c r="B498" s="344" t="s">
        <v>1614</v>
      </c>
      <c r="C498" s="365" t="s">
        <v>1991</v>
      </c>
      <c r="D498" s="354" t="s">
        <v>1664</v>
      </c>
      <c r="E498" s="354" t="s">
        <v>1992</v>
      </c>
      <c r="F498" s="355" t="s">
        <v>1852</v>
      </c>
      <c r="G498" s="368">
        <f>일위노임!G220</f>
        <v>8.77E-3</v>
      </c>
      <c r="H498" s="368">
        <f>합산자재!H121</f>
        <v>0</v>
      </c>
      <c r="I498" s="369" t="str">
        <f>IF(G498*H498&lt;&gt;0, TRUNC(G498*H498, 1), "")</f>
        <v/>
      </c>
      <c r="J498" s="368">
        <v>8.7799999999999996E-3</v>
      </c>
      <c r="K498" s="368">
        <f>합산자재!I121</f>
        <v>240586.38331</v>
      </c>
      <c r="L498" s="369">
        <f>IF(G498*K498&lt;&gt;0, TRUNC(G498*K498, 1), "")</f>
        <v>2109.9</v>
      </c>
      <c r="M498" s="368">
        <f>합산자재!J121</f>
        <v>0</v>
      </c>
      <c r="N498" s="369" t="str">
        <f>IF(G498*M498&lt;&gt;0, TRUNC(G498*M498, 1), "")</f>
        <v/>
      </c>
      <c r="O498" s="368">
        <f t="shared" si="75"/>
        <v>240586.38331</v>
      </c>
      <c r="P498" s="368">
        <f t="shared" si="76"/>
        <v>2109.9</v>
      </c>
      <c r="Q498" s="354"/>
      <c r="AE498" s="347">
        <f>L498</f>
        <v>2109.9</v>
      </c>
    </row>
    <row r="499" spans="1:31" ht="23.25" customHeight="1">
      <c r="A499" s="344" t="s">
        <v>1888</v>
      </c>
      <c r="B499" s="344" t="s">
        <v>1614</v>
      </c>
      <c r="C499" s="365" t="s">
        <v>1888</v>
      </c>
      <c r="D499" s="354" t="s">
        <v>1664</v>
      </c>
      <c r="E499" s="354" t="s">
        <v>1889</v>
      </c>
      <c r="F499" s="355" t="s">
        <v>1852</v>
      </c>
      <c r="G499" s="368">
        <f>일위노임!G221</f>
        <v>8.77E-3</v>
      </c>
      <c r="H499" s="368">
        <f>합산자재!H125</f>
        <v>0</v>
      </c>
      <c r="I499" s="369" t="str">
        <f>IF(G499*H499&lt;&gt;0, TRUNC(G499*H499, 1), "")</f>
        <v/>
      </c>
      <c r="J499" s="368">
        <v>8.7799999999999996E-3</v>
      </c>
      <c r="K499" s="368">
        <f>합산자재!I125</f>
        <v>131495.20930000002</v>
      </c>
      <c r="L499" s="369">
        <f>IF(G499*K499&lt;&gt;0, TRUNC(G499*K499, 1), "")</f>
        <v>1153.2</v>
      </c>
      <c r="M499" s="368">
        <f>합산자재!J125</f>
        <v>0</v>
      </c>
      <c r="N499" s="369" t="str">
        <f>IF(G499*M499&lt;&gt;0, TRUNC(G499*M499, 1), "")</f>
        <v/>
      </c>
      <c r="O499" s="368">
        <f t="shared" si="75"/>
        <v>131495.20930000002</v>
      </c>
      <c r="P499" s="368">
        <f t="shared" si="76"/>
        <v>1153.2</v>
      </c>
      <c r="Q499" s="354"/>
      <c r="AE499" s="347">
        <f>L499</f>
        <v>1153.2</v>
      </c>
    </row>
    <row r="500" spans="1:31" ht="23.25" customHeight="1">
      <c r="A500" s="344" t="s">
        <v>1853</v>
      </c>
      <c r="B500" s="344" t="s">
        <v>1614</v>
      </c>
      <c r="C500" s="365" t="s">
        <v>1853</v>
      </c>
      <c r="D500" s="354" t="s">
        <v>1854</v>
      </c>
      <c r="E500" s="354" t="s">
        <v>1855</v>
      </c>
      <c r="F500" s="355" t="s">
        <v>212</v>
      </c>
      <c r="G500" s="368">
        <v>1</v>
      </c>
      <c r="H500" s="368">
        <f>IF(TRUNC((AD501+AC501)/$AE$3,1)*$AE$3-AD501 &lt;0, AC501, TRUNC((AD501+AC501)/$AE$3,1)*$AE$3-AD501)</f>
        <v>65.199999999999818</v>
      </c>
      <c r="I500" s="369">
        <f>H500</f>
        <v>65.199999999999818</v>
      </c>
      <c r="J500" s="368">
        <v>1</v>
      </c>
      <c r="K500" s="368"/>
      <c r="L500" s="369" t="str">
        <f>IF(G500*K500&lt;&gt;0, TRUNC(G500*K500, 1), "")</f>
        <v/>
      </c>
      <c r="M500" s="368"/>
      <c r="N500" s="369" t="str">
        <f>IF(G500*M500&lt;&gt;0, TRUNC(G500*M500, 1), "")</f>
        <v/>
      </c>
      <c r="O500" s="368">
        <f t="shared" si="75"/>
        <v>65.199999999999818</v>
      </c>
      <c r="P500" s="368">
        <f t="shared" si="76"/>
        <v>65.199999999999818</v>
      </c>
      <c r="Q500" s="354"/>
    </row>
    <row r="501" spans="1:31" ht="23.25" customHeight="1">
      <c r="B501" s="344" t="s">
        <v>715</v>
      </c>
      <c r="D501" s="354" t="s">
        <v>216</v>
      </c>
      <c r="E501" s="354"/>
      <c r="F501" s="355"/>
      <c r="G501" s="368"/>
      <c r="H501" s="368"/>
      <c r="I501" s="369">
        <f>TRUNC(SUM(I495:I500))</f>
        <v>1150</v>
      </c>
      <c r="J501" s="368"/>
      <c r="K501" s="368"/>
      <c r="L501" s="369">
        <f>TRUNC(SUM(L495:L500))</f>
        <v>3263</v>
      </c>
      <c r="M501" s="368"/>
      <c r="N501" s="369">
        <f>TRUNC(SUM(N495:N500))</f>
        <v>0</v>
      </c>
      <c r="O501" s="368" t="str">
        <f t="shared" si="75"/>
        <v/>
      </c>
      <c r="P501" s="368">
        <f t="shared" si="76"/>
        <v>4413</v>
      </c>
      <c r="Q501" s="354"/>
      <c r="AC501" s="347">
        <f>TRUNC(AE501*옵션!$B$36/100,1)</f>
        <v>65.2</v>
      </c>
      <c r="AD501" s="347">
        <f>TRUNC(SUM(L495:L499))</f>
        <v>3263</v>
      </c>
      <c r="AE501" s="347">
        <f>TRUNC(SUM(AE495:AE500))</f>
        <v>3263</v>
      </c>
    </row>
    <row r="502" spans="1:31" ht="23.25" customHeight="1">
      <c r="D502" s="354"/>
      <c r="E502" s="354"/>
      <c r="F502" s="355"/>
      <c r="G502" s="368"/>
      <c r="H502" s="368"/>
      <c r="I502" s="369"/>
      <c r="J502" s="368"/>
      <c r="K502" s="368"/>
      <c r="L502" s="369"/>
      <c r="M502" s="368"/>
      <c r="N502" s="369"/>
      <c r="O502" s="368"/>
      <c r="P502" s="368"/>
      <c r="Q502" s="354"/>
    </row>
    <row r="503" spans="1:31" ht="23.25" customHeight="1">
      <c r="A503" s="344" t="s">
        <v>625</v>
      </c>
      <c r="B503" s="344" t="s">
        <v>1833</v>
      </c>
      <c r="C503" s="365" t="s">
        <v>2127</v>
      </c>
      <c r="D503" s="714" t="s">
        <v>2128</v>
      </c>
      <c r="E503" s="715"/>
      <c r="F503" s="355"/>
      <c r="G503" s="368"/>
      <c r="H503" s="368"/>
      <c r="I503" s="369"/>
      <c r="J503" s="368"/>
      <c r="K503" s="368"/>
      <c r="L503" s="369"/>
      <c r="M503" s="368"/>
      <c r="N503" s="369"/>
      <c r="O503" s="368"/>
      <c r="P503" s="368"/>
      <c r="Q503" s="354"/>
    </row>
    <row r="504" spans="1:31" ht="23.25" customHeight="1">
      <c r="A504" s="344" t="s">
        <v>2129</v>
      </c>
      <c r="B504" s="344" t="s">
        <v>1615</v>
      </c>
      <c r="C504" s="365" t="s">
        <v>2129</v>
      </c>
      <c r="D504" s="354" t="s">
        <v>268</v>
      </c>
      <c r="E504" s="354" t="s">
        <v>269</v>
      </c>
      <c r="F504" s="355" t="s">
        <v>255</v>
      </c>
      <c r="G504" s="368">
        <v>1</v>
      </c>
      <c r="H504" s="368">
        <f>합산자재!H82</f>
        <v>696.83341000000007</v>
      </c>
      <c r="I504" s="369">
        <f>IF(G504*H504&lt;&gt;0, TRUNC(G504*H504, 1), "")</f>
        <v>696.8</v>
      </c>
      <c r="J504" s="368">
        <v>1</v>
      </c>
      <c r="K504" s="368">
        <f>합산자재!I82</f>
        <v>0</v>
      </c>
      <c r="L504" s="369" t="str">
        <f>IF(G504*K504&lt;&gt;0, TRUNC(G504*K504, 1), "")</f>
        <v/>
      </c>
      <c r="M504" s="368">
        <f>합산자재!J82</f>
        <v>0</v>
      </c>
      <c r="N504" s="369" t="str">
        <f>IF(G504*M504&lt;&gt;0, TRUNC(G504*M504, 1), "")</f>
        <v/>
      </c>
      <c r="O504" s="368">
        <f>IF((H504+K504+M504)=0, "", (H504+K504+M504))</f>
        <v>696.83341000000007</v>
      </c>
      <c r="P504" s="368">
        <f>IF(SUM(I504,L504,N504)&lt;&gt;0,SUM(I504,L504,N504),"")</f>
        <v>696.8</v>
      </c>
      <c r="Q504" s="354"/>
      <c r="AC504" s="347">
        <f>G504*H504</f>
        <v>696.83341000000007</v>
      </c>
    </row>
    <row r="505" spans="1:31" ht="23.25" customHeight="1">
      <c r="A505" s="344" t="s">
        <v>1885</v>
      </c>
      <c r="B505" s="344" t="s">
        <v>1615</v>
      </c>
      <c r="C505" s="365" t="s">
        <v>1885</v>
      </c>
      <c r="D505" s="354" t="s">
        <v>1886</v>
      </c>
      <c r="E505" s="354" t="s">
        <v>1887</v>
      </c>
      <c r="F505" s="355" t="s">
        <v>212</v>
      </c>
      <c r="G505" s="368">
        <v>1</v>
      </c>
      <c r="H505" s="368">
        <f>IF(TRUNC((AD505+AC505)/$AD$3,1)*$AD$3-AD505 &lt;0, AC505, TRUNC((AD505+AC505)/$AD$3,1)*$AD$3-AD505)</f>
        <v>13.899999999999977</v>
      </c>
      <c r="I505" s="369">
        <f>H505</f>
        <v>13.899999999999977</v>
      </c>
      <c r="J505" s="368">
        <v>1</v>
      </c>
      <c r="K505" s="368"/>
      <c r="L505" s="369" t="str">
        <f>IF(G505*K505&lt;&gt;0, TRUNC(G505*K505, 1), "")</f>
        <v/>
      </c>
      <c r="M505" s="368"/>
      <c r="N505" s="369" t="str">
        <f>IF(G505*M505&lt;&gt;0, TRUNC(G505*M505, 1), "")</f>
        <v/>
      </c>
      <c r="O505" s="368">
        <f>IF((H505+K505+M505)=0, "", (H505+K505+M505))</f>
        <v>13.899999999999977</v>
      </c>
      <c r="P505" s="368">
        <f>IF(SUM(I505,L505,N505)&lt;&gt;0,SUM(I505,L505,N505),"")</f>
        <v>13.899999999999977</v>
      </c>
      <c r="Q505" s="354"/>
      <c r="AC505" s="347">
        <f>TRUNC(TRUNC(SUM(AC503:AC504))*옵션!$B$33/100,1)</f>
        <v>13.9</v>
      </c>
      <c r="AD505" s="347">
        <f>TRUNC(SUM(I503:I504))+TRUNC(SUM(N503:N504))</f>
        <v>696</v>
      </c>
    </row>
    <row r="506" spans="1:31" ht="23.25" customHeight="1">
      <c r="A506" s="344" t="s">
        <v>1850</v>
      </c>
      <c r="B506" s="344" t="s">
        <v>1615</v>
      </c>
      <c r="C506" s="365" t="s">
        <v>1850</v>
      </c>
      <c r="D506" s="354" t="s">
        <v>1664</v>
      </c>
      <c r="E506" s="354" t="s">
        <v>1851</v>
      </c>
      <c r="F506" s="355" t="s">
        <v>1852</v>
      </c>
      <c r="G506" s="368">
        <f>일위노임!G224</f>
        <v>6.0000000000000001E-3</v>
      </c>
      <c r="H506" s="368">
        <f>합산자재!H120</f>
        <v>0</v>
      </c>
      <c r="I506" s="369" t="str">
        <f>IF(G506*H506&lt;&gt;0, TRUNC(G506*H506, 1), "")</f>
        <v/>
      </c>
      <c r="J506" s="368">
        <v>6.0000000000000001E-3</v>
      </c>
      <c r="K506" s="368">
        <f>합산자재!I120</f>
        <v>229252.87931000002</v>
      </c>
      <c r="L506" s="369">
        <f>IF(G506*K506&lt;&gt;0, TRUNC(G506*K506, 1), "")</f>
        <v>1375.5</v>
      </c>
      <c r="M506" s="368">
        <f>합산자재!J120</f>
        <v>0</v>
      </c>
      <c r="N506" s="369" t="str">
        <f>IF(G506*M506&lt;&gt;0, TRUNC(G506*M506, 1), "")</f>
        <v/>
      </c>
      <c r="O506" s="368">
        <f>IF((H506+K506+M506)=0, "", (H506+K506+M506))</f>
        <v>229252.87931000002</v>
      </c>
      <c r="P506" s="368">
        <f>IF(SUM(I506,L506,N506)&lt;&gt;0,SUM(I506,L506,N506),"")</f>
        <v>1375.5</v>
      </c>
      <c r="Q506" s="354"/>
      <c r="AE506" s="347">
        <f>L506</f>
        <v>1375.5</v>
      </c>
    </row>
    <row r="507" spans="1:31" ht="23.25" customHeight="1">
      <c r="A507" s="344" t="s">
        <v>1853</v>
      </c>
      <c r="B507" s="344" t="s">
        <v>1615</v>
      </c>
      <c r="C507" s="365" t="s">
        <v>1853</v>
      </c>
      <c r="D507" s="354" t="s">
        <v>1854</v>
      </c>
      <c r="E507" s="354" t="s">
        <v>1855</v>
      </c>
      <c r="F507" s="355" t="s">
        <v>212</v>
      </c>
      <c r="G507" s="368">
        <v>1</v>
      </c>
      <c r="H507" s="368">
        <f>IF(TRUNC((AD508+AC508)/$AE$3,1)*$AE$3-AD508 &lt;0, AC508, TRUNC((AD508+AC508)/$AE$3,1)*$AE$3-AD508)</f>
        <v>27.5</v>
      </c>
      <c r="I507" s="369">
        <f>H507</f>
        <v>27.5</v>
      </c>
      <c r="J507" s="368">
        <v>1</v>
      </c>
      <c r="K507" s="368"/>
      <c r="L507" s="369" t="str">
        <f>IF(G507*K507&lt;&gt;0, TRUNC(G507*K507, 1), "")</f>
        <v/>
      </c>
      <c r="M507" s="368"/>
      <c r="N507" s="369" t="str">
        <f>IF(G507*M507&lt;&gt;0, TRUNC(G507*M507, 1), "")</f>
        <v/>
      </c>
      <c r="O507" s="368">
        <f>IF((H507+K507+M507)=0, "", (H507+K507+M507))</f>
        <v>27.5</v>
      </c>
      <c r="P507" s="368">
        <f>IF(SUM(I507,L507,N507)&lt;&gt;0,SUM(I507,L507,N507),"")</f>
        <v>27.5</v>
      </c>
      <c r="Q507" s="354"/>
    </row>
    <row r="508" spans="1:31" ht="23.25" customHeight="1">
      <c r="B508" s="344" t="s">
        <v>715</v>
      </c>
      <c r="D508" s="354" t="s">
        <v>216</v>
      </c>
      <c r="E508" s="354"/>
      <c r="F508" s="355"/>
      <c r="G508" s="368"/>
      <c r="H508" s="368"/>
      <c r="I508" s="369">
        <f>TRUNC(SUM(I503:I507))</f>
        <v>738</v>
      </c>
      <c r="J508" s="368"/>
      <c r="K508" s="368"/>
      <c r="L508" s="369">
        <f>TRUNC(SUM(L503:L507))</f>
        <v>1375</v>
      </c>
      <c r="M508" s="368"/>
      <c r="N508" s="369">
        <f>TRUNC(SUM(N503:N507))</f>
        <v>0</v>
      </c>
      <c r="O508" s="368" t="str">
        <f>IF((H508+K508+M508)=0, "", (H508+K508+M508))</f>
        <v/>
      </c>
      <c r="P508" s="368">
        <f>IF(SUM(I508,L508,N508)&lt;&gt;0,SUM(I508,L508,N508),"")</f>
        <v>2113</v>
      </c>
      <c r="Q508" s="354"/>
      <c r="AC508" s="347">
        <f>TRUNC(AE508*옵션!$B$36/100,1)</f>
        <v>27.5</v>
      </c>
      <c r="AD508" s="347">
        <f>TRUNC(SUM(L503:L506))</f>
        <v>1375</v>
      </c>
      <c r="AE508" s="347">
        <f>TRUNC(SUM(AE503:AE507))</f>
        <v>1375</v>
      </c>
    </row>
    <row r="509" spans="1:31" ht="23.25" customHeight="1">
      <c r="D509" s="354"/>
      <c r="E509" s="354"/>
      <c r="F509" s="355"/>
      <c r="G509" s="368"/>
      <c r="H509" s="368"/>
      <c r="I509" s="369"/>
      <c r="J509" s="368"/>
      <c r="K509" s="368"/>
      <c r="L509" s="369"/>
      <c r="M509" s="368"/>
      <c r="N509" s="369"/>
      <c r="O509" s="368"/>
      <c r="P509" s="368"/>
      <c r="Q509" s="354"/>
    </row>
    <row r="510" spans="1:31" ht="23.25" customHeight="1">
      <c r="A510" s="344" t="s">
        <v>739</v>
      </c>
      <c r="B510" s="344" t="s">
        <v>1833</v>
      </c>
      <c r="C510" s="365" t="s">
        <v>2130</v>
      </c>
      <c r="D510" s="714" t="s">
        <v>2131</v>
      </c>
      <c r="E510" s="715"/>
      <c r="F510" s="355"/>
      <c r="G510" s="368"/>
      <c r="H510" s="368"/>
      <c r="I510" s="369"/>
      <c r="J510" s="368"/>
      <c r="K510" s="368"/>
      <c r="L510" s="369"/>
      <c r="M510" s="368"/>
      <c r="N510" s="369"/>
      <c r="O510" s="368"/>
      <c r="P510" s="368"/>
      <c r="Q510" s="354"/>
    </row>
    <row r="511" spans="1:31" ht="23.25" customHeight="1">
      <c r="A511" s="344" t="s">
        <v>2132</v>
      </c>
      <c r="B511" s="344" t="s">
        <v>1617</v>
      </c>
      <c r="C511" s="365" t="s">
        <v>2132</v>
      </c>
      <c r="D511" s="354" t="s">
        <v>270</v>
      </c>
      <c r="E511" s="354" t="s">
        <v>352</v>
      </c>
      <c r="F511" s="355" t="s">
        <v>255</v>
      </c>
      <c r="G511" s="368">
        <v>1</v>
      </c>
      <c r="H511" s="368">
        <f>합산자재!H83</f>
        <v>24533.494440000002</v>
      </c>
      <c r="I511" s="369">
        <f>IF(G511*H511&lt;&gt;0, TRUNC(G511*H511, 1), "")</f>
        <v>24533.4</v>
      </c>
      <c r="J511" s="368">
        <v>1</v>
      </c>
      <c r="K511" s="368">
        <f>합산자재!I83</f>
        <v>0</v>
      </c>
      <c r="L511" s="369" t="str">
        <f>IF(G511*K511&lt;&gt;0, TRUNC(G511*K511, 1), "")</f>
        <v/>
      </c>
      <c r="M511" s="368">
        <f>합산자재!J83</f>
        <v>0</v>
      </c>
      <c r="N511" s="369" t="str">
        <f>IF(G511*M511&lt;&gt;0, TRUNC(G511*M511, 1), "")</f>
        <v/>
      </c>
      <c r="O511" s="368">
        <f t="shared" ref="O511:O516" si="77">IF((H511+K511+M511)=0, "", (H511+K511+M511))</f>
        <v>24533.494440000002</v>
      </c>
      <c r="P511" s="368">
        <f t="shared" ref="P511:P516" si="78">IF(SUM(I511,L511,N511)&lt;&gt;0,SUM(I511,L511,N511),"")</f>
        <v>24533.4</v>
      </c>
      <c r="Q511" s="354"/>
      <c r="AC511" s="347">
        <f>G511*H511</f>
        <v>24533.494440000002</v>
      </c>
    </row>
    <row r="512" spans="1:31" ht="23.25" customHeight="1">
      <c r="A512" s="344" t="s">
        <v>1885</v>
      </c>
      <c r="B512" s="344" t="s">
        <v>1617</v>
      </c>
      <c r="C512" s="365" t="s">
        <v>1885</v>
      </c>
      <c r="D512" s="354" t="s">
        <v>1886</v>
      </c>
      <c r="E512" s="354" t="s">
        <v>1887</v>
      </c>
      <c r="F512" s="355" t="s">
        <v>212</v>
      </c>
      <c r="G512" s="368">
        <v>1</v>
      </c>
      <c r="H512" s="368">
        <f>IF(TRUNC((AD512+AC512)/$AD$3,1)*$AD$3-AD512 &lt;0, AC512, TRUNC((AD512+AC512)/$AD$3,1)*$AD$3-AD512)</f>
        <v>490.59999999999854</v>
      </c>
      <c r="I512" s="369">
        <f>H512</f>
        <v>490.59999999999854</v>
      </c>
      <c r="J512" s="368">
        <v>1</v>
      </c>
      <c r="K512" s="368"/>
      <c r="L512" s="369" t="str">
        <f>IF(G512*K512&lt;&gt;0, TRUNC(G512*K512, 1), "")</f>
        <v/>
      </c>
      <c r="M512" s="368"/>
      <c r="N512" s="369" t="str">
        <f>IF(G512*M512&lt;&gt;0, TRUNC(G512*M512, 1), "")</f>
        <v/>
      </c>
      <c r="O512" s="368">
        <f t="shared" si="77"/>
        <v>490.59999999999854</v>
      </c>
      <c r="P512" s="368">
        <f t="shared" si="78"/>
        <v>490.59999999999854</v>
      </c>
      <c r="Q512" s="354"/>
      <c r="AC512" s="347">
        <f>TRUNC(TRUNC(SUM(AC510:AC511))*옵션!$B$33/100,1)</f>
        <v>490.6</v>
      </c>
      <c r="AD512" s="347">
        <f>TRUNC(SUM(I510:I511))+TRUNC(SUM(N510:N511))</f>
        <v>24533</v>
      </c>
    </row>
    <row r="513" spans="1:31" ht="23.25" customHeight="1">
      <c r="A513" s="344" t="s">
        <v>1991</v>
      </c>
      <c r="B513" s="344" t="s">
        <v>1617</v>
      </c>
      <c r="C513" s="365" t="s">
        <v>1991</v>
      </c>
      <c r="D513" s="354" t="s">
        <v>1664</v>
      </c>
      <c r="E513" s="354" t="s">
        <v>1992</v>
      </c>
      <c r="F513" s="355" t="s">
        <v>1852</v>
      </c>
      <c r="G513" s="368">
        <f>일위노임!G228</f>
        <v>1.5720000000000001E-2</v>
      </c>
      <c r="H513" s="368">
        <f>합산자재!H121</f>
        <v>0</v>
      </c>
      <c r="I513" s="369" t="str">
        <f>IF(G513*H513&lt;&gt;0, TRUNC(G513*H513, 1), "")</f>
        <v/>
      </c>
      <c r="J513" s="368">
        <v>1.5730000000000001E-2</v>
      </c>
      <c r="K513" s="368">
        <f>합산자재!I121</f>
        <v>240586.38331</v>
      </c>
      <c r="L513" s="369">
        <f>IF(G513*K513&lt;&gt;0, TRUNC(G513*K513, 1), "")</f>
        <v>3782</v>
      </c>
      <c r="M513" s="368">
        <f>합산자재!J121</f>
        <v>0</v>
      </c>
      <c r="N513" s="369" t="str">
        <f>IF(G513*M513&lt;&gt;0, TRUNC(G513*M513, 1), "")</f>
        <v/>
      </c>
      <c r="O513" s="368">
        <f t="shared" si="77"/>
        <v>240586.38331</v>
      </c>
      <c r="P513" s="368">
        <f t="shared" si="78"/>
        <v>3782</v>
      </c>
      <c r="Q513" s="354"/>
      <c r="AE513" s="347">
        <f>L513</f>
        <v>3782</v>
      </c>
    </row>
    <row r="514" spans="1:31" ht="23.25" customHeight="1">
      <c r="A514" s="344" t="s">
        <v>1888</v>
      </c>
      <c r="B514" s="344" t="s">
        <v>1617</v>
      </c>
      <c r="C514" s="365" t="s">
        <v>1888</v>
      </c>
      <c r="D514" s="354" t="s">
        <v>1664</v>
      </c>
      <c r="E514" s="354" t="s">
        <v>1889</v>
      </c>
      <c r="F514" s="355" t="s">
        <v>1852</v>
      </c>
      <c r="G514" s="368">
        <f>일위노임!G229</f>
        <v>1.5720000000000001E-2</v>
      </c>
      <c r="H514" s="368">
        <f>합산자재!H125</f>
        <v>0</v>
      </c>
      <c r="I514" s="369" t="str">
        <f>IF(G514*H514&lt;&gt;0, TRUNC(G514*H514, 1), "")</f>
        <v/>
      </c>
      <c r="J514" s="368">
        <v>1.5730000000000001E-2</v>
      </c>
      <c r="K514" s="368">
        <f>합산자재!I125</f>
        <v>131495.20930000002</v>
      </c>
      <c r="L514" s="369">
        <f>IF(G514*K514&lt;&gt;0, TRUNC(G514*K514, 1), "")</f>
        <v>2067.1</v>
      </c>
      <c r="M514" s="368">
        <f>합산자재!J125</f>
        <v>0</v>
      </c>
      <c r="N514" s="369" t="str">
        <f>IF(G514*M514&lt;&gt;0, TRUNC(G514*M514, 1), "")</f>
        <v/>
      </c>
      <c r="O514" s="368">
        <f t="shared" si="77"/>
        <v>131495.20930000002</v>
      </c>
      <c r="P514" s="368">
        <f t="shared" si="78"/>
        <v>2067.1</v>
      </c>
      <c r="Q514" s="354"/>
      <c r="AE514" s="347">
        <f>L514</f>
        <v>2067.1</v>
      </c>
    </row>
    <row r="515" spans="1:31" ht="23.25" customHeight="1">
      <c r="A515" s="344" t="s">
        <v>1853</v>
      </c>
      <c r="B515" s="344" t="s">
        <v>1617</v>
      </c>
      <c r="C515" s="365" t="s">
        <v>1853</v>
      </c>
      <c r="D515" s="354" t="s">
        <v>1854</v>
      </c>
      <c r="E515" s="354" t="s">
        <v>1855</v>
      </c>
      <c r="F515" s="355" t="s">
        <v>212</v>
      </c>
      <c r="G515" s="368">
        <v>1</v>
      </c>
      <c r="H515" s="368">
        <f>IF(TRUNC((AD516+AC516)/$AE$3,1)*$AE$3-AD516 &lt;0, AC516, TRUNC((AD516+AC516)/$AE$3,1)*$AE$3-AD516)</f>
        <v>116.89999999999964</v>
      </c>
      <c r="I515" s="369">
        <f>H515</f>
        <v>116.89999999999964</v>
      </c>
      <c r="J515" s="368">
        <v>1</v>
      </c>
      <c r="K515" s="368"/>
      <c r="L515" s="369" t="str">
        <f>IF(G515*K515&lt;&gt;0, TRUNC(G515*K515, 1), "")</f>
        <v/>
      </c>
      <c r="M515" s="368"/>
      <c r="N515" s="369" t="str">
        <f>IF(G515*M515&lt;&gt;0, TRUNC(G515*M515, 1), "")</f>
        <v/>
      </c>
      <c r="O515" s="368">
        <f t="shared" si="77"/>
        <v>116.89999999999964</v>
      </c>
      <c r="P515" s="368">
        <f t="shared" si="78"/>
        <v>116.89999999999964</v>
      </c>
      <c r="Q515" s="354"/>
    </row>
    <row r="516" spans="1:31" ht="23.25" customHeight="1">
      <c r="B516" s="344" t="s">
        <v>715</v>
      </c>
      <c r="D516" s="354" t="s">
        <v>216</v>
      </c>
      <c r="E516" s="354"/>
      <c r="F516" s="355"/>
      <c r="G516" s="368"/>
      <c r="H516" s="368"/>
      <c r="I516" s="369">
        <f>TRUNC(SUM(I510:I515))</f>
        <v>25140</v>
      </c>
      <c r="J516" s="368"/>
      <c r="K516" s="368"/>
      <c r="L516" s="369">
        <f>TRUNC(SUM(L510:L515))</f>
        <v>5849</v>
      </c>
      <c r="M516" s="368"/>
      <c r="N516" s="369">
        <f>TRUNC(SUM(N510:N515))</f>
        <v>0</v>
      </c>
      <c r="O516" s="368" t="str">
        <f t="shared" si="77"/>
        <v/>
      </c>
      <c r="P516" s="368">
        <f t="shared" si="78"/>
        <v>30989</v>
      </c>
      <c r="Q516" s="354"/>
      <c r="AC516" s="347">
        <f>TRUNC(AE516*옵션!$B$36/100,1)</f>
        <v>116.9</v>
      </c>
      <c r="AD516" s="347">
        <f>TRUNC(SUM(L510:L514))</f>
        <v>5849</v>
      </c>
      <c r="AE516" s="347">
        <f>TRUNC(SUM(AE510:AE515))</f>
        <v>5849</v>
      </c>
    </row>
    <row r="517" spans="1:31" ht="23.25" customHeight="1">
      <c r="D517" s="354"/>
      <c r="E517" s="354"/>
      <c r="F517" s="355"/>
      <c r="G517" s="368"/>
      <c r="H517" s="368"/>
      <c r="I517" s="369"/>
      <c r="J517" s="368"/>
      <c r="K517" s="368"/>
      <c r="L517" s="369"/>
      <c r="M517" s="368"/>
      <c r="N517" s="369"/>
      <c r="O517" s="368"/>
      <c r="P517" s="368"/>
      <c r="Q517" s="354"/>
    </row>
    <row r="518" spans="1:31" ht="23.25" customHeight="1">
      <c r="A518" s="344" t="s">
        <v>978</v>
      </c>
      <c r="B518" s="344" t="s">
        <v>1833</v>
      </c>
      <c r="C518" s="365" t="s">
        <v>2133</v>
      </c>
      <c r="D518" s="714" t="s">
        <v>2134</v>
      </c>
      <c r="E518" s="715"/>
      <c r="F518" s="355"/>
      <c r="G518" s="368"/>
      <c r="H518" s="368"/>
      <c r="I518" s="369"/>
      <c r="J518" s="368"/>
      <c r="K518" s="368"/>
      <c r="L518" s="369"/>
      <c r="M518" s="368"/>
      <c r="N518" s="369"/>
      <c r="O518" s="368"/>
      <c r="P518" s="368"/>
      <c r="Q518" s="354"/>
    </row>
    <row r="519" spans="1:31" ht="23.25" customHeight="1">
      <c r="A519" s="344" t="s">
        <v>2135</v>
      </c>
      <c r="B519" s="344" t="s">
        <v>1619</v>
      </c>
      <c r="C519" s="365" t="s">
        <v>2135</v>
      </c>
      <c r="D519" s="354" t="s">
        <v>268</v>
      </c>
      <c r="E519" s="354" t="s">
        <v>537</v>
      </c>
      <c r="F519" s="355" t="s">
        <v>255</v>
      </c>
      <c r="G519" s="368">
        <v>1</v>
      </c>
      <c r="H519" s="368">
        <f>합산자재!H84</f>
        <v>1684.0878600000001</v>
      </c>
      <c r="I519" s="369">
        <f>IF(G519*H519&lt;&gt;0, TRUNC(G519*H519, 1), "")</f>
        <v>1684</v>
      </c>
      <c r="J519" s="368">
        <v>1</v>
      </c>
      <c r="K519" s="368">
        <f>합산자재!I84</f>
        <v>0</v>
      </c>
      <c r="L519" s="369" t="str">
        <f>IF(G519*K519&lt;&gt;0, TRUNC(G519*K519, 1), "")</f>
        <v/>
      </c>
      <c r="M519" s="368">
        <f>합산자재!J84</f>
        <v>0</v>
      </c>
      <c r="N519" s="369" t="str">
        <f>IF(G519*M519&lt;&gt;0, TRUNC(G519*M519, 1), "")</f>
        <v/>
      </c>
      <c r="O519" s="368">
        <f>IF((H519+K519+M519)=0, "", (H519+K519+M519))</f>
        <v>1684.0878600000001</v>
      </c>
      <c r="P519" s="368">
        <f>IF(SUM(I519,L519,N519)&lt;&gt;0,SUM(I519,L519,N519),"")</f>
        <v>1684</v>
      </c>
      <c r="Q519" s="354"/>
      <c r="AC519" s="347">
        <f>G519*H519</f>
        <v>1684.0878600000001</v>
      </c>
    </row>
    <row r="520" spans="1:31" ht="23.25" customHeight="1">
      <c r="A520" s="344" t="s">
        <v>1885</v>
      </c>
      <c r="B520" s="344" t="s">
        <v>1619</v>
      </c>
      <c r="C520" s="365" t="s">
        <v>1885</v>
      </c>
      <c r="D520" s="354" t="s">
        <v>1886</v>
      </c>
      <c r="E520" s="354" t="s">
        <v>1887</v>
      </c>
      <c r="F520" s="355" t="s">
        <v>212</v>
      </c>
      <c r="G520" s="368">
        <v>1</v>
      </c>
      <c r="H520" s="368">
        <f>IF(TRUNC((AD520+AC520)/$AD$3,1)*$AD$3-AD520 &lt;0, AC520, TRUNC((AD520+AC520)/$AD$3,1)*$AD$3-AD520)</f>
        <v>33.599999999999909</v>
      </c>
      <c r="I520" s="369">
        <f>H520</f>
        <v>33.599999999999909</v>
      </c>
      <c r="J520" s="368">
        <v>1</v>
      </c>
      <c r="K520" s="368"/>
      <c r="L520" s="369" t="str">
        <f>IF(G520*K520&lt;&gt;0, TRUNC(G520*K520, 1), "")</f>
        <v/>
      </c>
      <c r="M520" s="368"/>
      <c r="N520" s="369" t="str">
        <f>IF(G520*M520&lt;&gt;0, TRUNC(G520*M520, 1), "")</f>
        <v/>
      </c>
      <c r="O520" s="368">
        <f>IF((H520+K520+M520)=0, "", (H520+K520+M520))</f>
        <v>33.599999999999909</v>
      </c>
      <c r="P520" s="368">
        <f>IF(SUM(I520,L520,N520)&lt;&gt;0,SUM(I520,L520,N520),"")</f>
        <v>33.599999999999909</v>
      </c>
      <c r="Q520" s="354"/>
      <c r="AC520" s="347">
        <f>TRUNC(TRUNC(SUM(AC518:AC519))*옵션!$B$33/100,1)</f>
        <v>33.6</v>
      </c>
      <c r="AD520" s="347">
        <f>TRUNC(SUM(I518:I519))+TRUNC(SUM(N518:N519))</f>
        <v>1684</v>
      </c>
    </row>
    <row r="521" spans="1:31" ht="23.25" customHeight="1">
      <c r="A521" s="344" t="s">
        <v>1850</v>
      </c>
      <c r="B521" s="344" t="s">
        <v>1619</v>
      </c>
      <c r="C521" s="365" t="s">
        <v>1850</v>
      </c>
      <c r="D521" s="354" t="s">
        <v>1664</v>
      </c>
      <c r="E521" s="354" t="s">
        <v>1851</v>
      </c>
      <c r="F521" s="355" t="s">
        <v>1852</v>
      </c>
      <c r="G521" s="368">
        <f>일위노임!G232</f>
        <v>7.0000000000000001E-3</v>
      </c>
      <c r="H521" s="368">
        <f>합산자재!H120</f>
        <v>0</v>
      </c>
      <c r="I521" s="369" t="str">
        <f>IF(G521*H521&lt;&gt;0, TRUNC(G521*H521, 1), "")</f>
        <v/>
      </c>
      <c r="J521" s="368">
        <v>7.0000000000000001E-3</v>
      </c>
      <c r="K521" s="368">
        <f>합산자재!I120</f>
        <v>229252.87931000002</v>
      </c>
      <c r="L521" s="369">
        <f>IF(G521*K521&lt;&gt;0, TRUNC(G521*K521, 1), "")</f>
        <v>1604.7</v>
      </c>
      <c r="M521" s="368">
        <f>합산자재!J120</f>
        <v>0</v>
      </c>
      <c r="N521" s="369" t="str">
        <f>IF(G521*M521&lt;&gt;0, TRUNC(G521*M521, 1), "")</f>
        <v/>
      </c>
      <c r="O521" s="368">
        <f>IF((H521+K521+M521)=0, "", (H521+K521+M521))</f>
        <v>229252.87931000002</v>
      </c>
      <c r="P521" s="368">
        <f>IF(SUM(I521,L521,N521)&lt;&gt;0,SUM(I521,L521,N521),"")</f>
        <v>1604.7</v>
      </c>
      <c r="Q521" s="354"/>
      <c r="AE521" s="347">
        <f>L521</f>
        <v>1604.7</v>
      </c>
    </row>
    <row r="522" spans="1:31" ht="23.25" customHeight="1">
      <c r="A522" s="344" t="s">
        <v>1853</v>
      </c>
      <c r="B522" s="344" t="s">
        <v>1619</v>
      </c>
      <c r="C522" s="365" t="s">
        <v>1853</v>
      </c>
      <c r="D522" s="354" t="s">
        <v>1854</v>
      </c>
      <c r="E522" s="354" t="s">
        <v>1855</v>
      </c>
      <c r="F522" s="355" t="s">
        <v>212</v>
      </c>
      <c r="G522" s="368">
        <v>1</v>
      </c>
      <c r="H522" s="368">
        <f>IF(TRUNC((AD523+AC523)/$AE$3,1)*$AE$3-AD523 &lt;0, AC523, TRUNC((AD523+AC523)/$AE$3,1)*$AE$3-AD523)</f>
        <v>32</v>
      </c>
      <c r="I522" s="369">
        <f>H522</f>
        <v>32</v>
      </c>
      <c r="J522" s="368">
        <v>1</v>
      </c>
      <c r="K522" s="368"/>
      <c r="L522" s="369" t="str">
        <f>IF(G522*K522&lt;&gt;0, TRUNC(G522*K522, 1), "")</f>
        <v/>
      </c>
      <c r="M522" s="368"/>
      <c r="N522" s="369" t="str">
        <f>IF(G522*M522&lt;&gt;0, TRUNC(G522*M522, 1), "")</f>
        <v/>
      </c>
      <c r="O522" s="368">
        <f>IF((H522+K522+M522)=0, "", (H522+K522+M522))</f>
        <v>32</v>
      </c>
      <c r="P522" s="368">
        <f>IF(SUM(I522,L522,N522)&lt;&gt;0,SUM(I522,L522,N522),"")</f>
        <v>32</v>
      </c>
      <c r="Q522" s="354"/>
    </row>
    <row r="523" spans="1:31" ht="23.25" customHeight="1">
      <c r="B523" s="344" t="s">
        <v>715</v>
      </c>
      <c r="D523" s="354" t="s">
        <v>216</v>
      </c>
      <c r="E523" s="354"/>
      <c r="F523" s="355"/>
      <c r="G523" s="368"/>
      <c r="H523" s="368"/>
      <c r="I523" s="369">
        <f>TRUNC(SUM(I518:I522))</f>
        <v>1749</v>
      </c>
      <c r="J523" s="368"/>
      <c r="K523" s="368"/>
      <c r="L523" s="369">
        <f>TRUNC(SUM(L518:L522))</f>
        <v>1604</v>
      </c>
      <c r="M523" s="368"/>
      <c r="N523" s="369">
        <f>TRUNC(SUM(N518:N522))</f>
        <v>0</v>
      </c>
      <c r="O523" s="368" t="str">
        <f>IF((H523+K523+M523)=0, "", (H523+K523+M523))</f>
        <v/>
      </c>
      <c r="P523" s="368">
        <f>IF(SUM(I523,L523,N523)&lt;&gt;0,SUM(I523,L523,N523),"")</f>
        <v>3353</v>
      </c>
      <c r="Q523" s="354"/>
      <c r="AC523" s="347">
        <f>TRUNC(AE523*옵션!$B$36/100,1)</f>
        <v>32</v>
      </c>
      <c r="AD523" s="347">
        <f>TRUNC(SUM(L518:L521))</f>
        <v>1604</v>
      </c>
      <c r="AE523" s="347">
        <f>TRUNC(SUM(AE518:AE522))</f>
        <v>1604</v>
      </c>
    </row>
    <row r="524" spans="1:31" ht="23.25" customHeight="1">
      <c r="D524" s="354"/>
      <c r="E524" s="354"/>
      <c r="F524" s="355"/>
      <c r="G524" s="368"/>
      <c r="H524" s="368"/>
      <c r="I524" s="369"/>
      <c r="J524" s="368"/>
      <c r="K524" s="368"/>
      <c r="L524" s="369"/>
      <c r="M524" s="368"/>
      <c r="N524" s="369"/>
      <c r="O524" s="368"/>
      <c r="P524" s="368"/>
      <c r="Q524" s="354"/>
    </row>
    <row r="525" spans="1:31" ht="23.25" customHeight="1">
      <c r="A525" s="344" t="s">
        <v>595</v>
      </c>
      <c r="B525" s="344" t="s">
        <v>1833</v>
      </c>
      <c r="C525" s="365" t="s">
        <v>2136</v>
      </c>
      <c r="D525" s="714" t="s">
        <v>2137</v>
      </c>
      <c r="E525" s="715"/>
      <c r="F525" s="355"/>
      <c r="G525" s="368"/>
      <c r="H525" s="368"/>
      <c r="I525" s="369"/>
      <c r="J525" s="368"/>
      <c r="K525" s="368"/>
      <c r="L525" s="369"/>
      <c r="M525" s="368"/>
      <c r="N525" s="369"/>
      <c r="O525" s="368"/>
      <c r="P525" s="368"/>
      <c r="Q525" s="354"/>
    </row>
    <row r="526" spans="1:31" ht="23.25" customHeight="1">
      <c r="A526" s="344" t="s">
        <v>2138</v>
      </c>
      <c r="B526" s="344" t="s">
        <v>1620</v>
      </c>
      <c r="C526" s="365" t="s">
        <v>2138</v>
      </c>
      <c r="D526" s="354" t="s">
        <v>256</v>
      </c>
      <c r="E526" s="354" t="s">
        <v>257</v>
      </c>
      <c r="F526" s="355" t="s">
        <v>255</v>
      </c>
      <c r="G526" s="368">
        <v>1</v>
      </c>
      <c r="H526" s="368">
        <f>합산자재!H85</f>
        <v>270.05615</v>
      </c>
      <c r="I526" s="369">
        <f>IF(G526*H526&lt;&gt;0, TRUNC(G526*H526, 1), "")</f>
        <v>270</v>
      </c>
      <c r="J526" s="368">
        <v>1</v>
      </c>
      <c r="K526" s="368">
        <f>합산자재!I85</f>
        <v>0</v>
      </c>
      <c r="L526" s="369" t="str">
        <f t="shared" ref="L526:L531" si="79">IF(G526*K526&lt;&gt;0, TRUNC(G526*K526, 1), "")</f>
        <v/>
      </c>
      <c r="M526" s="368">
        <f>합산자재!J85</f>
        <v>0</v>
      </c>
      <c r="N526" s="369" t="str">
        <f t="shared" ref="N526:N531" si="80">IF(G526*M526&lt;&gt;0, TRUNC(G526*M526, 1), "")</f>
        <v/>
      </c>
      <c r="O526" s="368">
        <f t="shared" ref="O526:O532" si="81">IF((H526+K526+M526)=0, "", (H526+K526+M526))</f>
        <v>270.05615</v>
      </c>
      <c r="P526" s="368">
        <f t="shared" ref="P526:P532" si="82">IF(SUM(I526,L526,N526)&lt;&gt;0,SUM(I526,L526,N526),"")</f>
        <v>270</v>
      </c>
      <c r="Q526" s="354"/>
      <c r="AB526" s="347">
        <f>I526</f>
        <v>270</v>
      </c>
      <c r="AC526" s="347">
        <f>G526*H526</f>
        <v>270.05615</v>
      </c>
    </row>
    <row r="527" spans="1:31" ht="23.25" customHeight="1">
      <c r="A527" s="344" t="s">
        <v>1925</v>
      </c>
      <c r="B527" s="344" t="s">
        <v>1620</v>
      </c>
      <c r="C527" s="365" t="s">
        <v>1925</v>
      </c>
      <c r="D527" s="354" t="s">
        <v>1926</v>
      </c>
      <c r="E527" s="354" t="s">
        <v>1927</v>
      </c>
      <c r="F527" s="355" t="s">
        <v>212</v>
      </c>
      <c r="G527" s="368">
        <v>1</v>
      </c>
      <c r="H527" s="368">
        <f>TRUNC(AB527*옵션!$B$31/100,1)</f>
        <v>40.5</v>
      </c>
      <c r="I527" s="369">
        <f>IF(G527*H527&lt;&gt;0, TRUNC(G527*H527, 1), "")</f>
        <v>40.5</v>
      </c>
      <c r="J527" s="368">
        <v>1</v>
      </c>
      <c r="K527" s="368"/>
      <c r="L527" s="369" t="str">
        <f t="shared" si="79"/>
        <v/>
      </c>
      <c r="M527" s="368"/>
      <c r="N527" s="369" t="str">
        <f t="shared" si="80"/>
        <v/>
      </c>
      <c r="O527" s="368">
        <f t="shared" si="81"/>
        <v>40.5</v>
      </c>
      <c r="P527" s="368">
        <f t="shared" si="82"/>
        <v>40.5</v>
      </c>
      <c r="Q527" s="354"/>
      <c r="AB527" s="347">
        <f>TRUNC(SUM(AB525:AB526))</f>
        <v>270</v>
      </c>
    </row>
    <row r="528" spans="1:31" ht="23.25" customHeight="1">
      <c r="A528" s="344" t="s">
        <v>1885</v>
      </c>
      <c r="B528" s="344" t="s">
        <v>1620</v>
      </c>
      <c r="C528" s="365" t="s">
        <v>1885</v>
      </c>
      <c r="D528" s="354" t="s">
        <v>1886</v>
      </c>
      <c r="E528" s="354" t="s">
        <v>1887</v>
      </c>
      <c r="F528" s="355" t="s">
        <v>212</v>
      </c>
      <c r="G528" s="368">
        <v>1</v>
      </c>
      <c r="H528" s="368">
        <f>IF(TRUNC((AD528+AC528)/$AD$3,1)*$AD$3-AD528 &lt;0, AC528, TRUNC((AD528+AC528)/$AD$3,1)*$AD$3-AD528)</f>
        <v>5.3999999999999773</v>
      </c>
      <c r="I528" s="369">
        <f>H528</f>
        <v>5.3999999999999773</v>
      </c>
      <c r="J528" s="368">
        <v>1</v>
      </c>
      <c r="K528" s="368"/>
      <c r="L528" s="369" t="str">
        <f t="shared" si="79"/>
        <v/>
      </c>
      <c r="M528" s="368"/>
      <c r="N528" s="369" t="str">
        <f t="shared" si="80"/>
        <v/>
      </c>
      <c r="O528" s="368">
        <f t="shared" si="81"/>
        <v>5.3999999999999773</v>
      </c>
      <c r="P528" s="368">
        <f t="shared" si="82"/>
        <v>5.3999999999999773</v>
      </c>
      <c r="Q528" s="354"/>
      <c r="AC528" s="347">
        <f>TRUNC(TRUNC(SUM(AC525:AC527))*옵션!$B$33/100,1)</f>
        <v>5.4</v>
      </c>
      <c r="AD528" s="347">
        <f>TRUNC(SUM(I525:I527))+TRUNC(SUM(N525:N527))</f>
        <v>310</v>
      </c>
    </row>
    <row r="529" spans="1:31" ht="23.25" customHeight="1">
      <c r="A529" s="344" t="s">
        <v>1968</v>
      </c>
      <c r="B529" s="344" t="s">
        <v>1620</v>
      </c>
      <c r="C529" s="365" t="s">
        <v>1968</v>
      </c>
      <c r="D529" s="354" t="s">
        <v>1664</v>
      </c>
      <c r="E529" s="354" t="s">
        <v>1969</v>
      </c>
      <c r="F529" s="355" t="s">
        <v>1852</v>
      </c>
      <c r="G529" s="368">
        <f>일위노임!G236</f>
        <v>8.9999999999999993E-3</v>
      </c>
      <c r="H529" s="368">
        <f>합산자재!H123</f>
        <v>0</v>
      </c>
      <c r="I529" s="369" t="str">
        <f>IF(G529*H529&lt;&gt;0, TRUNC(G529*H529, 1), "")</f>
        <v/>
      </c>
      <c r="J529" s="368">
        <v>8.9999999999999993E-3</v>
      </c>
      <c r="K529" s="368">
        <f>합산자재!I123</f>
        <v>336167.66638000001</v>
      </c>
      <c r="L529" s="369">
        <f t="shared" si="79"/>
        <v>3025.5</v>
      </c>
      <c r="M529" s="368">
        <f>합산자재!J123</f>
        <v>0</v>
      </c>
      <c r="N529" s="369" t="str">
        <f t="shared" si="80"/>
        <v/>
      </c>
      <c r="O529" s="368">
        <f t="shared" si="81"/>
        <v>336167.66638000001</v>
      </c>
      <c r="P529" s="368">
        <f t="shared" si="82"/>
        <v>3025.5</v>
      </c>
      <c r="Q529" s="354"/>
      <c r="AE529" s="347">
        <f>L529</f>
        <v>3025.5</v>
      </c>
    </row>
    <row r="530" spans="1:31" ht="23.25" customHeight="1">
      <c r="A530" s="344" t="s">
        <v>1888</v>
      </c>
      <c r="B530" s="344" t="s">
        <v>1620</v>
      </c>
      <c r="C530" s="365" t="s">
        <v>1888</v>
      </c>
      <c r="D530" s="354" t="s">
        <v>1664</v>
      </c>
      <c r="E530" s="354" t="s">
        <v>1889</v>
      </c>
      <c r="F530" s="355" t="s">
        <v>1852</v>
      </c>
      <c r="G530" s="368">
        <f>일위노임!G237</f>
        <v>2.1000000000000001E-2</v>
      </c>
      <c r="H530" s="368">
        <f>합산자재!H125</f>
        <v>0</v>
      </c>
      <c r="I530" s="369" t="str">
        <f>IF(G530*H530&lt;&gt;0, TRUNC(G530*H530, 1), "")</f>
        <v/>
      </c>
      <c r="J530" s="368">
        <v>2.1000000000000001E-2</v>
      </c>
      <c r="K530" s="368">
        <f>합산자재!I125</f>
        <v>131495.20930000002</v>
      </c>
      <c r="L530" s="369">
        <f t="shared" si="79"/>
        <v>2761.3</v>
      </c>
      <c r="M530" s="368">
        <f>합산자재!J125</f>
        <v>0</v>
      </c>
      <c r="N530" s="369" t="str">
        <f t="shared" si="80"/>
        <v/>
      </c>
      <c r="O530" s="368">
        <f t="shared" si="81"/>
        <v>131495.20930000002</v>
      </c>
      <c r="P530" s="368">
        <f t="shared" si="82"/>
        <v>2761.3</v>
      </c>
      <c r="Q530" s="354"/>
      <c r="AE530" s="347">
        <f>L530</f>
        <v>2761.3</v>
      </c>
    </row>
    <row r="531" spans="1:31" ht="23.25" customHeight="1">
      <c r="A531" s="344" t="s">
        <v>1853</v>
      </c>
      <c r="B531" s="344" t="s">
        <v>1620</v>
      </c>
      <c r="C531" s="365" t="s">
        <v>1853</v>
      </c>
      <c r="D531" s="354" t="s">
        <v>1854</v>
      </c>
      <c r="E531" s="354" t="s">
        <v>1855</v>
      </c>
      <c r="F531" s="355" t="s">
        <v>212</v>
      </c>
      <c r="G531" s="368">
        <v>1</v>
      </c>
      <c r="H531" s="368">
        <f>IF(TRUNC((AD532+AC532)/$AE$3,1)*$AE$3-AD532 &lt;0, AC532, TRUNC((AD532+AC532)/$AE$3,1)*$AE$3-AD532)</f>
        <v>115.69999999999982</v>
      </c>
      <c r="I531" s="369">
        <f>H531</f>
        <v>115.69999999999982</v>
      </c>
      <c r="J531" s="368">
        <v>1</v>
      </c>
      <c r="K531" s="368"/>
      <c r="L531" s="369" t="str">
        <f t="shared" si="79"/>
        <v/>
      </c>
      <c r="M531" s="368"/>
      <c r="N531" s="369" t="str">
        <f t="shared" si="80"/>
        <v/>
      </c>
      <c r="O531" s="368">
        <f t="shared" si="81"/>
        <v>115.69999999999982</v>
      </c>
      <c r="P531" s="368">
        <f t="shared" si="82"/>
        <v>115.69999999999982</v>
      </c>
      <c r="Q531" s="354"/>
    </row>
    <row r="532" spans="1:31" ht="23.25" customHeight="1">
      <c r="B532" s="344" t="s">
        <v>715</v>
      </c>
      <c r="D532" s="354" t="s">
        <v>216</v>
      </c>
      <c r="E532" s="354"/>
      <c r="F532" s="355"/>
      <c r="G532" s="368"/>
      <c r="H532" s="368"/>
      <c r="I532" s="369">
        <f>TRUNC(SUM(I525:I531))</f>
        <v>431</v>
      </c>
      <c r="J532" s="368"/>
      <c r="K532" s="368"/>
      <c r="L532" s="369">
        <f>TRUNC(SUM(L525:L531))</f>
        <v>5786</v>
      </c>
      <c r="M532" s="368"/>
      <c r="N532" s="369">
        <f>TRUNC(SUM(N525:N531))</f>
        <v>0</v>
      </c>
      <c r="O532" s="368" t="str">
        <f t="shared" si="81"/>
        <v/>
      </c>
      <c r="P532" s="368">
        <f t="shared" si="82"/>
        <v>6217</v>
      </c>
      <c r="Q532" s="354"/>
      <c r="AC532" s="347">
        <f>TRUNC(AE532*옵션!$B$36/100,1)</f>
        <v>115.7</v>
      </c>
      <c r="AD532" s="347">
        <f>TRUNC(SUM(L525:L530))</f>
        <v>5786</v>
      </c>
      <c r="AE532" s="347">
        <f>TRUNC(SUM(AE525:AE531))</f>
        <v>5786</v>
      </c>
    </row>
    <row r="533" spans="1:31" ht="23.25" customHeight="1">
      <c r="D533" s="354"/>
      <c r="E533" s="354"/>
      <c r="F533" s="355"/>
      <c r="G533" s="368"/>
      <c r="H533" s="368"/>
      <c r="I533" s="369"/>
      <c r="J533" s="368"/>
      <c r="K533" s="368"/>
      <c r="L533" s="369"/>
      <c r="M533" s="368"/>
      <c r="N533" s="369"/>
      <c r="O533" s="368"/>
      <c r="P533" s="368"/>
      <c r="Q533" s="354"/>
    </row>
    <row r="534" spans="1:31" ht="23.25" customHeight="1">
      <c r="A534" s="344" t="s">
        <v>600</v>
      </c>
      <c r="B534" s="344" t="s">
        <v>1833</v>
      </c>
      <c r="C534" s="365" t="s">
        <v>2139</v>
      </c>
      <c r="D534" s="714" t="s">
        <v>2140</v>
      </c>
      <c r="E534" s="715"/>
      <c r="F534" s="355"/>
      <c r="G534" s="368"/>
      <c r="H534" s="368"/>
      <c r="I534" s="369"/>
      <c r="J534" s="368"/>
      <c r="K534" s="368"/>
      <c r="L534" s="369"/>
      <c r="M534" s="368"/>
      <c r="N534" s="369"/>
      <c r="O534" s="368"/>
      <c r="P534" s="368"/>
      <c r="Q534" s="354"/>
    </row>
    <row r="535" spans="1:31" ht="23.25" customHeight="1">
      <c r="A535" s="344" t="s">
        <v>2141</v>
      </c>
      <c r="B535" s="344" t="s">
        <v>1621</v>
      </c>
      <c r="C535" s="365" t="s">
        <v>2141</v>
      </c>
      <c r="D535" s="354" t="s">
        <v>256</v>
      </c>
      <c r="E535" s="354" t="s">
        <v>258</v>
      </c>
      <c r="F535" s="355" t="s">
        <v>255</v>
      </c>
      <c r="G535" s="368">
        <v>1</v>
      </c>
      <c r="H535" s="368">
        <f>합산자재!H86</f>
        <v>362.14087000000001</v>
      </c>
      <c r="I535" s="369">
        <f>IF(G535*H535&lt;&gt;0, TRUNC(G535*H535, 1), "")</f>
        <v>362.1</v>
      </c>
      <c r="J535" s="368">
        <v>1</v>
      </c>
      <c r="K535" s="368">
        <f>합산자재!I86</f>
        <v>0</v>
      </c>
      <c r="L535" s="369" t="str">
        <f t="shared" ref="L535:L540" si="83">IF(G535*K535&lt;&gt;0, TRUNC(G535*K535, 1), "")</f>
        <v/>
      </c>
      <c r="M535" s="368">
        <f>합산자재!J86</f>
        <v>0</v>
      </c>
      <c r="N535" s="369" t="str">
        <f t="shared" ref="N535:N540" si="84">IF(G535*M535&lt;&gt;0, TRUNC(G535*M535, 1), "")</f>
        <v/>
      </c>
      <c r="O535" s="368">
        <f t="shared" ref="O535:O541" si="85">IF((H535+K535+M535)=0, "", (H535+K535+M535))</f>
        <v>362.14087000000001</v>
      </c>
      <c r="P535" s="368">
        <f t="shared" ref="P535:P541" si="86">IF(SUM(I535,L535,N535)&lt;&gt;0,SUM(I535,L535,N535),"")</f>
        <v>362.1</v>
      </c>
      <c r="Q535" s="354"/>
      <c r="AB535" s="347">
        <f>I535</f>
        <v>362.1</v>
      </c>
      <c r="AC535" s="347">
        <f>G535*H535</f>
        <v>362.14087000000001</v>
      </c>
    </row>
    <row r="536" spans="1:31" ht="23.25" customHeight="1">
      <c r="A536" s="344" t="s">
        <v>1925</v>
      </c>
      <c r="B536" s="344" t="s">
        <v>1621</v>
      </c>
      <c r="C536" s="365" t="s">
        <v>1925</v>
      </c>
      <c r="D536" s="354" t="s">
        <v>1926</v>
      </c>
      <c r="E536" s="354" t="s">
        <v>1927</v>
      </c>
      <c r="F536" s="355" t="s">
        <v>212</v>
      </c>
      <c r="G536" s="368">
        <v>1</v>
      </c>
      <c r="H536" s="368">
        <f>TRUNC(AB536*옵션!$B$31/100,1)</f>
        <v>54.3</v>
      </c>
      <c r="I536" s="369">
        <f>IF(G536*H536&lt;&gt;0, TRUNC(G536*H536, 1), "")</f>
        <v>54.3</v>
      </c>
      <c r="J536" s="368">
        <v>1</v>
      </c>
      <c r="K536" s="368"/>
      <c r="L536" s="369" t="str">
        <f t="shared" si="83"/>
        <v/>
      </c>
      <c r="M536" s="368"/>
      <c r="N536" s="369" t="str">
        <f t="shared" si="84"/>
        <v/>
      </c>
      <c r="O536" s="368">
        <f t="shared" si="85"/>
        <v>54.3</v>
      </c>
      <c r="P536" s="368">
        <f t="shared" si="86"/>
        <v>54.3</v>
      </c>
      <c r="Q536" s="354"/>
      <c r="AB536" s="347">
        <f>TRUNC(SUM(AB534:AB535))</f>
        <v>362</v>
      </c>
    </row>
    <row r="537" spans="1:31" ht="23.25" customHeight="1">
      <c r="A537" s="344" t="s">
        <v>1885</v>
      </c>
      <c r="B537" s="344" t="s">
        <v>1621</v>
      </c>
      <c r="C537" s="365" t="s">
        <v>1885</v>
      </c>
      <c r="D537" s="354" t="s">
        <v>1886</v>
      </c>
      <c r="E537" s="354" t="s">
        <v>1887</v>
      </c>
      <c r="F537" s="355" t="s">
        <v>212</v>
      </c>
      <c r="G537" s="368">
        <v>1</v>
      </c>
      <c r="H537" s="368">
        <f>IF(TRUNC((AD537+AC537)/$AD$3,1)*$AD$3-AD537 &lt;0, AC537, TRUNC((AD537+AC537)/$AD$3,1)*$AD$3-AD537)</f>
        <v>7.1999999999999886</v>
      </c>
      <c r="I537" s="369">
        <f>H537</f>
        <v>7.1999999999999886</v>
      </c>
      <c r="J537" s="368">
        <v>1</v>
      </c>
      <c r="K537" s="368"/>
      <c r="L537" s="369" t="str">
        <f t="shared" si="83"/>
        <v/>
      </c>
      <c r="M537" s="368"/>
      <c r="N537" s="369" t="str">
        <f t="shared" si="84"/>
        <v/>
      </c>
      <c r="O537" s="368">
        <f t="shared" si="85"/>
        <v>7.1999999999999886</v>
      </c>
      <c r="P537" s="368">
        <f t="shared" si="86"/>
        <v>7.1999999999999886</v>
      </c>
      <c r="Q537" s="354"/>
      <c r="AC537" s="347">
        <f>TRUNC(TRUNC(SUM(AC534:AC536))*옵션!$B$33/100,1)</f>
        <v>7.2</v>
      </c>
      <c r="AD537" s="347">
        <f>TRUNC(SUM(I534:I536))+TRUNC(SUM(N534:N536))</f>
        <v>416</v>
      </c>
    </row>
    <row r="538" spans="1:31" ht="23.25" customHeight="1">
      <c r="A538" s="344" t="s">
        <v>1968</v>
      </c>
      <c r="B538" s="344" t="s">
        <v>1621</v>
      </c>
      <c r="C538" s="365" t="s">
        <v>1968</v>
      </c>
      <c r="D538" s="354" t="s">
        <v>1664</v>
      </c>
      <c r="E538" s="354" t="s">
        <v>1969</v>
      </c>
      <c r="F538" s="355" t="s">
        <v>1852</v>
      </c>
      <c r="G538" s="368">
        <f>일위노임!G241</f>
        <v>1.0500000000000001E-2</v>
      </c>
      <c r="H538" s="368">
        <f>합산자재!H123</f>
        <v>0</v>
      </c>
      <c r="I538" s="369" t="str">
        <f>IF(G538*H538&lt;&gt;0, TRUNC(G538*H538, 1), "")</f>
        <v/>
      </c>
      <c r="J538" s="368">
        <v>1.0500000000000001E-2</v>
      </c>
      <c r="K538" s="368">
        <f>합산자재!I123</f>
        <v>336167.66638000001</v>
      </c>
      <c r="L538" s="369">
        <f t="shared" si="83"/>
        <v>3529.7</v>
      </c>
      <c r="M538" s="368">
        <f>합산자재!J123</f>
        <v>0</v>
      </c>
      <c r="N538" s="369" t="str">
        <f t="shared" si="84"/>
        <v/>
      </c>
      <c r="O538" s="368">
        <f t="shared" si="85"/>
        <v>336167.66638000001</v>
      </c>
      <c r="P538" s="368">
        <f t="shared" si="86"/>
        <v>3529.7</v>
      </c>
      <c r="Q538" s="354"/>
      <c r="AE538" s="347">
        <f>L538</f>
        <v>3529.7</v>
      </c>
    </row>
    <row r="539" spans="1:31" ht="23.25" customHeight="1">
      <c r="A539" s="344" t="s">
        <v>1888</v>
      </c>
      <c r="B539" s="344" t="s">
        <v>1621</v>
      </c>
      <c r="C539" s="365" t="s">
        <v>1888</v>
      </c>
      <c r="D539" s="354" t="s">
        <v>1664</v>
      </c>
      <c r="E539" s="354" t="s">
        <v>1889</v>
      </c>
      <c r="F539" s="355" t="s">
        <v>1852</v>
      </c>
      <c r="G539" s="368">
        <f>일위노임!G242</f>
        <v>2.7E-2</v>
      </c>
      <c r="H539" s="368">
        <f>합산자재!H125</f>
        <v>0</v>
      </c>
      <c r="I539" s="369" t="str">
        <f>IF(G539*H539&lt;&gt;0, TRUNC(G539*H539, 1), "")</f>
        <v/>
      </c>
      <c r="J539" s="368">
        <v>2.7E-2</v>
      </c>
      <c r="K539" s="368">
        <f>합산자재!I125</f>
        <v>131495.20930000002</v>
      </c>
      <c r="L539" s="369">
        <f t="shared" si="83"/>
        <v>3550.3</v>
      </c>
      <c r="M539" s="368">
        <f>합산자재!J125</f>
        <v>0</v>
      </c>
      <c r="N539" s="369" t="str">
        <f t="shared" si="84"/>
        <v/>
      </c>
      <c r="O539" s="368">
        <f t="shared" si="85"/>
        <v>131495.20930000002</v>
      </c>
      <c r="P539" s="368">
        <f t="shared" si="86"/>
        <v>3550.3</v>
      </c>
      <c r="Q539" s="354"/>
      <c r="AE539" s="347">
        <f>L539</f>
        <v>3550.3</v>
      </c>
    </row>
    <row r="540" spans="1:31" ht="23.25" customHeight="1">
      <c r="A540" s="344" t="s">
        <v>1853</v>
      </c>
      <c r="B540" s="344" t="s">
        <v>1621</v>
      </c>
      <c r="C540" s="365" t="s">
        <v>1853</v>
      </c>
      <c r="D540" s="354" t="s">
        <v>1854</v>
      </c>
      <c r="E540" s="354" t="s">
        <v>1855</v>
      </c>
      <c r="F540" s="355" t="s">
        <v>212</v>
      </c>
      <c r="G540" s="368">
        <v>1</v>
      </c>
      <c r="H540" s="368">
        <f>IF(TRUNC((AD541+AC541)/$AE$3,1)*$AE$3-AD541 &lt;0, AC541, TRUNC((AD541+AC541)/$AE$3,1)*$AE$3-AD541)</f>
        <v>141.60000000000036</v>
      </c>
      <c r="I540" s="369">
        <f>H540</f>
        <v>141.60000000000036</v>
      </c>
      <c r="J540" s="368">
        <v>1</v>
      </c>
      <c r="K540" s="368"/>
      <c r="L540" s="369" t="str">
        <f t="shared" si="83"/>
        <v/>
      </c>
      <c r="M540" s="368"/>
      <c r="N540" s="369" t="str">
        <f t="shared" si="84"/>
        <v/>
      </c>
      <c r="O540" s="368">
        <f t="shared" si="85"/>
        <v>141.60000000000036</v>
      </c>
      <c r="P540" s="368">
        <f t="shared" si="86"/>
        <v>141.60000000000036</v>
      </c>
      <c r="Q540" s="354"/>
    </row>
    <row r="541" spans="1:31" ht="23.25" customHeight="1">
      <c r="B541" s="344" t="s">
        <v>715</v>
      </c>
      <c r="D541" s="354" t="s">
        <v>216</v>
      </c>
      <c r="E541" s="354"/>
      <c r="F541" s="355"/>
      <c r="G541" s="368"/>
      <c r="H541" s="368"/>
      <c r="I541" s="369">
        <f>TRUNC(SUM(I534:I540))</f>
        <v>565</v>
      </c>
      <c r="J541" s="368"/>
      <c r="K541" s="368"/>
      <c r="L541" s="369">
        <f>TRUNC(SUM(L534:L540))</f>
        <v>7080</v>
      </c>
      <c r="M541" s="368"/>
      <c r="N541" s="369">
        <f>TRUNC(SUM(N534:N540))</f>
        <v>0</v>
      </c>
      <c r="O541" s="368" t="str">
        <f t="shared" si="85"/>
        <v/>
      </c>
      <c r="P541" s="368">
        <f t="shared" si="86"/>
        <v>7645</v>
      </c>
      <c r="Q541" s="354"/>
      <c r="AC541" s="347">
        <f>TRUNC(AE541*옵션!$B$36/100,1)</f>
        <v>141.6</v>
      </c>
      <c r="AD541" s="347">
        <f>TRUNC(SUM(L534:L539))</f>
        <v>7080</v>
      </c>
      <c r="AE541" s="347">
        <f>TRUNC(SUM(AE534:AE540))</f>
        <v>7080</v>
      </c>
    </row>
    <row r="542" spans="1:31" ht="23.25" customHeight="1">
      <c r="D542" s="354"/>
      <c r="E542" s="354"/>
      <c r="F542" s="355"/>
      <c r="G542" s="368"/>
      <c r="H542" s="368"/>
      <c r="I542" s="369"/>
      <c r="J542" s="368"/>
      <c r="K542" s="368"/>
      <c r="L542" s="369"/>
      <c r="M542" s="368"/>
      <c r="N542" s="369"/>
      <c r="O542" s="368"/>
      <c r="P542" s="368"/>
      <c r="Q542" s="354"/>
    </row>
    <row r="543" spans="1:31" ht="23.25" customHeight="1">
      <c r="A543" s="344" t="s">
        <v>908</v>
      </c>
      <c r="B543" s="344" t="s">
        <v>1833</v>
      </c>
      <c r="C543" s="365" t="s">
        <v>2142</v>
      </c>
      <c r="D543" s="714" t="s">
        <v>2143</v>
      </c>
      <c r="E543" s="715"/>
      <c r="F543" s="355"/>
      <c r="G543" s="368"/>
      <c r="H543" s="368"/>
      <c r="I543" s="369"/>
      <c r="J543" s="368"/>
      <c r="K543" s="368"/>
      <c r="L543" s="369"/>
      <c r="M543" s="368"/>
      <c r="N543" s="369"/>
      <c r="O543" s="368"/>
      <c r="P543" s="368"/>
      <c r="Q543" s="354"/>
    </row>
    <row r="544" spans="1:31" ht="23.25" customHeight="1">
      <c r="A544" s="344" t="s">
        <v>1024</v>
      </c>
      <c r="B544" s="344" t="s">
        <v>1623</v>
      </c>
      <c r="C544" s="365" t="s">
        <v>1024</v>
      </c>
      <c r="D544" s="354" t="s">
        <v>465</v>
      </c>
      <c r="E544" s="354" t="s">
        <v>466</v>
      </c>
      <c r="F544" s="355" t="s">
        <v>294</v>
      </c>
      <c r="G544" s="368">
        <v>1</v>
      </c>
      <c r="H544" s="368"/>
      <c r="I544" s="369" t="str">
        <f>IF(G544*H544&lt;&gt;0, TRUNC(G544*H544, 1), "")</f>
        <v/>
      </c>
      <c r="J544" s="368">
        <v>1</v>
      </c>
      <c r="K544" s="368">
        <f>합산자재!I87</f>
        <v>0</v>
      </c>
      <c r="L544" s="369" t="str">
        <f>IF(G544*K544&lt;&gt;0, TRUNC(G544*K544, 1), "")</f>
        <v/>
      </c>
      <c r="M544" s="368">
        <f>합산자재!J87</f>
        <v>0</v>
      </c>
      <c r="N544" s="369" t="str">
        <f>IF(G544*M544&lt;&gt;0, TRUNC(G544*M544, 1), "")</f>
        <v/>
      </c>
      <c r="O544" s="368" t="str">
        <f>IF((H544+K544+M544)=0, "", (H544+K544+M544))</f>
        <v/>
      </c>
      <c r="P544" s="368" t="str">
        <f>IF(SUM(I544,L544,N544)&lt;&gt;0,SUM(I544,L544,N544),"")</f>
        <v/>
      </c>
      <c r="Q544" s="354" t="s">
        <v>1420</v>
      </c>
      <c r="AB544" s="347">
        <f>합산자재!H87*J544</f>
        <v>79688.700000000012</v>
      </c>
    </row>
    <row r="545" spans="1:31" ht="23.25" customHeight="1">
      <c r="A545" s="344" t="s">
        <v>1850</v>
      </c>
      <c r="B545" s="344" t="s">
        <v>1623</v>
      </c>
      <c r="C545" s="365" t="s">
        <v>1850</v>
      </c>
      <c r="D545" s="354" t="s">
        <v>1664</v>
      </c>
      <c r="E545" s="354" t="s">
        <v>1851</v>
      </c>
      <c r="F545" s="355" t="s">
        <v>1852</v>
      </c>
      <c r="G545" s="368">
        <f>일위노임!G245</f>
        <v>0.23669999999999999</v>
      </c>
      <c r="H545" s="368">
        <f>합산자재!H120</f>
        <v>0</v>
      </c>
      <c r="I545" s="369" t="str">
        <f>IF(G545*H545&lt;&gt;0, TRUNC(G545*H545, 1), "")</f>
        <v/>
      </c>
      <c r="J545" s="368">
        <v>0.23669999999999999</v>
      </c>
      <c r="K545" s="368">
        <f>합산자재!I120</f>
        <v>229252.87931000002</v>
      </c>
      <c r="L545" s="369">
        <f>IF(G545*K545&lt;&gt;0, TRUNC(G545*K545, 1), "")</f>
        <v>54264.1</v>
      </c>
      <c r="M545" s="368">
        <f>합산자재!J120</f>
        <v>0</v>
      </c>
      <c r="N545" s="369" t="str">
        <f>IF(G545*M545&lt;&gt;0, TRUNC(G545*M545, 1), "")</f>
        <v/>
      </c>
      <c r="O545" s="368">
        <f>IF((H545+K545+M545)=0, "", (H545+K545+M545))</f>
        <v>229252.87931000002</v>
      </c>
      <c r="P545" s="368">
        <f>IF(SUM(I545,L545,N545)&lt;&gt;0,SUM(I545,L545,N545),"")</f>
        <v>54264.1</v>
      </c>
      <c r="Q545" s="354"/>
      <c r="AE545" s="347">
        <f>L545</f>
        <v>54264.1</v>
      </c>
    </row>
    <row r="546" spans="1:31" ht="23.25" customHeight="1">
      <c r="A546" s="344" t="s">
        <v>1853</v>
      </c>
      <c r="B546" s="344" t="s">
        <v>1623</v>
      </c>
      <c r="C546" s="365" t="s">
        <v>1853</v>
      </c>
      <c r="D546" s="354" t="s">
        <v>1854</v>
      </c>
      <c r="E546" s="354" t="s">
        <v>1855</v>
      </c>
      <c r="F546" s="355" t="s">
        <v>212</v>
      </c>
      <c r="G546" s="368">
        <v>1</v>
      </c>
      <c r="H546" s="368">
        <f>IF(TRUNC((AD547+AC547)/$AE$3,1)*$AE$3-AD547 &lt;0, AC547, TRUNC((AD547+AC547)/$AE$3,1)*$AE$3-AD547)</f>
        <v>1085.1999999999971</v>
      </c>
      <c r="I546" s="369">
        <f>H546</f>
        <v>1085.1999999999971</v>
      </c>
      <c r="J546" s="368">
        <v>1</v>
      </c>
      <c r="K546" s="368"/>
      <c r="L546" s="369" t="str">
        <f>IF(G546*K546&lt;&gt;0, TRUNC(G546*K546, 1), "")</f>
        <v/>
      </c>
      <c r="M546" s="368"/>
      <c r="N546" s="369" t="str">
        <f>IF(G546*M546&lt;&gt;0, TRUNC(G546*M546, 1), "")</f>
        <v/>
      </c>
      <c r="O546" s="368">
        <f>IF((H546+K546+M546)=0, "", (H546+K546+M546))</f>
        <v>1085.1999999999971</v>
      </c>
      <c r="P546" s="368">
        <f>IF(SUM(I546,L546,N546)&lt;&gt;0,SUM(I546,L546,N546),"")</f>
        <v>1085.1999999999971</v>
      </c>
      <c r="Q546" s="354"/>
    </row>
    <row r="547" spans="1:31" ht="23.25" customHeight="1">
      <c r="B547" s="344" t="s">
        <v>715</v>
      </c>
      <c r="D547" s="354" t="s">
        <v>216</v>
      </c>
      <c r="E547" s="354"/>
      <c r="F547" s="355"/>
      <c r="G547" s="368"/>
      <c r="H547" s="368"/>
      <c r="I547" s="369">
        <f>TRUNC(SUM(I543:I546))</f>
        <v>1085</v>
      </c>
      <c r="J547" s="368"/>
      <c r="K547" s="368"/>
      <c r="L547" s="369">
        <f>TRUNC(SUM(L543:L546))</f>
        <v>54264</v>
      </c>
      <c r="M547" s="368"/>
      <c r="N547" s="369">
        <f>TRUNC(SUM(N543:N546))</f>
        <v>0</v>
      </c>
      <c r="O547" s="368" t="str">
        <f>IF((H547+K547+M547)=0, "", (H547+K547+M547))</f>
        <v/>
      </c>
      <c r="P547" s="368">
        <f>IF(SUM(I547,L547,N547)&lt;&gt;0,SUM(I547,L547,N547),"")</f>
        <v>55349</v>
      </c>
      <c r="Q547" s="354"/>
      <c r="AC547" s="347">
        <f>TRUNC(AE547*옵션!$B$36/100,1)</f>
        <v>1085.2</v>
      </c>
      <c r="AD547" s="347">
        <f>TRUNC(SUM(L543:L545))</f>
        <v>54264</v>
      </c>
      <c r="AE547" s="347">
        <f>TRUNC(SUM(AE543:AE546))</f>
        <v>54264</v>
      </c>
    </row>
    <row r="548" spans="1:31" ht="23.25" customHeight="1">
      <c r="D548" s="354"/>
      <c r="E548" s="354"/>
      <c r="F548" s="355"/>
      <c r="G548" s="368"/>
      <c r="H548" s="368"/>
      <c r="I548" s="369"/>
      <c r="J548" s="368"/>
      <c r="K548" s="368"/>
      <c r="L548" s="369"/>
      <c r="M548" s="368"/>
      <c r="N548" s="369"/>
      <c r="O548" s="368"/>
      <c r="P548" s="368"/>
      <c r="Q548" s="354"/>
    </row>
    <row r="549" spans="1:31" ht="23.25" customHeight="1">
      <c r="A549" s="344" t="s">
        <v>912</v>
      </c>
      <c r="B549" s="344" t="s">
        <v>1833</v>
      </c>
      <c r="C549" s="365" t="s">
        <v>2144</v>
      </c>
      <c r="D549" s="714" t="s">
        <v>2145</v>
      </c>
      <c r="E549" s="715"/>
      <c r="F549" s="355"/>
      <c r="G549" s="368"/>
      <c r="H549" s="368"/>
      <c r="I549" s="369"/>
      <c r="J549" s="368"/>
      <c r="K549" s="368"/>
      <c r="L549" s="369"/>
      <c r="M549" s="368"/>
      <c r="N549" s="369"/>
      <c r="O549" s="368"/>
      <c r="P549" s="368"/>
      <c r="Q549" s="354"/>
    </row>
    <row r="550" spans="1:31" ht="23.25" customHeight="1">
      <c r="A550" s="344" t="s">
        <v>1026</v>
      </c>
      <c r="B550" s="344" t="s">
        <v>1625</v>
      </c>
      <c r="C550" s="365" t="s">
        <v>1026</v>
      </c>
      <c r="D550" s="354" t="s">
        <v>467</v>
      </c>
      <c r="E550" s="354" t="s">
        <v>468</v>
      </c>
      <c r="F550" s="355" t="s">
        <v>294</v>
      </c>
      <c r="G550" s="368">
        <v>1</v>
      </c>
      <c r="H550" s="368"/>
      <c r="I550" s="369" t="str">
        <f>IF(G550*H550&lt;&gt;0, TRUNC(G550*H550, 1), "")</f>
        <v/>
      </c>
      <c r="J550" s="368">
        <v>1</v>
      </c>
      <c r="K550" s="368">
        <f>합산자재!I88</f>
        <v>0</v>
      </c>
      <c r="L550" s="369" t="str">
        <f>IF(G550*K550&lt;&gt;0, TRUNC(G550*K550, 1), "")</f>
        <v/>
      </c>
      <c r="M550" s="368">
        <f>합산자재!J88</f>
        <v>0</v>
      </c>
      <c r="N550" s="369" t="str">
        <f>IF(G550*M550&lt;&gt;0, TRUNC(G550*M550, 1), "")</f>
        <v/>
      </c>
      <c r="O550" s="368" t="str">
        <f>IF((H550+K550+M550)=0, "", (H550+K550+M550))</f>
        <v/>
      </c>
      <c r="P550" s="368" t="str">
        <f>IF(SUM(I550,L550,N550)&lt;&gt;0,SUM(I550,L550,N550),"")</f>
        <v/>
      </c>
      <c r="Q550" s="354" t="s">
        <v>1420</v>
      </c>
      <c r="AB550" s="347">
        <f>합산자재!H88*J550</f>
        <v>79688.700000000012</v>
      </c>
    </row>
    <row r="551" spans="1:31" ht="23.25" customHeight="1">
      <c r="A551" s="344" t="s">
        <v>1850</v>
      </c>
      <c r="B551" s="344" t="s">
        <v>1625</v>
      </c>
      <c r="C551" s="365" t="s">
        <v>1850</v>
      </c>
      <c r="D551" s="354" t="s">
        <v>1664</v>
      </c>
      <c r="E551" s="354" t="s">
        <v>1851</v>
      </c>
      <c r="F551" s="355" t="s">
        <v>1852</v>
      </c>
      <c r="G551" s="368">
        <f>일위노임!G248</f>
        <v>0.19889999999999999</v>
      </c>
      <c r="H551" s="368">
        <f>합산자재!H120</f>
        <v>0</v>
      </c>
      <c r="I551" s="369" t="str">
        <f>IF(G551*H551&lt;&gt;0, TRUNC(G551*H551, 1), "")</f>
        <v/>
      </c>
      <c r="J551" s="368">
        <v>0.19889999999999999</v>
      </c>
      <c r="K551" s="368">
        <f>합산자재!I120</f>
        <v>229252.87931000002</v>
      </c>
      <c r="L551" s="369">
        <f>IF(G551*K551&lt;&gt;0, TRUNC(G551*K551, 1), "")</f>
        <v>45598.3</v>
      </c>
      <c r="M551" s="368">
        <f>합산자재!J120</f>
        <v>0</v>
      </c>
      <c r="N551" s="369" t="str">
        <f>IF(G551*M551&lt;&gt;0, TRUNC(G551*M551, 1), "")</f>
        <v/>
      </c>
      <c r="O551" s="368">
        <f>IF((H551+K551+M551)=0, "", (H551+K551+M551))</f>
        <v>229252.87931000002</v>
      </c>
      <c r="P551" s="368">
        <f>IF(SUM(I551,L551,N551)&lt;&gt;0,SUM(I551,L551,N551),"")</f>
        <v>45598.3</v>
      </c>
      <c r="Q551" s="354"/>
      <c r="AE551" s="347">
        <f>L551</f>
        <v>45598.3</v>
      </c>
    </row>
    <row r="552" spans="1:31" ht="23.25" customHeight="1">
      <c r="A552" s="344" t="s">
        <v>1853</v>
      </c>
      <c r="B552" s="344" t="s">
        <v>1625</v>
      </c>
      <c r="C552" s="365" t="s">
        <v>1853</v>
      </c>
      <c r="D552" s="354" t="s">
        <v>1854</v>
      </c>
      <c r="E552" s="354" t="s">
        <v>1855</v>
      </c>
      <c r="F552" s="355" t="s">
        <v>212</v>
      </c>
      <c r="G552" s="368">
        <v>1</v>
      </c>
      <c r="H552" s="368">
        <f>IF(TRUNC((AD553+AC553)/$AE$3,1)*$AE$3-AD553 &lt;0, AC553, TRUNC((AD553+AC553)/$AE$3,1)*$AE$3-AD553)</f>
        <v>911.90000000000146</v>
      </c>
      <c r="I552" s="369">
        <f>H552</f>
        <v>911.90000000000146</v>
      </c>
      <c r="J552" s="368">
        <v>1</v>
      </c>
      <c r="K552" s="368"/>
      <c r="L552" s="369" t="str">
        <f>IF(G552*K552&lt;&gt;0, TRUNC(G552*K552, 1), "")</f>
        <v/>
      </c>
      <c r="M552" s="368"/>
      <c r="N552" s="369" t="str">
        <f>IF(G552*M552&lt;&gt;0, TRUNC(G552*M552, 1), "")</f>
        <v/>
      </c>
      <c r="O552" s="368">
        <f>IF((H552+K552+M552)=0, "", (H552+K552+M552))</f>
        <v>911.90000000000146</v>
      </c>
      <c r="P552" s="368">
        <f>IF(SUM(I552,L552,N552)&lt;&gt;0,SUM(I552,L552,N552),"")</f>
        <v>911.90000000000146</v>
      </c>
      <c r="Q552" s="354"/>
    </row>
    <row r="553" spans="1:31" ht="23.25" customHeight="1">
      <c r="B553" s="344" t="s">
        <v>715</v>
      </c>
      <c r="D553" s="354" t="s">
        <v>216</v>
      </c>
      <c r="E553" s="354"/>
      <c r="F553" s="355"/>
      <c r="G553" s="368"/>
      <c r="H553" s="368"/>
      <c r="I553" s="369">
        <f>TRUNC(SUM(I549:I552))</f>
        <v>911</v>
      </c>
      <c r="J553" s="368"/>
      <c r="K553" s="368"/>
      <c r="L553" s="369">
        <f>TRUNC(SUM(L549:L552))</f>
        <v>45598</v>
      </c>
      <c r="M553" s="368"/>
      <c r="N553" s="369">
        <f>TRUNC(SUM(N549:N552))</f>
        <v>0</v>
      </c>
      <c r="O553" s="368" t="str">
        <f>IF((H553+K553+M553)=0, "", (H553+K553+M553))</f>
        <v/>
      </c>
      <c r="P553" s="368">
        <f>IF(SUM(I553,L553,N553)&lt;&gt;0,SUM(I553,L553,N553),"")</f>
        <v>46509</v>
      </c>
      <c r="Q553" s="354"/>
      <c r="AC553" s="347">
        <f>TRUNC(AE553*옵션!$B$36/100,1)</f>
        <v>911.9</v>
      </c>
      <c r="AD553" s="347">
        <f>TRUNC(SUM(L549:L551))</f>
        <v>45598</v>
      </c>
      <c r="AE553" s="347">
        <f>TRUNC(SUM(AE549:AE552))</f>
        <v>45598</v>
      </c>
    </row>
    <row r="554" spans="1:31" ht="23.25" customHeight="1">
      <c r="D554" s="354"/>
      <c r="E554" s="354"/>
      <c r="F554" s="355"/>
      <c r="G554" s="368"/>
      <c r="H554" s="368"/>
      <c r="I554" s="369"/>
      <c r="J554" s="368"/>
      <c r="K554" s="368"/>
      <c r="L554" s="369"/>
      <c r="M554" s="368"/>
      <c r="N554" s="369"/>
      <c r="O554" s="368"/>
      <c r="P554" s="368"/>
      <c r="Q554" s="354"/>
    </row>
    <row r="555" spans="1:31" ht="23.25" customHeight="1">
      <c r="A555" s="344" t="s">
        <v>916</v>
      </c>
      <c r="B555" s="344" t="s">
        <v>1833</v>
      </c>
      <c r="C555" s="365" t="s">
        <v>2146</v>
      </c>
      <c r="D555" s="714" t="s">
        <v>2147</v>
      </c>
      <c r="E555" s="715"/>
      <c r="F555" s="355"/>
      <c r="G555" s="368"/>
      <c r="H555" s="368"/>
      <c r="I555" s="369"/>
      <c r="J555" s="368"/>
      <c r="K555" s="368"/>
      <c r="L555" s="369"/>
      <c r="M555" s="368"/>
      <c r="N555" s="369"/>
      <c r="O555" s="368"/>
      <c r="P555" s="368"/>
      <c r="Q555" s="354"/>
    </row>
    <row r="556" spans="1:31" ht="23.25" customHeight="1">
      <c r="A556" s="344" t="s">
        <v>1028</v>
      </c>
      <c r="B556" s="344" t="s">
        <v>1627</v>
      </c>
      <c r="C556" s="365" t="s">
        <v>1028</v>
      </c>
      <c r="D556" s="354" t="s">
        <v>469</v>
      </c>
      <c r="E556" s="354" t="s">
        <v>470</v>
      </c>
      <c r="F556" s="355" t="s">
        <v>294</v>
      </c>
      <c r="G556" s="368">
        <v>1</v>
      </c>
      <c r="H556" s="368"/>
      <c r="I556" s="369" t="str">
        <f>IF(G556*H556&lt;&gt;0, TRUNC(G556*H556, 1), "")</f>
        <v/>
      </c>
      <c r="J556" s="368">
        <v>1</v>
      </c>
      <c r="K556" s="368">
        <f>합산자재!I89</f>
        <v>0</v>
      </c>
      <c r="L556" s="369" t="str">
        <f>IF(G556*K556&lt;&gt;0, TRUNC(G556*K556, 1), "")</f>
        <v/>
      </c>
      <c r="M556" s="368">
        <f>합산자재!J89</f>
        <v>0</v>
      </c>
      <c r="N556" s="369" t="str">
        <f>IF(G556*M556&lt;&gt;0, TRUNC(G556*M556, 1), "")</f>
        <v/>
      </c>
      <c r="O556" s="368" t="str">
        <f>IF((H556+K556+M556)=0, "", (H556+K556+M556))</f>
        <v/>
      </c>
      <c r="P556" s="368" t="str">
        <f>IF(SUM(I556,L556,N556)&lt;&gt;0,SUM(I556,L556,N556),"")</f>
        <v/>
      </c>
      <c r="Q556" s="354" t="s">
        <v>1420</v>
      </c>
      <c r="AB556" s="347">
        <f>합산자재!H89*J556</f>
        <v>354172</v>
      </c>
    </row>
    <row r="557" spans="1:31" ht="23.25" customHeight="1">
      <c r="A557" s="344" t="s">
        <v>1850</v>
      </c>
      <c r="B557" s="344" t="s">
        <v>1627</v>
      </c>
      <c r="C557" s="365" t="s">
        <v>1850</v>
      </c>
      <c r="D557" s="354" t="s">
        <v>1664</v>
      </c>
      <c r="E557" s="354" t="s">
        <v>1851</v>
      </c>
      <c r="F557" s="355" t="s">
        <v>1852</v>
      </c>
      <c r="G557" s="368">
        <f>일위노임!G251</f>
        <v>0.26900000000000002</v>
      </c>
      <c r="H557" s="368">
        <f>합산자재!H120</f>
        <v>0</v>
      </c>
      <c r="I557" s="369" t="str">
        <f>IF(G557*H557&lt;&gt;0, TRUNC(G557*H557, 1), "")</f>
        <v/>
      </c>
      <c r="J557" s="368">
        <v>0.26900000000000002</v>
      </c>
      <c r="K557" s="368">
        <f>합산자재!I120</f>
        <v>229252.87931000002</v>
      </c>
      <c r="L557" s="369">
        <f>IF(G557*K557&lt;&gt;0, TRUNC(G557*K557, 1), "")</f>
        <v>61669</v>
      </c>
      <c r="M557" s="368">
        <f>합산자재!J120</f>
        <v>0</v>
      </c>
      <c r="N557" s="369" t="str">
        <f>IF(G557*M557&lt;&gt;0, TRUNC(G557*M557, 1), "")</f>
        <v/>
      </c>
      <c r="O557" s="368">
        <f>IF((H557+K557+M557)=0, "", (H557+K557+M557))</f>
        <v>229252.87931000002</v>
      </c>
      <c r="P557" s="368">
        <f>IF(SUM(I557,L557,N557)&lt;&gt;0,SUM(I557,L557,N557),"")</f>
        <v>61669</v>
      </c>
      <c r="Q557" s="354"/>
      <c r="AE557" s="347">
        <f>L557</f>
        <v>61669</v>
      </c>
    </row>
    <row r="558" spans="1:31" ht="23.25" customHeight="1">
      <c r="A558" s="344" t="s">
        <v>1853</v>
      </c>
      <c r="B558" s="344" t="s">
        <v>1627</v>
      </c>
      <c r="C558" s="365" t="s">
        <v>1853</v>
      </c>
      <c r="D558" s="354" t="s">
        <v>1854</v>
      </c>
      <c r="E558" s="354" t="s">
        <v>1855</v>
      </c>
      <c r="F558" s="355" t="s">
        <v>212</v>
      </c>
      <c r="G558" s="368">
        <v>1</v>
      </c>
      <c r="H558" s="368">
        <f>IF(TRUNC((AD559+AC559)/$AE$3,1)*$AE$3-AD559 &lt;0, AC559, TRUNC((AD559+AC559)/$AE$3,1)*$AE$3-AD559)</f>
        <v>1233.3000000000029</v>
      </c>
      <c r="I558" s="369">
        <f>H558</f>
        <v>1233.3000000000029</v>
      </c>
      <c r="J558" s="368">
        <v>1</v>
      </c>
      <c r="K558" s="368"/>
      <c r="L558" s="369" t="str">
        <f>IF(G558*K558&lt;&gt;0, TRUNC(G558*K558, 1), "")</f>
        <v/>
      </c>
      <c r="M558" s="368"/>
      <c r="N558" s="369" t="str">
        <f>IF(G558*M558&lt;&gt;0, TRUNC(G558*M558, 1), "")</f>
        <v/>
      </c>
      <c r="O558" s="368">
        <f>IF((H558+K558+M558)=0, "", (H558+K558+M558))</f>
        <v>1233.3000000000029</v>
      </c>
      <c r="P558" s="368">
        <f>IF(SUM(I558,L558,N558)&lt;&gt;0,SUM(I558,L558,N558),"")</f>
        <v>1233.3000000000029</v>
      </c>
      <c r="Q558" s="354"/>
    </row>
    <row r="559" spans="1:31" ht="23.25" customHeight="1">
      <c r="B559" s="344" t="s">
        <v>715</v>
      </c>
      <c r="D559" s="354" t="s">
        <v>216</v>
      </c>
      <c r="E559" s="354"/>
      <c r="F559" s="355"/>
      <c r="G559" s="368"/>
      <c r="H559" s="368"/>
      <c r="I559" s="369">
        <f>TRUNC(SUM(I555:I558))</f>
        <v>1233</v>
      </c>
      <c r="J559" s="368"/>
      <c r="K559" s="368"/>
      <c r="L559" s="369">
        <f>TRUNC(SUM(L555:L558))</f>
        <v>61669</v>
      </c>
      <c r="M559" s="368"/>
      <c r="N559" s="369">
        <f>TRUNC(SUM(N555:N558))</f>
        <v>0</v>
      </c>
      <c r="O559" s="368" t="str">
        <f>IF((H559+K559+M559)=0, "", (H559+K559+M559))</f>
        <v/>
      </c>
      <c r="P559" s="368">
        <f>IF(SUM(I559,L559,N559)&lt;&gt;0,SUM(I559,L559,N559),"")</f>
        <v>62902</v>
      </c>
      <c r="Q559" s="354"/>
      <c r="AC559" s="347">
        <f>TRUNC(AE559*옵션!$B$36/100,1)</f>
        <v>1233.3</v>
      </c>
      <c r="AD559" s="347">
        <f>TRUNC(SUM(L555:L557))</f>
        <v>61669</v>
      </c>
      <c r="AE559" s="347">
        <f>TRUNC(SUM(AE555:AE558))</f>
        <v>61669</v>
      </c>
    </row>
    <row r="560" spans="1:31" ht="23.25" customHeight="1">
      <c r="D560" s="354"/>
      <c r="E560" s="354"/>
      <c r="F560" s="355"/>
      <c r="G560" s="368"/>
      <c r="H560" s="368"/>
      <c r="I560" s="369"/>
      <c r="J560" s="368"/>
      <c r="K560" s="368"/>
      <c r="L560" s="369"/>
      <c r="M560" s="368"/>
      <c r="N560" s="369"/>
      <c r="O560" s="368"/>
      <c r="P560" s="368"/>
      <c r="Q560" s="354"/>
    </row>
    <row r="561" spans="1:31" ht="23.25" customHeight="1">
      <c r="A561" s="344" t="s">
        <v>920</v>
      </c>
      <c r="B561" s="344" t="s">
        <v>1833</v>
      </c>
      <c r="C561" s="365" t="s">
        <v>2148</v>
      </c>
      <c r="D561" s="714" t="s">
        <v>2149</v>
      </c>
      <c r="E561" s="715"/>
      <c r="F561" s="355"/>
      <c r="G561" s="368"/>
      <c r="H561" s="368"/>
      <c r="I561" s="369"/>
      <c r="J561" s="368"/>
      <c r="K561" s="368"/>
      <c r="L561" s="369"/>
      <c r="M561" s="368"/>
      <c r="N561" s="369"/>
      <c r="O561" s="368"/>
      <c r="P561" s="368"/>
      <c r="Q561" s="354"/>
    </row>
    <row r="562" spans="1:31" ht="23.25" customHeight="1">
      <c r="A562" s="344" t="s">
        <v>1030</v>
      </c>
      <c r="B562" s="344" t="s">
        <v>1629</v>
      </c>
      <c r="C562" s="365" t="s">
        <v>1030</v>
      </c>
      <c r="D562" s="354" t="s">
        <v>471</v>
      </c>
      <c r="E562" s="354" t="s">
        <v>472</v>
      </c>
      <c r="F562" s="355" t="s">
        <v>294</v>
      </c>
      <c r="G562" s="368">
        <v>1</v>
      </c>
      <c r="H562" s="368"/>
      <c r="I562" s="369" t="str">
        <f>IF(G562*H562&lt;&gt;0, TRUNC(G562*H562, 1), "")</f>
        <v/>
      </c>
      <c r="J562" s="368">
        <v>1</v>
      </c>
      <c r="K562" s="368">
        <f>합산자재!I90</f>
        <v>0</v>
      </c>
      <c r="L562" s="369" t="str">
        <f>IF(G562*K562&lt;&gt;0, TRUNC(G562*K562, 1), "")</f>
        <v/>
      </c>
      <c r="M562" s="368">
        <f>합산자재!J90</f>
        <v>0</v>
      </c>
      <c r="N562" s="369" t="str">
        <f>IF(G562*M562&lt;&gt;0, TRUNC(G562*M562, 1), "")</f>
        <v/>
      </c>
      <c r="O562" s="368" t="str">
        <f>IF((H562+K562+M562)=0, "", (H562+K562+M562))</f>
        <v/>
      </c>
      <c r="P562" s="368" t="str">
        <f>IF(SUM(I562,L562,N562)&lt;&gt;0,SUM(I562,L562,N562),"")</f>
        <v/>
      </c>
      <c r="Q562" s="354" t="s">
        <v>1420</v>
      </c>
      <c r="AB562" s="347">
        <f>합산자재!H90*J562</f>
        <v>84115.85</v>
      </c>
    </row>
    <row r="563" spans="1:31" ht="23.25" customHeight="1">
      <c r="A563" s="344" t="s">
        <v>1850</v>
      </c>
      <c r="B563" s="344" t="s">
        <v>1629</v>
      </c>
      <c r="C563" s="365" t="s">
        <v>1850</v>
      </c>
      <c r="D563" s="354" t="s">
        <v>1664</v>
      </c>
      <c r="E563" s="354" t="s">
        <v>1851</v>
      </c>
      <c r="F563" s="355" t="s">
        <v>1852</v>
      </c>
      <c r="G563" s="368">
        <f>일위노임!G254</f>
        <v>0.15</v>
      </c>
      <c r="H563" s="368">
        <f>합산자재!H120</f>
        <v>0</v>
      </c>
      <c r="I563" s="369" t="str">
        <f>IF(G563*H563&lt;&gt;0, TRUNC(G563*H563, 1), "")</f>
        <v/>
      </c>
      <c r="J563" s="368">
        <v>0.15</v>
      </c>
      <c r="K563" s="368">
        <f>합산자재!I120</f>
        <v>229252.87931000002</v>
      </c>
      <c r="L563" s="369">
        <f>IF(G563*K563&lt;&gt;0, TRUNC(G563*K563, 1), "")</f>
        <v>34387.9</v>
      </c>
      <c r="M563" s="368">
        <f>합산자재!J120</f>
        <v>0</v>
      </c>
      <c r="N563" s="369" t="str">
        <f>IF(G563*M563&lt;&gt;0, TRUNC(G563*M563, 1), "")</f>
        <v/>
      </c>
      <c r="O563" s="368">
        <f>IF((H563+K563+M563)=0, "", (H563+K563+M563))</f>
        <v>229252.87931000002</v>
      </c>
      <c r="P563" s="368">
        <f>IF(SUM(I563,L563,N563)&lt;&gt;0,SUM(I563,L563,N563),"")</f>
        <v>34387.9</v>
      </c>
      <c r="Q563" s="354"/>
      <c r="AE563" s="347">
        <f>L563</f>
        <v>34387.9</v>
      </c>
    </row>
    <row r="564" spans="1:31" ht="23.25" customHeight="1">
      <c r="A564" s="344" t="s">
        <v>1853</v>
      </c>
      <c r="B564" s="344" t="s">
        <v>1629</v>
      </c>
      <c r="C564" s="365" t="s">
        <v>1853</v>
      </c>
      <c r="D564" s="354" t="s">
        <v>1854</v>
      </c>
      <c r="E564" s="354" t="s">
        <v>1855</v>
      </c>
      <c r="F564" s="355" t="s">
        <v>212</v>
      </c>
      <c r="G564" s="368">
        <v>1</v>
      </c>
      <c r="H564" s="368">
        <f>IF(TRUNC((AD565+AC565)/$AE$3,1)*$AE$3-AD565 &lt;0, AC565, TRUNC((AD565+AC565)/$AE$3,1)*$AE$3-AD565)</f>
        <v>687.69999999999709</v>
      </c>
      <c r="I564" s="369">
        <f>H564</f>
        <v>687.69999999999709</v>
      </c>
      <c r="J564" s="368">
        <v>1</v>
      </c>
      <c r="K564" s="368"/>
      <c r="L564" s="369" t="str">
        <f>IF(G564*K564&lt;&gt;0, TRUNC(G564*K564, 1), "")</f>
        <v/>
      </c>
      <c r="M564" s="368"/>
      <c r="N564" s="369" t="str">
        <f>IF(G564*M564&lt;&gt;0, TRUNC(G564*M564, 1), "")</f>
        <v/>
      </c>
      <c r="O564" s="368">
        <f>IF((H564+K564+M564)=0, "", (H564+K564+M564))</f>
        <v>687.69999999999709</v>
      </c>
      <c r="P564" s="368">
        <f>IF(SUM(I564,L564,N564)&lt;&gt;0,SUM(I564,L564,N564),"")</f>
        <v>687.69999999999709</v>
      </c>
      <c r="Q564" s="354"/>
    </row>
    <row r="565" spans="1:31" ht="23.25" customHeight="1">
      <c r="B565" s="344" t="s">
        <v>715</v>
      </c>
      <c r="D565" s="354" t="s">
        <v>216</v>
      </c>
      <c r="E565" s="354"/>
      <c r="F565" s="355"/>
      <c r="G565" s="368"/>
      <c r="H565" s="368"/>
      <c r="I565" s="369">
        <f>TRUNC(SUM(I561:I564))</f>
        <v>687</v>
      </c>
      <c r="J565" s="368"/>
      <c r="K565" s="368"/>
      <c r="L565" s="369">
        <f>TRUNC(SUM(L561:L564))</f>
        <v>34387</v>
      </c>
      <c r="M565" s="368"/>
      <c r="N565" s="369">
        <f>TRUNC(SUM(N561:N564))</f>
        <v>0</v>
      </c>
      <c r="O565" s="368" t="str">
        <f>IF((H565+K565+M565)=0, "", (H565+K565+M565))</f>
        <v/>
      </c>
      <c r="P565" s="368">
        <f>IF(SUM(I565,L565,N565)&lt;&gt;0,SUM(I565,L565,N565),"")</f>
        <v>35074</v>
      </c>
      <c r="Q565" s="354"/>
      <c r="AC565" s="347">
        <f>TRUNC(AE565*옵션!$B$36/100,1)</f>
        <v>687.7</v>
      </c>
      <c r="AD565" s="347">
        <f>TRUNC(SUM(L561:L563))</f>
        <v>34387</v>
      </c>
      <c r="AE565" s="347">
        <f>TRUNC(SUM(AE561:AE564))</f>
        <v>34387</v>
      </c>
    </row>
    <row r="566" spans="1:31" ht="23.25" customHeight="1">
      <c r="D566" s="354"/>
      <c r="E566" s="354"/>
      <c r="F566" s="355"/>
      <c r="G566" s="368"/>
      <c r="H566" s="368"/>
      <c r="I566" s="369"/>
      <c r="J566" s="368"/>
      <c r="K566" s="368"/>
      <c r="L566" s="369"/>
      <c r="M566" s="368"/>
      <c r="N566" s="369"/>
      <c r="O566" s="368"/>
      <c r="P566" s="368"/>
      <c r="Q566" s="354"/>
    </row>
    <row r="567" spans="1:31" ht="23.25" customHeight="1">
      <c r="A567" s="344" t="s">
        <v>924</v>
      </c>
      <c r="B567" s="344" t="s">
        <v>1833</v>
      </c>
      <c r="C567" s="365" t="s">
        <v>2150</v>
      </c>
      <c r="D567" s="714" t="s">
        <v>2151</v>
      </c>
      <c r="E567" s="715"/>
      <c r="F567" s="355"/>
      <c r="G567" s="368"/>
      <c r="H567" s="368"/>
      <c r="I567" s="369"/>
      <c r="J567" s="368"/>
      <c r="K567" s="368"/>
      <c r="L567" s="369"/>
      <c r="M567" s="368"/>
      <c r="N567" s="369"/>
      <c r="O567" s="368"/>
      <c r="P567" s="368"/>
      <c r="Q567" s="354"/>
    </row>
    <row r="568" spans="1:31" ht="23.25" customHeight="1">
      <c r="A568" s="344" t="s">
        <v>1032</v>
      </c>
      <c r="B568" s="344" t="s">
        <v>1631</v>
      </c>
      <c r="C568" s="365" t="s">
        <v>1032</v>
      </c>
      <c r="D568" s="354" t="s">
        <v>473</v>
      </c>
      <c r="E568" s="354" t="s">
        <v>474</v>
      </c>
      <c r="F568" s="355" t="s">
        <v>294</v>
      </c>
      <c r="G568" s="368">
        <v>1</v>
      </c>
      <c r="H568" s="368"/>
      <c r="I568" s="369" t="str">
        <f>IF(G568*H568&lt;&gt;0, TRUNC(G568*H568, 1), "")</f>
        <v/>
      </c>
      <c r="J568" s="368">
        <v>1</v>
      </c>
      <c r="K568" s="368">
        <f>합산자재!I91</f>
        <v>0</v>
      </c>
      <c r="L568" s="369" t="str">
        <f>IF(G568*K568&lt;&gt;0, TRUNC(G568*K568, 1), "")</f>
        <v/>
      </c>
      <c r="M568" s="368">
        <f>합산자재!J91</f>
        <v>0</v>
      </c>
      <c r="N568" s="369" t="str">
        <f>IF(G568*M568&lt;&gt;0, TRUNC(G568*M568, 1), "")</f>
        <v/>
      </c>
      <c r="O568" s="368" t="str">
        <f>IF((H568+K568+M568)=0, "", (H568+K568+M568))</f>
        <v/>
      </c>
      <c r="P568" s="368" t="str">
        <f>IF(SUM(I568,L568,N568)&lt;&gt;0,SUM(I568,L568,N568),"")</f>
        <v/>
      </c>
      <c r="Q568" s="354" t="s">
        <v>1420</v>
      </c>
      <c r="AB568" s="347">
        <f>합산자재!H91*J568</f>
        <v>32760.910000000003</v>
      </c>
    </row>
    <row r="569" spans="1:31" ht="23.25" customHeight="1">
      <c r="A569" s="344" t="s">
        <v>1850</v>
      </c>
      <c r="B569" s="344" t="s">
        <v>1631</v>
      </c>
      <c r="C569" s="365" t="s">
        <v>1850</v>
      </c>
      <c r="D569" s="354" t="s">
        <v>1664</v>
      </c>
      <c r="E569" s="354" t="s">
        <v>1851</v>
      </c>
      <c r="F569" s="355" t="s">
        <v>1852</v>
      </c>
      <c r="G569" s="368">
        <f>일위노임!G257</f>
        <v>0.13950000000000001</v>
      </c>
      <c r="H569" s="368">
        <f>합산자재!H120</f>
        <v>0</v>
      </c>
      <c r="I569" s="369" t="str">
        <f>IF(G569*H569&lt;&gt;0, TRUNC(G569*H569, 1), "")</f>
        <v/>
      </c>
      <c r="J569" s="368">
        <v>0.13950000000000001</v>
      </c>
      <c r="K569" s="368">
        <f>합산자재!I120</f>
        <v>229252.87931000002</v>
      </c>
      <c r="L569" s="369">
        <f>IF(G569*K569&lt;&gt;0, TRUNC(G569*K569, 1), "")</f>
        <v>31980.7</v>
      </c>
      <c r="M569" s="368">
        <f>합산자재!J120</f>
        <v>0</v>
      </c>
      <c r="N569" s="369" t="str">
        <f>IF(G569*M569&lt;&gt;0, TRUNC(G569*M569, 1), "")</f>
        <v/>
      </c>
      <c r="O569" s="368">
        <f>IF((H569+K569+M569)=0, "", (H569+K569+M569))</f>
        <v>229252.87931000002</v>
      </c>
      <c r="P569" s="368">
        <f>IF(SUM(I569,L569,N569)&lt;&gt;0,SUM(I569,L569,N569),"")</f>
        <v>31980.7</v>
      </c>
      <c r="Q569" s="354"/>
      <c r="AE569" s="347">
        <f>L569</f>
        <v>31980.7</v>
      </c>
    </row>
    <row r="570" spans="1:31" ht="23.25" customHeight="1">
      <c r="A570" s="344" t="s">
        <v>1853</v>
      </c>
      <c r="B570" s="344" t="s">
        <v>1631</v>
      </c>
      <c r="C570" s="365" t="s">
        <v>1853</v>
      </c>
      <c r="D570" s="354" t="s">
        <v>1854</v>
      </c>
      <c r="E570" s="354" t="s">
        <v>1855</v>
      </c>
      <c r="F570" s="355" t="s">
        <v>212</v>
      </c>
      <c r="G570" s="368">
        <v>1</v>
      </c>
      <c r="H570" s="368">
        <f>IF(TRUNC((AD571+AC571)/$AE$3,1)*$AE$3-AD571 &lt;0, AC571, TRUNC((AD571+AC571)/$AE$3,1)*$AE$3-AD571)</f>
        <v>639.59999999999854</v>
      </c>
      <c r="I570" s="369">
        <f>H570</f>
        <v>639.59999999999854</v>
      </c>
      <c r="J570" s="368">
        <v>1</v>
      </c>
      <c r="K570" s="368"/>
      <c r="L570" s="369" t="str">
        <f>IF(G570*K570&lt;&gt;0, TRUNC(G570*K570, 1), "")</f>
        <v/>
      </c>
      <c r="M570" s="368"/>
      <c r="N570" s="369" t="str">
        <f>IF(G570*M570&lt;&gt;0, TRUNC(G570*M570, 1), "")</f>
        <v/>
      </c>
      <c r="O570" s="368">
        <f>IF((H570+K570+M570)=0, "", (H570+K570+M570))</f>
        <v>639.59999999999854</v>
      </c>
      <c r="P570" s="368">
        <f>IF(SUM(I570,L570,N570)&lt;&gt;0,SUM(I570,L570,N570),"")</f>
        <v>639.59999999999854</v>
      </c>
      <c r="Q570" s="354"/>
    </row>
    <row r="571" spans="1:31" ht="23.25" customHeight="1">
      <c r="B571" s="344" t="s">
        <v>715</v>
      </c>
      <c r="D571" s="354" t="s">
        <v>216</v>
      </c>
      <c r="E571" s="354"/>
      <c r="F571" s="355"/>
      <c r="G571" s="368"/>
      <c r="H571" s="368"/>
      <c r="I571" s="369">
        <f>TRUNC(SUM(I567:I570))</f>
        <v>639</v>
      </c>
      <c r="J571" s="368"/>
      <c r="K571" s="368"/>
      <c r="L571" s="369">
        <f>TRUNC(SUM(L567:L570))</f>
        <v>31980</v>
      </c>
      <c r="M571" s="368"/>
      <c r="N571" s="369">
        <f>TRUNC(SUM(N567:N570))</f>
        <v>0</v>
      </c>
      <c r="O571" s="368" t="str">
        <f>IF((H571+K571+M571)=0, "", (H571+K571+M571))</f>
        <v/>
      </c>
      <c r="P571" s="368">
        <f>IF(SUM(I571,L571,N571)&lt;&gt;0,SUM(I571,L571,N571),"")</f>
        <v>32619</v>
      </c>
      <c r="Q571" s="354"/>
      <c r="AC571" s="347">
        <f>TRUNC(AE571*옵션!$B$36/100,1)</f>
        <v>639.6</v>
      </c>
      <c r="AD571" s="347">
        <f>TRUNC(SUM(L567:L569))</f>
        <v>31980</v>
      </c>
      <c r="AE571" s="347">
        <f>TRUNC(SUM(AE567:AE570))</f>
        <v>31980</v>
      </c>
    </row>
    <row r="572" spans="1:31" ht="23.25" customHeight="1">
      <c r="D572" s="354"/>
      <c r="E572" s="354"/>
      <c r="F572" s="355"/>
      <c r="G572" s="368"/>
      <c r="H572" s="368"/>
      <c r="I572" s="369"/>
      <c r="J572" s="368"/>
      <c r="K572" s="368"/>
      <c r="L572" s="369"/>
      <c r="M572" s="368"/>
      <c r="N572" s="369"/>
      <c r="O572" s="368"/>
      <c r="P572" s="368"/>
      <c r="Q572" s="354"/>
    </row>
    <row r="573" spans="1:31" ht="23.25" customHeight="1">
      <c r="A573" s="344" t="s">
        <v>928</v>
      </c>
      <c r="B573" s="344" t="s">
        <v>1833</v>
      </c>
      <c r="C573" s="365" t="s">
        <v>2152</v>
      </c>
      <c r="D573" s="714" t="s">
        <v>2153</v>
      </c>
      <c r="E573" s="715"/>
      <c r="F573" s="355"/>
      <c r="G573" s="368"/>
      <c r="H573" s="368"/>
      <c r="I573" s="369"/>
      <c r="J573" s="368"/>
      <c r="K573" s="368"/>
      <c r="L573" s="369"/>
      <c r="M573" s="368"/>
      <c r="N573" s="369"/>
      <c r="O573" s="368"/>
      <c r="P573" s="368"/>
      <c r="Q573" s="354"/>
    </row>
    <row r="574" spans="1:31" ht="23.25" customHeight="1">
      <c r="A574" s="344" t="s">
        <v>1034</v>
      </c>
      <c r="B574" s="344" t="s">
        <v>1633</v>
      </c>
      <c r="C574" s="365" t="s">
        <v>1034</v>
      </c>
      <c r="D574" s="354" t="s">
        <v>475</v>
      </c>
      <c r="E574" s="354" t="s">
        <v>476</v>
      </c>
      <c r="F574" s="355" t="s">
        <v>294</v>
      </c>
      <c r="G574" s="368">
        <v>1</v>
      </c>
      <c r="H574" s="368"/>
      <c r="I574" s="369" t="str">
        <f>IF(G574*H574&lt;&gt;0, TRUNC(G574*H574, 1), "")</f>
        <v/>
      </c>
      <c r="J574" s="368">
        <v>1</v>
      </c>
      <c r="K574" s="368">
        <f>합산자재!I92</f>
        <v>0</v>
      </c>
      <c r="L574" s="369" t="str">
        <f>IF(G574*K574&lt;&gt;0, TRUNC(G574*K574, 1), "")</f>
        <v/>
      </c>
      <c r="M574" s="368">
        <f>합산자재!J92</f>
        <v>0</v>
      </c>
      <c r="N574" s="369" t="str">
        <f>IF(G574*M574&lt;&gt;0, TRUNC(G574*M574, 1), "")</f>
        <v/>
      </c>
      <c r="O574" s="368" t="str">
        <f>IF((H574+K574+M574)=0, "", (H574+K574+M574))</f>
        <v/>
      </c>
      <c r="P574" s="368" t="str">
        <f>IF(SUM(I574,L574,N574)&lt;&gt;0,SUM(I574,L574,N574),"")</f>
        <v/>
      </c>
      <c r="Q574" s="354" t="s">
        <v>1420</v>
      </c>
      <c r="AB574" s="347">
        <f>합산자재!H92*J574</f>
        <v>30990.050000000003</v>
      </c>
    </row>
    <row r="575" spans="1:31" ht="23.25" customHeight="1">
      <c r="A575" s="344" t="s">
        <v>1850</v>
      </c>
      <c r="B575" s="344" t="s">
        <v>1633</v>
      </c>
      <c r="C575" s="365" t="s">
        <v>1850</v>
      </c>
      <c r="D575" s="354" t="s">
        <v>1664</v>
      </c>
      <c r="E575" s="354" t="s">
        <v>1851</v>
      </c>
      <c r="F575" s="355" t="s">
        <v>1852</v>
      </c>
      <c r="G575" s="368">
        <f>일위노임!G260</f>
        <v>0.1053</v>
      </c>
      <c r="H575" s="368">
        <f>합산자재!H120</f>
        <v>0</v>
      </c>
      <c r="I575" s="369" t="str">
        <f>IF(G575*H575&lt;&gt;0, TRUNC(G575*H575, 1), "")</f>
        <v/>
      </c>
      <c r="J575" s="368">
        <v>0.1053</v>
      </c>
      <c r="K575" s="368">
        <f>합산자재!I120</f>
        <v>229252.87931000002</v>
      </c>
      <c r="L575" s="369">
        <f>IF(G575*K575&lt;&gt;0, TRUNC(G575*K575, 1), "")</f>
        <v>24140.3</v>
      </c>
      <c r="M575" s="368">
        <f>합산자재!J120</f>
        <v>0</v>
      </c>
      <c r="N575" s="369" t="str">
        <f>IF(G575*M575&lt;&gt;0, TRUNC(G575*M575, 1), "")</f>
        <v/>
      </c>
      <c r="O575" s="368">
        <f>IF((H575+K575+M575)=0, "", (H575+K575+M575))</f>
        <v>229252.87931000002</v>
      </c>
      <c r="P575" s="368">
        <f>IF(SUM(I575,L575,N575)&lt;&gt;0,SUM(I575,L575,N575),"")</f>
        <v>24140.3</v>
      </c>
      <c r="Q575" s="354"/>
      <c r="AE575" s="347">
        <f>L575</f>
        <v>24140.3</v>
      </c>
    </row>
    <row r="576" spans="1:31" ht="23.25" customHeight="1">
      <c r="A576" s="344" t="s">
        <v>1853</v>
      </c>
      <c r="B576" s="344" t="s">
        <v>1633</v>
      </c>
      <c r="C576" s="365" t="s">
        <v>1853</v>
      </c>
      <c r="D576" s="354" t="s">
        <v>1854</v>
      </c>
      <c r="E576" s="354" t="s">
        <v>1855</v>
      </c>
      <c r="F576" s="355" t="s">
        <v>212</v>
      </c>
      <c r="G576" s="368">
        <v>1</v>
      </c>
      <c r="H576" s="368">
        <f>IF(TRUNC((AD577+AC577)/$AE$3,1)*$AE$3-AD577 &lt;0, AC577, TRUNC((AD577+AC577)/$AE$3,1)*$AE$3-AD577)</f>
        <v>482.79999999999927</v>
      </c>
      <c r="I576" s="369">
        <f>H576</f>
        <v>482.79999999999927</v>
      </c>
      <c r="J576" s="368">
        <v>1</v>
      </c>
      <c r="K576" s="368"/>
      <c r="L576" s="369" t="str">
        <f>IF(G576*K576&lt;&gt;0, TRUNC(G576*K576, 1), "")</f>
        <v/>
      </c>
      <c r="M576" s="368"/>
      <c r="N576" s="369" t="str">
        <f>IF(G576*M576&lt;&gt;0, TRUNC(G576*M576, 1), "")</f>
        <v/>
      </c>
      <c r="O576" s="368">
        <f>IF((H576+K576+M576)=0, "", (H576+K576+M576))</f>
        <v>482.79999999999927</v>
      </c>
      <c r="P576" s="368">
        <f>IF(SUM(I576,L576,N576)&lt;&gt;0,SUM(I576,L576,N576),"")</f>
        <v>482.79999999999927</v>
      </c>
      <c r="Q576" s="354"/>
    </row>
    <row r="577" spans="1:31" ht="23.25" customHeight="1">
      <c r="B577" s="344" t="s">
        <v>715</v>
      </c>
      <c r="D577" s="354" t="s">
        <v>216</v>
      </c>
      <c r="E577" s="354"/>
      <c r="F577" s="355"/>
      <c r="G577" s="368"/>
      <c r="H577" s="368"/>
      <c r="I577" s="369">
        <f>TRUNC(SUM(I573:I576))</f>
        <v>482</v>
      </c>
      <c r="J577" s="368"/>
      <c r="K577" s="368"/>
      <c r="L577" s="369">
        <f>TRUNC(SUM(L573:L576))</f>
        <v>24140</v>
      </c>
      <c r="M577" s="368"/>
      <c r="N577" s="369">
        <f>TRUNC(SUM(N573:N576))</f>
        <v>0</v>
      </c>
      <c r="O577" s="368" t="str">
        <f>IF((H577+K577+M577)=0, "", (H577+K577+M577))</f>
        <v/>
      </c>
      <c r="P577" s="368">
        <f>IF(SUM(I577,L577,N577)&lt;&gt;0,SUM(I577,L577,N577),"")</f>
        <v>24622</v>
      </c>
      <c r="Q577" s="354"/>
      <c r="AC577" s="347">
        <f>TRUNC(AE577*옵션!$B$36/100,1)</f>
        <v>482.8</v>
      </c>
      <c r="AD577" s="347">
        <f>TRUNC(SUM(L573:L575))</f>
        <v>24140</v>
      </c>
      <c r="AE577" s="347">
        <f>TRUNC(SUM(AE573:AE576))</f>
        <v>24140</v>
      </c>
    </row>
    <row r="578" spans="1:31" ht="23.25" customHeight="1">
      <c r="D578" s="354"/>
      <c r="E578" s="354"/>
      <c r="F578" s="355"/>
      <c r="G578" s="368"/>
      <c r="H578" s="368"/>
      <c r="I578" s="369"/>
      <c r="J578" s="368"/>
      <c r="K578" s="368"/>
      <c r="L578" s="369"/>
      <c r="M578" s="368"/>
      <c r="N578" s="369"/>
      <c r="O578" s="368"/>
      <c r="P578" s="368"/>
      <c r="Q578" s="354"/>
    </row>
    <row r="579" spans="1:31" ht="23.25" customHeight="1">
      <c r="A579" s="344" t="s">
        <v>681</v>
      </c>
      <c r="B579" s="344" t="s">
        <v>1833</v>
      </c>
      <c r="C579" s="365" t="s">
        <v>2154</v>
      </c>
      <c r="D579" s="714" t="s">
        <v>2155</v>
      </c>
      <c r="E579" s="715"/>
      <c r="F579" s="355"/>
      <c r="G579" s="368"/>
      <c r="H579" s="368"/>
      <c r="I579" s="369"/>
      <c r="J579" s="368"/>
      <c r="K579" s="368"/>
      <c r="L579" s="369"/>
      <c r="M579" s="368"/>
      <c r="N579" s="369"/>
      <c r="O579" s="368"/>
      <c r="P579" s="368"/>
      <c r="Q579" s="354"/>
    </row>
    <row r="580" spans="1:31" ht="23.25" customHeight="1">
      <c r="A580" s="344" t="s">
        <v>1036</v>
      </c>
      <c r="B580" s="344" t="s">
        <v>1635</v>
      </c>
      <c r="C580" s="365" t="s">
        <v>1036</v>
      </c>
      <c r="D580" s="354" t="s">
        <v>292</v>
      </c>
      <c r="E580" s="354" t="s">
        <v>293</v>
      </c>
      <c r="F580" s="355" t="s">
        <v>294</v>
      </c>
      <c r="G580" s="368">
        <v>1</v>
      </c>
      <c r="H580" s="368"/>
      <c r="I580" s="369" t="str">
        <f>IF(G580*H580&lt;&gt;0, TRUNC(G580*H580, 1), "")</f>
        <v/>
      </c>
      <c r="J580" s="368">
        <v>1</v>
      </c>
      <c r="K580" s="368">
        <f>합산자재!I93</f>
        <v>0</v>
      </c>
      <c r="L580" s="369" t="str">
        <f>IF(G580*K580&lt;&gt;0, TRUNC(G580*K580, 1), "")</f>
        <v/>
      </c>
      <c r="M580" s="368">
        <f>합산자재!J93</f>
        <v>0</v>
      </c>
      <c r="N580" s="369" t="str">
        <f>IF(G580*M580&lt;&gt;0, TRUNC(G580*M580, 1), "")</f>
        <v/>
      </c>
      <c r="O580" s="368" t="str">
        <f>IF((H580+K580+M580)=0, "", (H580+K580+M580))</f>
        <v/>
      </c>
      <c r="P580" s="368" t="str">
        <f>IF(SUM(I580,L580,N580)&lt;&gt;0,SUM(I580,L580,N580),"")</f>
        <v/>
      </c>
      <c r="Q580" s="354" t="s">
        <v>1420</v>
      </c>
      <c r="AB580" s="347">
        <f>합산자재!H93*J580</f>
        <v>1770860</v>
      </c>
    </row>
    <row r="581" spans="1:31" ht="23.25" customHeight="1">
      <c r="A581" s="344" t="s">
        <v>1850</v>
      </c>
      <c r="B581" s="344" t="s">
        <v>1635</v>
      </c>
      <c r="C581" s="365" t="s">
        <v>1850</v>
      </c>
      <c r="D581" s="354" t="s">
        <v>1664</v>
      </c>
      <c r="E581" s="354" t="s">
        <v>1851</v>
      </c>
      <c r="F581" s="355" t="s">
        <v>1852</v>
      </c>
      <c r="G581" s="368">
        <f>일위노임!G263</f>
        <v>0.183</v>
      </c>
      <c r="H581" s="368">
        <f>합산자재!H120</f>
        <v>0</v>
      </c>
      <c r="I581" s="369" t="str">
        <f>IF(G581*H581&lt;&gt;0, TRUNC(G581*H581, 1), "")</f>
        <v/>
      </c>
      <c r="J581" s="368">
        <v>0.183</v>
      </c>
      <c r="K581" s="368">
        <f>합산자재!I120</f>
        <v>229252.87931000002</v>
      </c>
      <c r="L581" s="369">
        <f>IF(G581*K581&lt;&gt;0, TRUNC(G581*K581, 1), "")</f>
        <v>41953.2</v>
      </c>
      <c r="M581" s="368">
        <f>합산자재!J120</f>
        <v>0</v>
      </c>
      <c r="N581" s="369" t="str">
        <f>IF(G581*M581&lt;&gt;0, TRUNC(G581*M581, 1), "")</f>
        <v/>
      </c>
      <c r="O581" s="368">
        <f>IF((H581+K581+M581)=0, "", (H581+K581+M581))</f>
        <v>229252.87931000002</v>
      </c>
      <c r="P581" s="368">
        <f>IF(SUM(I581,L581,N581)&lt;&gt;0,SUM(I581,L581,N581),"")</f>
        <v>41953.2</v>
      </c>
      <c r="Q581" s="354"/>
      <c r="AE581" s="347">
        <f>L581</f>
        <v>41953.2</v>
      </c>
    </row>
    <row r="582" spans="1:31" ht="23.25" customHeight="1">
      <c r="A582" s="344" t="s">
        <v>1853</v>
      </c>
      <c r="B582" s="344" t="s">
        <v>1635</v>
      </c>
      <c r="C582" s="365" t="s">
        <v>1853</v>
      </c>
      <c r="D582" s="354" t="s">
        <v>1854</v>
      </c>
      <c r="E582" s="354" t="s">
        <v>1855</v>
      </c>
      <c r="F582" s="355" t="s">
        <v>212</v>
      </c>
      <c r="G582" s="368">
        <v>1</v>
      </c>
      <c r="H582" s="368">
        <f>IF(TRUNC((AD583+AC583)/$AE$3,1)*$AE$3-AD583 &lt;0, AC583, TRUNC((AD583+AC583)/$AE$3,1)*$AE$3-AD583)</f>
        <v>839</v>
      </c>
      <c r="I582" s="369">
        <f>H582</f>
        <v>839</v>
      </c>
      <c r="J582" s="368">
        <v>1</v>
      </c>
      <c r="K582" s="368"/>
      <c r="L582" s="369" t="str">
        <f>IF(G582*K582&lt;&gt;0, TRUNC(G582*K582, 1), "")</f>
        <v/>
      </c>
      <c r="M582" s="368"/>
      <c r="N582" s="369" t="str">
        <f>IF(G582*M582&lt;&gt;0, TRUNC(G582*M582, 1), "")</f>
        <v/>
      </c>
      <c r="O582" s="368">
        <f>IF((H582+K582+M582)=0, "", (H582+K582+M582))</f>
        <v>839</v>
      </c>
      <c r="P582" s="368">
        <f>IF(SUM(I582,L582,N582)&lt;&gt;0,SUM(I582,L582,N582),"")</f>
        <v>839</v>
      </c>
      <c r="Q582" s="354"/>
    </row>
    <row r="583" spans="1:31" ht="23.25" customHeight="1">
      <c r="B583" s="344" t="s">
        <v>715</v>
      </c>
      <c r="D583" s="354" t="s">
        <v>216</v>
      </c>
      <c r="E583" s="354"/>
      <c r="F583" s="355"/>
      <c r="G583" s="368"/>
      <c r="H583" s="368"/>
      <c r="I583" s="369">
        <f>TRUNC(SUM(I579:I582))</f>
        <v>839</v>
      </c>
      <c r="J583" s="368"/>
      <c r="K583" s="368"/>
      <c r="L583" s="369">
        <f>TRUNC(SUM(L579:L582))</f>
        <v>41953</v>
      </c>
      <c r="M583" s="368"/>
      <c r="N583" s="369">
        <f>TRUNC(SUM(N579:N582))</f>
        <v>0</v>
      </c>
      <c r="O583" s="368" t="str">
        <f>IF((H583+K583+M583)=0, "", (H583+K583+M583))</f>
        <v/>
      </c>
      <c r="P583" s="368">
        <f>IF(SUM(I583,L583,N583)&lt;&gt;0,SUM(I583,L583,N583),"")</f>
        <v>42792</v>
      </c>
      <c r="Q583" s="354"/>
      <c r="AC583" s="347">
        <f>TRUNC(AE583*옵션!$B$36/100,1)</f>
        <v>839</v>
      </c>
      <c r="AD583" s="347">
        <f>TRUNC(SUM(L579:L581))</f>
        <v>41953</v>
      </c>
      <c r="AE583" s="347">
        <f>TRUNC(SUM(AE579:AE582))</f>
        <v>41953</v>
      </c>
    </row>
    <row r="584" spans="1:31" ht="23.25" customHeight="1">
      <c r="D584" s="354"/>
      <c r="E584" s="354"/>
      <c r="F584" s="355"/>
      <c r="G584" s="368"/>
      <c r="H584" s="368"/>
      <c r="I584" s="369"/>
      <c r="J584" s="368"/>
      <c r="K584" s="368"/>
      <c r="L584" s="369"/>
      <c r="M584" s="368"/>
      <c r="N584" s="369"/>
      <c r="O584" s="368"/>
      <c r="P584" s="368"/>
      <c r="Q584" s="354"/>
    </row>
    <row r="585" spans="1:31" ht="23.25" customHeight="1">
      <c r="A585" s="344" t="s">
        <v>686</v>
      </c>
      <c r="B585" s="344" t="s">
        <v>1833</v>
      </c>
      <c r="C585" s="365" t="s">
        <v>2156</v>
      </c>
      <c r="D585" s="714" t="s">
        <v>2157</v>
      </c>
      <c r="E585" s="715"/>
      <c r="F585" s="355"/>
      <c r="G585" s="368"/>
      <c r="H585" s="368"/>
      <c r="I585" s="369"/>
      <c r="J585" s="368"/>
      <c r="K585" s="368"/>
      <c r="L585" s="369"/>
      <c r="M585" s="368"/>
      <c r="N585" s="369"/>
      <c r="O585" s="368"/>
      <c r="P585" s="368"/>
      <c r="Q585" s="354"/>
    </row>
    <row r="586" spans="1:31" ht="23.25" customHeight="1">
      <c r="A586" s="344" t="s">
        <v>1038</v>
      </c>
      <c r="B586" s="344" t="s">
        <v>1637</v>
      </c>
      <c r="C586" s="365" t="s">
        <v>1038</v>
      </c>
      <c r="D586" s="354" t="s">
        <v>295</v>
      </c>
      <c r="E586" s="354" t="s">
        <v>296</v>
      </c>
      <c r="F586" s="355" t="s">
        <v>294</v>
      </c>
      <c r="G586" s="368">
        <v>1</v>
      </c>
      <c r="H586" s="368"/>
      <c r="I586" s="369" t="str">
        <f>IF(G586*H586&lt;&gt;0, TRUNC(G586*H586, 1), "")</f>
        <v/>
      </c>
      <c r="J586" s="368">
        <v>1</v>
      </c>
      <c r="K586" s="368">
        <f>합산자재!I94</f>
        <v>0</v>
      </c>
      <c r="L586" s="369" t="str">
        <f>IF(G586*K586&lt;&gt;0, TRUNC(G586*K586, 1), "")</f>
        <v/>
      </c>
      <c r="M586" s="368">
        <f>합산자재!J94</f>
        <v>0</v>
      </c>
      <c r="N586" s="369" t="str">
        <f>IF(G586*M586&lt;&gt;0, TRUNC(G586*M586, 1), "")</f>
        <v/>
      </c>
      <c r="O586" s="368" t="str">
        <f>IF((H586+K586+M586)=0, "", (H586+K586+M586))</f>
        <v/>
      </c>
      <c r="P586" s="368" t="str">
        <f>IF(SUM(I586,L586,N586)&lt;&gt;0,SUM(I586,L586,N586),"")</f>
        <v/>
      </c>
      <c r="Q586" s="354" t="s">
        <v>1420</v>
      </c>
      <c r="AB586" s="347">
        <f>합산자재!H94*J586</f>
        <v>398443.5</v>
      </c>
    </row>
    <row r="587" spans="1:31" ht="23.25" customHeight="1">
      <c r="A587" s="344" t="s">
        <v>1850</v>
      </c>
      <c r="B587" s="344" t="s">
        <v>1637</v>
      </c>
      <c r="C587" s="365" t="s">
        <v>1850</v>
      </c>
      <c r="D587" s="354" t="s">
        <v>1664</v>
      </c>
      <c r="E587" s="354" t="s">
        <v>1851</v>
      </c>
      <c r="F587" s="355" t="s">
        <v>1852</v>
      </c>
      <c r="G587" s="368">
        <f>일위노임!G266</f>
        <v>0.15795000000000001</v>
      </c>
      <c r="H587" s="368">
        <f>합산자재!H120</f>
        <v>0</v>
      </c>
      <c r="I587" s="369" t="str">
        <f>IF(G587*H587&lt;&gt;0, TRUNC(G587*H587, 1), "")</f>
        <v/>
      </c>
      <c r="J587" s="368">
        <v>0.15795000000000001</v>
      </c>
      <c r="K587" s="368">
        <f>합산자재!I120</f>
        <v>229252.87931000002</v>
      </c>
      <c r="L587" s="369">
        <f>IF(G587*K587&lt;&gt;0, TRUNC(G587*K587, 1), "")</f>
        <v>36210.400000000001</v>
      </c>
      <c r="M587" s="368">
        <f>합산자재!J120</f>
        <v>0</v>
      </c>
      <c r="N587" s="369" t="str">
        <f>IF(G587*M587&lt;&gt;0, TRUNC(G587*M587, 1), "")</f>
        <v/>
      </c>
      <c r="O587" s="368">
        <f>IF((H587+K587+M587)=0, "", (H587+K587+M587))</f>
        <v>229252.87931000002</v>
      </c>
      <c r="P587" s="368">
        <f>IF(SUM(I587,L587,N587)&lt;&gt;0,SUM(I587,L587,N587),"")</f>
        <v>36210.400000000001</v>
      </c>
      <c r="Q587" s="354"/>
      <c r="AE587" s="347">
        <f>L587</f>
        <v>36210.400000000001</v>
      </c>
    </row>
    <row r="588" spans="1:31" ht="23.25" customHeight="1">
      <c r="A588" s="344" t="s">
        <v>1853</v>
      </c>
      <c r="B588" s="344" t="s">
        <v>1637</v>
      </c>
      <c r="C588" s="365" t="s">
        <v>1853</v>
      </c>
      <c r="D588" s="354" t="s">
        <v>1854</v>
      </c>
      <c r="E588" s="354" t="s">
        <v>1855</v>
      </c>
      <c r="F588" s="355" t="s">
        <v>212</v>
      </c>
      <c r="G588" s="368">
        <v>1</v>
      </c>
      <c r="H588" s="368">
        <f>IF(TRUNC((AD589+AC589)/$AE$3,1)*$AE$3-AD589 &lt;0, AC589, TRUNC((AD589+AC589)/$AE$3,1)*$AE$3-AD589)</f>
        <v>724.19999999999709</v>
      </c>
      <c r="I588" s="369">
        <f>H588</f>
        <v>724.19999999999709</v>
      </c>
      <c r="J588" s="368">
        <v>1</v>
      </c>
      <c r="K588" s="368"/>
      <c r="L588" s="369" t="str">
        <f>IF(G588*K588&lt;&gt;0, TRUNC(G588*K588, 1), "")</f>
        <v/>
      </c>
      <c r="M588" s="368"/>
      <c r="N588" s="369" t="str">
        <f>IF(G588*M588&lt;&gt;0, TRUNC(G588*M588, 1), "")</f>
        <v/>
      </c>
      <c r="O588" s="368">
        <f>IF((H588+K588+M588)=0, "", (H588+K588+M588))</f>
        <v>724.19999999999709</v>
      </c>
      <c r="P588" s="368">
        <f>IF(SUM(I588,L588,N588)&lt;&gt;0,SUM(I588,L588,N588),"")</f>
        <v>724.19999999999709</v>
      </c>
      <c r="Q588" s="354"/>
    </row>
    <row r="589" spans="1:31" ht="23.25" customHeight="1">
      <c r="B589" s="344" t="s">
        <v>715</v>
      </c>
      <c r="D589" s="354" t="s">
        <v>216</v>
      </c>
      <c r="E589" s="354"/>
      <c r="F589" s="355"/>
      <c r="G589" s="368"/>
      <c r="H589" s="368"/>
      <c r="I589" s="369">
        <f>TRUNC(SUM(I585:I588))</f>
        <v>724</v>
      </c>
      <c r="J589" s="368"/>
      <c r="K589" s="368"/>
      <c r="L589" s="369">
        <f>TRUNC(SUM(L585:L588))</f>
        <v>36210</v>
      </c>
      <c r="M589" s="368"/>
      <c r="N589" s="369">
        <f>TRUNC(SUM(N585:N588))</f>
        <v>0</v>
      </c>
      <c r="O589" s="368" t="str">
        <f>IF((H589+K589+M589)=0, "", (H589+K589+M589))</f>
        <v/>
      </c>
      <c r="P589" s="368">
        <f>IF(SUM(I589,L589,N589)&lt;&gt;0,SUM(I589,L589,N589),"")</f>
        <v>36934</v>
      </c>
      <c r="Q589" s="354"/>
      <c r="AC589" s="347">
        <f>TRUNC(AE589*옵션!$B$36/100,1)</f>
        <v>724.2</v>
      </c>
      <c r="AD589" s="347">
        <f>TRUNC(SUM(L585:L587))</f>
        <v>36210</v>
      </c>
      <c r="AE589" s="347">
        <f>TRUNC(SUM(AE585:AE588))</f>
        <v>36210</v>
      </c>
    </row>
    <row r="590" spans="1:31" ht="23.25" customHeight="1">
      <c r="D590" s="354"/>
      <c r="E590" s="354"/>
      <c r="F590" s="355"/>
      <c r="G590" s="368"/>
      <c r="H590" s="368"/>
      <c r="I590" s="369"/>
      <c r="J590" s="368"/>
      <c r="K590" s="368"/>
      <c r="L590" s="369"/>
      <c r="M590" s="368"/>
      <c r="N590" s="369"/>
      <c r="O590" s="368"/>
      <c r="P590" s="368"/>
      <c r="Q590" s="354"/>
    </row>
    <row r="591" spans="1:31" ht="23.25" customHeight="1">
      <c r="A591" s="344" t="s">
        <v>821</v>
      </c>
      <c r="B591" s="344" t="s">
        <v>1833</v>
      </c>
      <c r="C591" s="365" t="s">
        <v>2158</v>
      </c>
      <c r="D591" s="714" t="s">
        <v>2159</v>
      </c>
      <c r="E591" s="715"/>
      <c r="F591" s="355"/>
      <c r="G591" s="368"/>
      <c r="H591" s="368"/>
      <c r="I591" s="369"/>
      <c r="J591" s="368"/>
      <c r="K591" s="368"/>
      <c r="L591" s="369"/>
      <c r="M591" s="368"/>
      <c r="N591" s="369"/>
      <c r="O591" s="368"/>
      <c r="P591" s="368"/>
      <c r="Q591" s="354"/>
    </row>
    <row r="592" spans="1:31" ht="23.25" customHeight="1">
      <c r="A592" s="344" t="s">
        <v>1013</v>
      </c>
      <c r="B592" s="344" t="s">
        <v>1639</v>
      </c>
      <c r="C592" s="365" t="s">
        <v>1013</v>
      </c>
      <c r="D592" s="354" t="s">
        <v>418</v>
      </c>
      <c r="E592" s="354" t="s">
        <v>419</v>
      </c>
      <c r="F592" s="355" t="s">
        <v>321</v>
      </c>
      <c r="G592" s="368">
        <v>1</v>
      </c>
      <c r="H592" s="368"/>
      <c r="I592" s="369" t="str">
        <f>IF(G592*H592&lt;&gt;0, TRUNC(G592*H592, 1), "")</f>
        <v/>
      </c>
      <c r="J592" s="368">
        <v>1</v>
      </c>
      <c r="K592" s="368">
        <f>합산자재!I95</f>
        <v>0</v>
      </c>
      <c r="L592" s="369" t="str">
        <f>IF(G592*K592&lt;&gt;0, TRUNC(G592*K592, 1), "")</f>
        <v/>
      </c>
      <c r="M592" s="368">
        <f>합산자재!J95</f>
        <v>0</v>
      </c>
      <c r="N592" s="369" t="str">
        <f>IF(G592*M592&lt;&gt;0, TRUNC(G592*M592, 1), "")</f>
        <v/>
      </c>
      <c r="O592" s="368" t="str">
        <f>IF((H592+K592+M592)=0, "", (H592+K592+M592))</f>
        <v/>
      </c>
      <c r="P592" s="368" t="str">
        <f>IF(SUM(I592,L592,N592)&lt;&gt;0,SUM(I592,L592,N592),"")</f>
        <v/>
      </c>
      <c r="Q592" s="354" t="s">
        <v>1420</v>
      </c>
      <c r="AB592" s="347">
        <f>합산자재!H95*J592</f>
        <v>799445.00727000006</v>
      </c>
    </row>
    <row r="593" spans="1:31" ht="23.25" customHeight="1">
      <c r="A593" s="344" t="s">
        <v>1850</v>
      </c>
      <c r="B593" s="344" t="s">
        <v>1639</v>
      </c>
      <c r="C593" s="365" t="s">
        <v>1850</v>
      </c>
      <c r="D593" s="354" t="s">
        <v>1664</v>
      </c>
      <c r="E593" s="354" t="s">
        <v>1851</v>
      </c>
      <c r="F593" s="355" t="s">
        <v>1852</v>
      </c>
      <c r="G593" s="368">
        <f>일위노임!G269</f>
        <v>0.66</v>
      </c>
      <c r="H593" s="368">
        <f>합산자재!H120</f>
        <v>0</v>
      </c>
      <c r="I593" s="369" t="str">
        <f>IF(G593*H593&lt;&gt;0, TRUNC(G593*H593, 1), "")</f>
        <v/>
      </c>
      <c r="J593" s="368">
        <v>0.66</v>
      </c>
      <c r="K593" s="368">
        <f>합산자재!I120</f>
        <v>229252.87931000002</v>
      </c>
      <c r="L593" s="369">
        <f>IF(G593*K593&lt;&gt;0, TRUNC(G593*K593, 1), "")</f>
        <v>151306.9</v>
      </c>
      <c r="M593" s="368">
        <f>합산자재!J120</f>
        <v>0</v>
      </c>
      <c r="N593" s="369" t="str">
        <f>IF(G593*M593&lt;&gt;0, TRUNC(G593*M593, 1), "")</f>
        <v/>
      </c>
      <c r="O593" s="368">
        <f>IF((H593+K593+M593)=0, "", (H593+K593+M593))</f>
        <v>229252.87931000002</v>
      </c>
      <c r="P593" s="368">
        <f>IF(SUM(I593,L593,N593)&lt;&gt;0,SUM(I593,L593,N593),"")</f>
        <v>151306.9</v>
      </c>
      <c r="Q593" s="354"/>
      <c r="AE593" s="347">
        <f>L593</f>
        <v>151306.9</v>
      </c>
    </row>
    <row r="594" spans="1:31" ht="23.25" customHeight="1">
      <c r="A594" s="344" t="s">
        <v>1853</v>
      </c>
      <c r="B594" s="344" t="s">
        <v>1639</v>
      </c>
      <c r="C594" s="365" t="s">
        <v>1853</v>
      </c>
      <c r="D594" s="354" t="s">
        <v>1854</v>
      </c>
      <c r="E594" s="354" t="s">
        <v>1855</v>
      </c>
      <c r="F594" s="355" t="s">
        <v>212</v>
      </c>
      <c r="G594" s="368">
        <v>1</v>
      </c>
      <c r="H594" s="368">
        <f>IF(TRUNC((AD595+AC595)/$AE$3,1)*$AE$3-AD595 &lt;0, AC595, TRUNC((AD595+AC595)/$AE$3,1)*$AE$3-AD595)</f>
        <v>3026.1000000000058</v>
      </c>
      <c r="I594" s="369">
        <f>H594</f>
        <v>3026.1000000000058</v>
      </c>
      <c r="J594" s="368">
        <v>1</v>
      </c>
      <c r="K594" s="368"/>
      <c r="L594" s="369" t="str">
        <f>IF(G594*K594&lt;&gt;0, TRUNC(G594*K594, 1), "")</f>
        <v/>
      </c>
      <c r="M594" s="368"/>
      <c r="N594" s="369" t="str">
        <f>IF(G594*M594&lt;&gt;0, TRUNC(G594*M594, 1), "")</f>
        <v/>
      </c>
      <c r="O594" s="368">
        <f>IF((H594+K594+M594)=0, "", (H594+K594+M594))</f>
        <v>3026.1000000000058</v>
      </c>
      <c r="P594" s="368">
        <f>IF(SUM(I594,L594,N594)&lt;&gt;0,SUM(I594,L594,N594),"")</f>
        <v>3026.1000000000058</v>
      </c>
      <c r="Q594" s="354"/>
    </row>
    <row r="595" spans="1:31" ht="23.25" customHeight="1">
      <c r="B595" s="344" t="s">
        <v>715</v>
      </c>
      <c r="D595" s="354" t="s">
        <v>216</v>
      </c>
      <c r="E595" s="354"/>
      <c r="F595" s="355"/>
      <c r="G595" s="368"/>
      <c r="H595" s="368"/>
      <c r="I595" s="369">
        <f>TRUNC(SUM(I591:I594))</f>
        <v>3026</v>
      </c>
      <c r="J595" s="368"/>
      <c r="K595" s="368"/>
      <c r="L595" s="369">
        <f>TRUNC(SUM(L591:L594))</f>
        <v>151306</v>
      </c>
      <c r="M595" s="368"/>
      <c r="N595" s="369">
        <f>TRUNC(SUM(N591:N594))</f>
        <v>0</v>
      </c>
      <c r="O595" s="368" t="str">
        <f>IF((H595+K595+M595)=0, "", (H595+K595+M595))</f>
        <v/>
      </c>
      <c r="P595" s="368">
        <f>IF(SUM(I595,L595,N595)&lt;&gt;0,SUM(I595,L595,N595),"")</f>
        <v>154332</v>
      </c>
      <c r="Q595" s="354"/>
      <c r="AC595" s="347">
        <f>TRUNC(AE595*옵션!$B$36/100,1)</f>
        <v>3026.1</v>
      </c>
      <c r="AD595" s="347">
        <f>TRUNC(SUM(L591:L593))</f>
        <v>151306</v>
      </c>
      <c r="AE595" s="347">
        <f>TRUNC(SUM(AE591:AE594))</f>
        <v>151306</v>
      </c>
    </row>
    <row r="596" spans="1:31" ht="23.25" customHeight="1">
      <c r="D596" s="354"/>
      <c r="E596" s="354"/>
      <c r="F596" s="355"/>
      <c r="G596" s="368"/>
      <c r="H596" s="368"/>
      <c r="I596" s="369"/>
      <c r="J596" s="368"/>
      <c r="K596" s="368"/>
      <c r="L596" s="369"/>
      <c r="M596" s="368"/>
      <c r="N596" s="369"/>
      <c r="O596" s="368"/>
      <c r="P596" s="368"/>
      <c r="Q596" s="354"/>
    </row>
    <row r="597" spans="1:31" ht="23.25" customHeight="1">
      <c r="A597" s="344" t="s">
        <v>826</v>
      </c>
      <c r="B597" s="344" t="s">
        <v>1833</v>
      </c>
      <c r="C597" s="365" t="s">
        <v>2160</v>
      </c>
      <c r="D597" s="714" t="s">
        <v>2161</v>
      </c>
      <c r="E597" s="715"/>
      <c r="F597" s="355"/>
      <c r="G597" s="368"/>
      <c r="H597" s="368"/>
      <c r="I597" s="369"/>
      <c r="J597" s="368"/>
      <c r="K597" s="368"/>
      <c r="L597" s="369"/>
      <c r="M597" s="368"/>
      <c r="N597" s="369"/>
      <c r="O597" s="368"/>
      <c r="P597" s="368"/>
      <c r="Q597" s="354"/>
    </row>
    <row r="598" spans="1:31" ht="23.25" customHeight="1">
      <c r="A598" s="344" t="s">
        <v>1015</v>
      </c>
      <c r="B598" s="344" t="s">
        <v>1641</v>
      </c>
      <c r="C598" s="365" t="s">
        <v>1015</v>
      </c>
      <c r="D598" s="354" t="s">
        <v>418</v>
      </c>
      <c r="E598" s="354" t="s">
        <v>420</v>
      </c>
      <c r="F598" s="355" t="s">
        <v>321</v>
      </c>
      <c r="G598" s="368">
        <v>1</v>
      </c>
      <c r="H598" s="368"/>
      <c r="I598" s="369" t="str">
        <f>IF(G598*H598&lt;&gt;0, TRUNC(G598*H598, 1), "")</f>
        <v/>
      </c>
      <c r="J598" s="368">
        <v>1</v>
      </c>
      <c r="K598" s="368">
        <f>합산자재!I96</f>
        <v>0</v>
      </c>
      <c r="L598" s="369" t="str">
        <f>IF(G598*K598&lt;&gt;0, TRUNC(G598*K598, 1), "")</f>
        <v/>
      </c>
      <c r="M598" s="368">
        <f>합산자재!J96</f>
        <v>0</v>
      </c>
      <c r="N598" s="369" t="str">
        <f>IF(G598*M598&lt;&gt;0, TRUNC(G598*M598, 1), "")</f>
        <v/>
      </c>
      <c r="O598" s="368" t="str">
        <f>IF((H598+K598+M598)=0, "", (H598+K598+M598))</f>
        <v/>
      </c>
      <c r="P598" s="368" t="str">
        <f>IF(SUM(I598,L598,N598)&lt;&gt;0,SUM(I598,L598,N598),"")</f>
        <v/>
      </c>
      <c r="Q598" s="354" t="s">
        <v>1420</v>
      </c>
      <c r="AB598" s="347">
        <f>합산자재!H96*J598</f>
        <v>14316076.725860002</v>
      </c>
    </row>
    <row r="599" spans="1:31" ht="23.25" customHeight="1">
      <c r="A599" s="344" t="s">
        <v>1850</v>
      </c>
      <c r="B599" s="344" t="s">
        <v>1641</v>
      </c>
      <c r="C599" s="365" t="s">
        <v>1850</v>
      </c>
      <c r="D599" s="354" t="s">
        <v>1664</v>
      </c>
      <c r="E599" s="354" t="s">
        <v>1851</v>
      </c>
      <c r="F599" s="355" t="s">
        <v>1852</v>
      </c>
      <c r="G599" s="368">
        <f>일위노임!G272</f>
        <v>0.66</v>
      </c>
      <c r="H599" s="368">
        <f>합산자재!H120</f>
        <v>0</v>
      </c>
      <c r="I599" s="369" t="str">
        <f>IF(G599*H599&lt;&gt;0, TRUNC(G599*H599, 1), "")</f>
        <v/>
      </c>
      <c r="J599" s="368">
        <v>0.66</v>
      </c>
      <c r="K599" s="368">
        <f>합산자재!I120</f>
        <v>229252.87931000002</v>
      </c>
      <c r="L599" s="369">
        <f>IF(G599*K599&lt;&gt;0, TRUNC(G599*K599, 1), "")</f>
        <v>151306.9</v>
      </c>
      <c r="M599" s="368">
        <f>합산자재!J120</f>
        <v>0</v>
      </c>
      <c r="N599" s="369" t="str">
        <f>IF(G599*M599&lt;&gt;0, TRUNC(G599*M599, 1), "")</f>
        <v/>
      </c>
      <c r="O599" s="368">
        <f>IF((H599+K599+M599)=0, "", (H599+K599+M599))</f>
        <v>229252.87931000002</v>
      </c>
      <c r="P599" s="368">
        <f>IF(SUM(I599,L599,N599)&lt;&gt;0,SUM(I599,L599,N599),"")</f>
        <v>151306.9</v>
      </c>
      <c r="Q599" s="354"/>
      <c r="AE599" s="347">
        <f>L599</f>
        <v>151306.9</v>
      </c>
    </row>
    <row r="600" spans="1:31" ht="23.25" customHeight="1">
      <c r="A600" s="344" t="s">
        <v>1853</v>
      </c>
      <c r="B600" s="344" t="s">
        <v>1641</v>
      </c>
      <c r="C600" s="365" t="s">
        <v>1853</v>
      </c>
      <c r="D600" s="354" t="s">
        <v>1854</v>
      </c>
      <c r="E600" s="354" t="s">
        <v>1855</v>
      </c>
      <c r="F600" s="355" t="s">
        <v>212</v>
      </c>
      <c r="G600" s="368">
        <v>1</v>
      </c>
      <c r="H600" s="368">
        <f>IF(TRUNC((AD601+AC601)/$AE$3,1)*$AE$3-AD601 &lt;0, AC601, TRUNC((AD601+AC601)/$AE$3,1)*$AE$3-AD601)</f>
        <v>3026.1000000000058</v>
      </c>
      <c r="I600" s="369">
        <f>H600</f>
        <v>3026.1000000000058</v>
      </c>
      <c r="J600" s="368">
        <v>1</v>
      </c>
      <c r="K600" s="368"/>
      <c r="L600" s="369" t="str">
        <f>IF(G600*K600&lt;&gt;0, TRUNC(G600*K600, 1), "")</f>
        <v/>
      </c>
      <c r="M600" s="368"/>
      <c r="N600" s="369" t="str">
        <f>IF(G600*M600&lt;&gt;0, TRUNC(G600*M600, 1), "")</f>
        <v/>
      </c>
      <c r="O600" s="368">
        <f>IF((H600+K600+M600)=0, "", (H600+K600+M600))</f>
        <v>3026.1000000000058</v>
      </c>
      <c r="P600" s="368">
        <f>IF(SUM(I600,L600,N600)&lt;&gt;0,SUM(I600,L600,N600),"")</f>
        <v>3026.1000000000058</v>
      </c>
      <c r="Q600" s="354"/>
    </row>
    <row r="601" spans="1:31" ht="23.25" customHeight="1">
      <c r="B601" s="344" t="s">
        <v>715</v>
      </c>
      <c r="D601" s="354" t="s">
        <v>216</v>
      </c>
      <c r="E601" s="354"/>
      <c r="F601" s="355"/>
      <c r="G601" s="368"/>
      <c r="H601" s="368"/>
      <c r="I601" s="369">
        <f>TRUNC(SUM(I597:I600))</f>
        <v>3026</v>
      </c>
      <c r="J601" s="368"/>
      <c r="K601" s="368"/>
      <c r="L601" s="369">
        <f>TRUNC(SUM(L597:L600))</f>
        <v>151306</v>
      </c>
      <c r="M601" s="368"/>
      <c r="N601" s="369">
        <f>TRUNC(SUM(N597:N600))</f>
        <v>0</v>
      </c>
      <c r="O601" s="368" t="str">
        <f>IF((H601+K601+M601)=0, "", (H601+K601+M601))</f>
        <v/>
      </c>
      <c r="P601" s="368">
        <f>IF(SUM(I601,L601,N601)&lt;&gt;0,SUM(I601,L601,N601),"")</f>
        <v>154332</v>
      </c>
      <c r="Q601" s="354"/>
      <c r="AC601" s="347">
        <f>TRUNC(AE601*옵션!$B$36/100,1)</f>
        <v>3026.1</v>
      </c>
      <c r="AD601" s="347">
        <f>TRUNC(SUM(L597:L599))</f>
        <v>151306</v>
      </c>
      <c r="AE601" s="347">
        <f>TRUNC(SUM(AE597:AE600))</f>
        <v>151306</v>
      </c>
    </row>
    <row r="602" spans="1:31" ht="23.25" customHeight="1">
      <c r="D602" s="354"/>
      <c r="E602" s="354"/>
      <c r="F602" s="355"/>
      <c r="G602" s="368"/>
      <c r="H602" s="368"/>
      <c r="I602" s="369"/>
      <c r="J602" s="368"/>
      <c r="K602" s="368"/>
      <c r="L602" s="369"/>
      <c r="M602" s="368"/>
      <c r="N602" s="369"/>
      <c r="O602" s="368"/>
      <c r="P602" s="368"/>
      <c r="Q602" s="354"/>
    </row>
    <row r="603" spans="1:31" ht="23.25" customHeight="1">
      <c r="A603" s="344" t="s">
        <v>829</v>
      </c>
      <c r="B603" s="344" t="s">
        <v>1833</v>
      </c>
      <c r="C603" s="365" t="s">
        <v>2162</v>
      </c>
      <c r="D603" s="714" t="s">
        <v>2163</v>
      </c>
      <c r="E603" s="715"/>
      <c r="F603" s="355"/>
      <c r="G603" s="368"/>
      <c r="H603" s="368"/>
      <c r="I603" s="369"/>
      <c r="J603" s="368"/>
      <c r="K603" s="368"/>
      <c r="L603" s="369"/>
      <c r="M603" s="368"/>
      <c r="N603" s="369"/>
      <c r="O603" s="368"/>
      <c r="P603" s="368"/>
      <c r="Q603" s="354"/>
    </row>
    <row r="604" spans="1:31" ht="23.25" customHeight="1">
      <c r="A604" s="344" t="s">
        <v>1017</v>
      </c>
      <c r="B604" s="344" t="s">
        <v>1643</v>
      </c>
      <c r="C604" s="365" t="s">
        <v>1017</v>
      </c>
      <c r="D604" s="354" t="s">
        <v>418</v>
      </c>
      <c r="E604" s="354" t="s">
        <v>421</v>
      </c>
      <c r="F604" s="355" t="s">
        <v>321</v>
      </c>
      <c r="G604" s="368">
        <v>1</v>
      </c>
      <c r="H604" s="368"/>
      <c r="I604" s="369" t="str">
        <f>IF(G604*H604&lt;&gt;0, TRUNC(G604*H604, 1), "")</f>
        <v/>
      </c>
      <c r="J604" s="368">
        <v>1</v>
      </c>
      <c r="K604" s="368">
        <f>합산자재!I97</f>
        <v>0</v>
      </c>
      <c r="L604" s="369" t="str">
        <f>IF(G604*K604&lt;&gt;0, TRUNC(G604*K604, 1), "")</f>
        <v/>
      </c>
      <c r="M604" s="368">
        <f>합산자재!J97</f>
        <v>0</v>
      </c>
      <c r="N604" s="369" t="str">
        <f>IF(G604*M604&lt;&gt;0, TRUNC(G604*M604, 1), "")</f>
        <v/>
      </c>
      <c r="O604" s="368" t="str">
        <f>IF((H604+K604+M604)=0, "", (H604+K604+M604))</f>
        <v/>
      </c>
      <c r="P604" s="368" t="str">
        <f>IF(SUM(I604,L604,N604)&lt;&gt;0,SUM(I604,L604,N604),"")</f>
        <v/>
      </c>
      <c r="Q604" s="354" t="s">
        <v>1420</v>
      </c>
      <c r="AB604" s="347">
        <f>합산자재!H97*J604</f>
        <v>6048835.4098900007</v>
      </c>
    </row>
    <row r="605" spans="1:31" ht="23.25" customHeight="1">
      <c r="A605" s="344" t="s">
        <v>1850</v>
      </c>
      <c r="B605" s="344" t="s">
        <v>1643</v>
      </c>
      <c r="C605" s="365" t="s">
        <v>1850</v>
      </c>
      <c r="D605" s="354" t="s">
        <v>1664</v>
      </c>
      <c r="E605" s="354" t="s">
        <v>1851</v>
      </c>
      <c r="F605" s="355" t="s">
        <v>1852</v>
      </c>
      <c r="G605" s="368">
        <f>일위노임!G275</f>
        <v>0.66</v>
      </c>
      <c r="H605" s="368">
        <f>합산자재!H120</f>
        <v>0</v>
      </c>
      <c r="I605" s="369" t="str">
        <f>IF(G605*H605&lt;&gt;0, TRUNC(G605*H605, 1), "")</f>
        <v/>
      </c>
      <c r="J605" s="368">
        <v>0.66</v>
      </c>
      <c r="K605" s="368">
        <f>합산자재!I120</f>
        <v>229252.87931000002</v>
      </c>
      <c r="L605" s="369">
        <f>IF(G605*K605&lt;&gt;0, TRUNC(G605*K605, 1), "")</f>
        <v>151306.9</v>
      </c>
      <c r="M605" s="368">
        <f>합산자재!J120</f>
        <v>0</v>
      </c>
      <c r="N605" s="369" t="str">
        <f>IF(G605*M605&lt;&gt;0, TRUNC(G605*M605, 1), "")</f>
        <v/>
      </c>
      <c r="O605" s="368">
        <f>IF((H605+K605+M605)=0, "", (H605+K605+M605))</f>
        <v>229252.87931000002</v>
      </c>
      <c r="P605" s="368">
        <f>IF(SUM(I605,L605,N605)&lt;&gt;0,SUM(I605,L605,N605),"")</f>
        <v>151306.9</v>
      </c>
      <c r="Q605" s="354"/>
      <c r="AE605" s="347">
        <f>L605</f>
        <v>151306.9</v>
      </c>
    </row>
    <row r="606" spans="1:31" ht="23.25" customHeight="1">
      <c r="A606" s="344" t="s">
        <v>1853</v>
      </c>
      <c r="B606" s="344" t="s">
        <v>1643</v>
      </c>
      <c r="C606" s="365" t="s">
        <v>1853</v>
      </c>
      <c r="D606" s="354" t="s">
        <v>1854</v>
      </c>
      <c r="E606" s="354" t="s">
        <v>1855</v>
      </c>
      <c r="F606" s="355" t="s">
        <v>212</v>
      </c>
      <c r="G606" s="368">
        <v>1</v>
      </c>
      <c r="H606" s="368">
        <f>IF(TRUNC((AD607+AC607)/$AE$3,1)*$AE$3-AD607 &lt;0, AC607, TRUNC((AD607+AC607)/$AE$3,1)*$AE$3-AD607)</f>
        <v>3026.1000000000058</v>
      </c>
      <c r="I606" s="369">
        <f>H606</f>
        <v>3026.1000000000058</v>
      </c>
      <c r="J606" s="368">
        <v>1</v>
      </c>
      <c r="K606" s="368"/>
      <c r="L606" s="369" t="str">
        <f>IF(G606*K606&lt;&gt;0, TRUNC(G606*K606, 1), "")</f>
        <v/>
      </c>
      <c r="M606" s="368"/>
      <c r="N606" s="369" t="str">
        <f>IF(G606*M606&lt;&gt;0, TRUNC(G606*M606, 1), "")</f>
        <v/>
      </c>
      <c r="O606" s="368">
        <f>IF((H606+K606+M606)=0, "", (H606+K606+M606))</f>
        <v>3026.1000000000058</v>
      </c>
      <c r="P606" s="368">
        <f>IF(SUM(I606,L606,N606)&lt;&gt;0,SUM(I606,L606,N606),"")</f>
        <v>3026.1000000000058</v>
      </c>
      <c r="Q606" s="354"/>
    </row>
    <row r="607" spans="1:31" ht="23.25" customHeight="1">
      <c r="B607" s="344" t="s">
        <v>715</v>
      </c>
      <c r="D607" s="354" t="s">
        <v>216</v>
      </c>
      <c r="E607" s="354"/>
      <c r="F607" s="355"/>
      <c r="G607" s="368"/>
      <c r="H607" s="368"/>
      <c r="I607" s="369">
        <f>TRUNC(SUM(I603:I606))</f>
        <v>3026</v>
      </c>
      <c r="J607" s="368"/>
      <c r="K607" s="368"/>
      <c r="L607" s="369">
        <f>TRUNC(SUM(L603:L606))</f>
        <v>151306</v>
      </c>
      <c r="M607" s="368"/>
      <c r="N607" s="369">
        <f>TRUNC(SUM(N603:N606))</f>
        <v>0</v>
      </c>
      <c r="O607" s="368" t="str">
        <f>IF((H607+K607+M607)=0, "", (H607+K607+M607))</f>
        <v/>
      </c>
      <c r="P607" s="368">
        <f>IF(SUM(I607,L607,N607)&lt;&gt;0,SUM(I607,L607,N607),"")</f>
        <v>154332</v>
      </c>
      <c r="Q607" s="354"/>
      <c r="AC607" s="347">
        <f>TRUNC(AE607*옵션!$B$36/100,1)</f>
        <v>3026.1</v>
      </c>
      <c r="AD607" s="347">
        <f>TRUNC(SUM(L603:L605))</f>
        <v>151306</v>
      </c>
      <c r="AE607" s="347">
        <f>TRUNC(SUM(AE603:AE606))</f>
        <v>151306</v>
      </c>
    </row>
    <row r="608" spans="1:31" ht="23.25" customHeight="1">
      <c r="D608" s="354"/>
      <c r="E608" s="354"/>
      <c r="F608" s="355"/>
      <c r="G608" s="368"/>
      <c r="H608" s="368"/>
      <c r="I608" s="369"/>
      <c r="J608" s="368"/>
      <c r="K608" s="368"/>
      <c r="L608" s="369"/>
      <c r="M608" s="368"/>
      <c r="N608" s="369"/>
      <c r="O608" s="368"/>
      <c r="P608" s="368"/>
      <c r="Q608" s="354"/>
    </row>
    <row r="609" spans="1:31" ht="23.25" customHeight="1">
      <c r="A609" s="344" t="s">
        <v>995</v>
      </c>
      <c r="B609" s="344" t="s">
        <v>1833</v>
      </c>
      <c r="C609" s="365" t="s">
        <v>2164</v>
      </c>
      <c r="D609" s="714" t="s">
        <v>2165</v>
      </c>
      <c r="E609" s="715"/>
      <c r="F609" s="355"/>
      <c r="G609" s="368"/>
      <c r="H609" s="368"/>
      <c r="I609" s="369"/>
      <c r="J609" s="368"/>
      <c r="K609" s="368"/>
      <c r="L609" s="369"/>
      <c r="M609" s="368"/>
      <c r="N609" s="369"/>
      <c r="O609" s="368"/>
      <c r="P609" s="368"/>
      <c r="Q609" s="354"/>
    </row>
    <row r="610" spans="1:31" ht="23.25" customHeight="1">
      <c r="A610" s="344" t="s">
        <v>1002</v>
      </c>
      <c r="B610" s="344" t="s">
        <v>1645</v>
      </c>
      <c r="C610" s="365" t="s">
        <v>1002</v>
      </c>
      <c r="D610" s="354" t="s">
        <v>544</v>
      </c>
      <c r="E610" s="354" t="s">
        <v>545</v>
      </c>
      <c r="F610" s="355" t="s">
        <v>212</v>
      </c>
      <c r="G610" s="368">
        <v>1</v>
      </c>
      <c r="H610" s="368"/>
      <c r="I610" s="369" t="str">
        <f>IF(G610*H610&lt;&gt;0, TRUNC(G610*H610, 1), "")</f>
        <v/>
      </c>
      <c r="J610" s="368">
        <v>1</v>
      </c>
      <c r="K610" s="368">
        <f>합산자재!I98</f>
        <v>0</v>
      </c>
      <c r="L610" s="369" t="str">
        <f>IF(G610*K610&lt;&gt;0, TRUNC(G610*K610, 1), "")</f>
        <v/>
      </c>
      <c r="M610" s="368">
        <f>합산자재!J98</f>
        <v>0</v>
      </c>
      <c r="N610" s="369" t="str">
        <f>IF(G610*M610&lt;&gt;0, TRUNC(G610*M610, 1), "")</f>
        <v/>
      </c>
      <c r="O610" s="368" t="str">
        <f>IF((H610+K610+M610)=0, "", (H610+K610+M610))</f>
        <v/>
      </c>
      <c r="P610" s="368" t="str">
        <f>IF(SUM(I610,L610,N610)&lt;&gt;0,SUM(I610,L610,N610),"")</f>
        <v/>
      </c>
      <c r="Q610" s="354" t="s">
        <v>1420</v>
      </c>
      <c r="AB610" s="347">
        <f>합산자재!H98*J610</f>
        <v>179032531.96829</v>
      </c>
    </row>
    <row r="611" spans="1:31" ht="23.25" customHeight="1">
      <c r="B611" s="344" t="s">
        <v>715</v>
      </c>
      <c r="D611" s="354" t="s">
        <v>216</v>
      </c>
      <c r="E611" s="354"/>
      <c r="F611" s="355"/>
      <c r="G611" s="368"/>
      <c r="H611" s="368"/>
      <c r="I611" s="369">
        <f>TRUNC(SUM(I609:I610))</f>
        <v>0</v>
      </c>
      <c r="J611" s="368"/>
      <c r="K611" s="368"/>
      <c r="L611" s="369">
        <f>TRUNC(SUM(L609:L610))</f>
        <v>0</v>
      </c>
      <c r="M611" s="368"/>
      <c r="N611" s="369">
        <f>TRUNC(SUM(N609:N610))</f>
        <v>0</v>
      </c>
      <c r="O611" s="368" t="str">
        <f>IF((H611+K611+M611)=0, "", (H611+K611+M611))</f>
        <v/>
      </c>
      <c r="P611" s="368" t="str">
        <f>IF(SUM(I611,L611,N611)&lt;&gt;0,SUM(I611,L611,N611),"")</f>
        <v/>
      </c>
      <c r="Q611" s="354"/>
      <c r="AE611" s="347">
        <f>TRUNC(SUM(AE609:AE610))</f>
        <v>0</v>
      </c>
    </row>
    <row r="612" spans="1:31" ht="23.25" customHeight="1">
      <c r="D612" s="354"/>
      <c r="E612" s="354"/>
      <c r="F612" s="355"/>
      <c r="G612" s="368"/>
      <c r="H612" s="368"/>
      <c r="I612" s="369"/>
      <c r="J612" s="368"/>
      <c r="K612" s="368"/>
      <c r="L612" s="369"/>
      <c r="M612" s="368"/>
      <c r="N612" s="369"/>
      <c r="O612" s="368"/>
      <c r="P612" s="368"/>
      <c r="Q612" s="354"/>
    </row>
    <row r="613" spans="1:31" ht="23.25" customHeight="1">
      <c r="A613" s="344" t="s">
        <v>742</v>
      </c>
      <c r="B613" s="344" t="s">
        <v>1833</v>
      </c>
      <c r="C613" s="365" t="s">
        <v>2166</v>
      </c>
      <c r="D613" s="714" t="s">
        <v>2167</v>
      </c>
      <c r="E613" s="715"/>
      <c r="F613" s="355"/>
      <c r="G613" s="368"/>
      <c r="H613" s="368"/>
      <c r="I613" s="369"/>
      <c r="J613" s="368"/>
      <c r="K613" s="368"/>
      <c r="L613" s="369"/>
      <c r="M613" s="368"/>
      <c r="N613" s="369"/>
      <c r="O613" s="368"/>
      <c r="P613" s="368"/>
      <c r="Q613" s="354"/>
    </row>
    <row r="614" spans="1:31" ht="23.25" customHeight="1">
      <c r="A614" s="344" t="s">
        <v>2168</v>
      </c>
      <c r="B614" s="344" t="s">
        <v>1647</v>
      </c>
      <c r="C614" s="365" t="s">
        <v>2168</v>
      </c>
      <c r="D614" s="354" t="s">
        <v>270</v>
      </c>
      <c r="E614" s="354" t="s">
        <v>353</v>
      </c>
      <c r="F614" s="355" t="s">
        <v>255</v>
      </c>
      <c r="G614" s="368">
        <v>1</v>
      </c>
      <c r="H614" s="368">
        <f>합산자재!H99</f>
        <v>3352.2379800000003</v>
      </c>
      <c r="I614" s="369">
        <f>IF(G614*H614&lt;&gt;0, TRUNC(G614*H614, 1), "")</f>
        <v>3352.2</v>
      </c>
      <c r="J614" s="368">
        <v>1</v>
      </c>
      <c r="K614" s="368">
        <f>합산자재!I99</f>
        <v>0</v>
      </c>
      <c r="L614" s="369" t="str">
        <f>IF(G614*K614&lt;&gt;0, TRUNC(G614*K614, 1), "")</f>
        <v/>
      </c>
      <c r="M614" s="368">
        <f>합산자재!J99</f>
        <v>0</v>
      </c>
      <c r="N614" s="369" t="str">
        <f>IF(G614*M614&lt;&gt;0, TRUNC(G614*M614, 1), "")</f>
        <v/>
      </c>
      <c r="O614" s="368">
        <f t="shared" ref="O614:O619" si="87">IF((H614+K614+M614)=0, "", (H614+K614+M614))</f>
        <v>3352.2379800000003</v>
      </c>
      <c r="P614" s="368">
        <f t="shared" ref="P614:P619" si="88">IF(SUM(I614,L614,N614)&lt;&gt;0,SUM(I614,L614,N614),"")</f>
        <v>3352.2</v>
      </c>
      <c r="Q614" s="354"/>
      <c r="AC614" s="347">
        <f>G614*H614</f>
        <v>3352.2379800000003</v>
      </c>
    </row>
    <row r="615" spans="1:31" ht="23.25" customHeight="1">
      <c r="A615" s="344" t="s">
        <v>1885</v>
      </c>
      <c r="B615" s="344" t="s">
        <v>1647</v>
      </c>
      <c r="C615" s="365" t="s">
        <v>1885</v>
      </c>
      <c r="D615" s="354" t="s">
        <v>1886</v>
      </c>
      <c r="E615" s="354" t="s">
        <v>1887</v>
      </c>
      <c r="F615" s="355" t="s">
        <v>212</v>
      </c>
      <c r="G615" s="368">
        <v>1</v>
      </c>
      <c r="H615" s="368">
        <f>IF(TRUNC((AD615+AC615)/$AD$3,1)*$AD$3-AD615 &lt;0, AC615, TRUNC((AD615+AC615)/$AD$3,1)*$AD$3-AD615)</f>
        <v>67</v>
      </c>
      <c r="I615" s="369">
        <f>H615</f>
        <v>67</v>
      </c>
      <c r="J615" s="368">
        <v>1</v>
      </c>
      <c r="K615" s="368"/>
      <c r="L615" s="369" t="str">
        <f>IF(G615*K615&lt;&gt;0, TRUNC(G615*K615, 1), "")</f>
        <v/>
      </c>
      <c r="M615" s="368"/>
      <c r="N615" s="369" t="str">
        <f>IF(G615*M615&lt;&gt;0, TRUNC(G615*M615, 1), "")</f>
        <v/>
      </c>
      <c r="O615" s="368">
        <f t="shared" si="87"/>
        <v>67</v>
      </c>
      <c r="P615" s="368">
        <f t="shared" si="88"/>
        <v>67</v>
      </c>
      <c r="Q615" s="354"/>
      <c r="AC615" s="347">
        <f>TRUNC(TRUNC(SUM(AC613:AC614))*옵션!$B$33/100,1)</f>
        <v>67</v>
      </c>
      <c r="AD615" s="347">
        <f>TRUNC(SUM(I613:I614))+TRUNC(SUM(N613:N614))</f>
        <v>3352</v>
      </c>
    </row>
    <row r="616" spans="1:31" ht="23.25" customHeight="1">
      <c r="A616" s="344" t="s">
        <v>1991</v>
      </c>
      <c r="B616" s="344" t="s">
        <v>1647</v>
      </c>
      <c r="C616" s="365" t="s">
        <v>1991</v>
      </c>
      <c r="D616" s="354" t="s">
        <v>1664</v>
      </c>
      <c r="E616" s="354" t="s">
        <v>1992</v>
      </c>
      <c r="F616" s="355" t="s">
        <v>1852</v>
      </c>
      <c r="G616" s="368">
        <f>일위노임!G279</f>
        <v>1.201E-2</v>
      </c>
      <c r="H616" s="368">
        <f>합산자재!H121</f>
        <v>0</v>
      </c>
      <c r="I616" s="369" t="str">
        <f>IF(G616*H616&lt;&gt;0, TRUNC(G616*H616, 1), "")</f>
        <v/>
      </c>
      <c r="J616" s="368">
        <v>1.201E-2</v>
      </c>
      <c r="K616" s="368">
        <f>합산자재!I121</f>
        <v>240586.38331</v>
      </c>
      <c r="L616" s="369">
        <f>IF(G616*K616&lt;&gt;0, TRUNC(G616*K616, 1), "")</f>
        <v>2889.4</v>
      </c>
      <c r="M616" s="368">
        <f>합산자재!J121</f>
        <v>0</v>
      </c>
      <c r="N616" s="369" t="str">
        <f>IF(G616*M616&lt;&gt;0, TRUNC(G616*M616, 1), "")</f>
        <v/>
      </c>
      <c r="O616" s="368">
        <f t="shared" si="87"/>
        <v>240586.38331</v>
      </c>
      <c r="P616" s="368">
        <f t="shared" si="88"/>
        <v>2889.4</v>
      </c>
      <c r="Q616" s="354"/>
      <c r="AE616" s="347">
        <f>L616</f>
        <v>2889.4</v>
      </c>
    </row>
    <row r="617" spans="1:31" ht="23.25" customHeight="1">
      <c r="A617" s="344" t="s">
        <v>1888</v>
      </c>
      <c r="B617" s="344" t="s">
        <v>1647</v>
      </c>
      <c r="C617" s="365" t="s">
        <v>1888</v>
      </c>
      <c r="D617" s="354" t="s">
        <v>1664</v>
      </c>
      <c r="E617" s="354" t="s">
        <v>1889</v>
      </c>
      <c r="F617" s="355" t="s">
        <v>1852</v>
      </c>
      <c r="G617" s="368">
        <f>일위노임!G280</f>
        <v>1.201E-2</v>
      </c>
      <c r="H617" s="368">
        <f>합산자재!H125</f>
        <v>0</v>
      </c>
      <c r="I617" s="369" t="str">
        <f>IF(G617*H617&lt;&gt;0, TRUNC(G617*H617, 1), "")</f>
        <v/>
      </c>
      <c r="J617" s="368">
        <v>1.201E-2</v>
      </c>
      <c r="K617" s="368">
        <f>합산자재!I125</f>
        <v>131495.20930000002</v>
      </c>
      <c r="L617" s="369">
        <f>IF(G617*K617&lt;&gt;0, TRUNC(G617*K617, 1), "")</f>
        <v>1579.2</v>
      </c>
      <c r="M617" s="368">
        <f>합산자재!J125</f>
        <v>0</v>
      </c>
      <c r="N617" s="369" t="str">
        <f>IF(G617*M617&lt;&gt;0, TRUNC(G617*M617, 1), "")</f>
        <v/>
      </c>
      <c r="O617" s="368">
        <f t="shared" si="87"/>
        <v>131495.20930000002</v>
      </c>
      <c r="P617" s="368">
        <f t="shared" si="88"/>
        <v>1579.2</v>
      </c>
      <c r="Q617" s="354"/>
      <c r="AE617" s="347">
        <f>L617</f>
        <v>1579.2</v>
      </c>
    </row>
    <row r="618" spans="1:31" ht="23.25" customHeight="1">
      <c r="A618" s="344" t="s">
        <v>1853</v>
      </c>
      <c r="B618" s="344" t="s">
        <v>1647</v>
      </c>
      <c r="C618" s="365" t="s">
        <v>1853</v>
      </c>
      <c r="D618" s="354" t="s">
        <v>1854</v>
      </c>
      <c r="E618" s="354" t="s">
        <v>1855</v>
      </c>
      <c r="F618" s="355" t="s">
        <v>212</v>
      </c>
      <c r="G618" s="368">
        <v>1</v>
      </c>
      <c r="H618" s="368">
        <f>IF(TRUNC((AD619+AC619)/$AE$3,1)*$AE$3-AD619 &lt;0, AC619, TRUNC((AD619+AC619)/$AE$3,1)*$AE$3-AD619)</f>
        <v>89.300000000000182</v>
      </c>
      <c r="I618" s="369">
        <f>H618</f>
        <v>89.300000000000182</v>
      </c>
      <c r="J618" s="368">
        <v>1</v>
      </c>
      <c r="K618" s="368"/>
      <c r="L618" s="369" t="str">
        <f>IF(G618*K618&lt;&gt;0, TRUNC(G618*K618, 1), "")</f>
        <v/>
      </c>
      <c r="M618" s="368"/>
      <c r="N618" s="369" t="str">
        <f>IF(G618*M618&lt;&gt;0, TRUNC(G618*M618, 1), "")</f>
        <v/>
      </c>
      <c r="O618" s="368">
        <f t="shared" si="87"/>
        <v>89.300000000000182</v>
      </c>
      <c r="P618" s="368">
        <f t="shared" si="88"/>
        <v>89.300000000000182</v>
      </c>
      <c r="Q618" s="354"/>
    </row>
    <row r="619" spans="1:31" ht="23.25" customHeight="1">
      <c r="B619" s="344" t="s">
        <v>715</v>
      </c>
      <c r="D619" s="354" t="s">
        <v>216</v>
      </c>
      <c r="E619" s="354"/>
      <c r="F619" s="355"/>
      <c r="G619" s="368"/>
      <c r="H619" s="368"/>
      <c r="I619" s="369">
        <f>TRUNC(SUM(I613:I618))</f>
        <v>3508</v>
      </c>
      <c r="J619" s="368"/>
      <c r="K619" s="368"/>
      <c r="L619" s="369">
        <f>TRUNC(SUM(L613:L618))</f>
        <v>4468</v>
      </c>
      <c r="M619" s="368"/>
      <c r="N619" s="369">
        <f>TRUNC(SUM(N613:N618))</f>
        <v>0</v>
      </c>
      <c r="O619" s="368" t="str">
        <f t="shared" si="87"/>
        <v/>
      </c>
      <c r="P619" s="368">
        <f t="shared" si="88"/>
        <v>7976</v>
      </c>
      <c r="Q619" s="354"/>
      <c r="AC619" s="347">
        <f>TRUNC(AE619*옵션!$B$36/100,1)</f>
        <v>89.3</v>
      </c>
      <c r="AD619" s="347">
        <f>TRUNC(SUM(L613:L617))</f>
        <v>4468</v>
      </c>
      <c r="AE619" s="347">
        <f>TRUNC(SUM(AE613:AE618))</f>
        <v>4468</v>
      </c>
    </row>
    <row r="620" spans="1:31" ht="23.25" customHeight="1">
      <c r="D620" s="354"/>
      <c r="E620" s="354"/>
      <c r="F620" s="355"/>
      <c r="G620" s="368"/>
      <c r="H620" s="368"/>
      <c r="I620" s="369"/>
      <c r="J620" s="368"/>
      <c r="K620" s="368"/>
      <c r="L620" s="369"/>
      <c r="M620" s="368"/>
      <c r="N620" s="369"/>
      <c r="O620" s="368"/>
      <c r="P620" s="368"/>
      <c r="Q620" s="354"/>
    </row>
    <row r="621" spans="1:31" ht="23.25" customHeight="1">
      <c r="A621" s="344" t="s">
        <v>604</v>
      </c>
      <c r="B621" s="344" t="s">
        <v>1833</v>
      </c>
      <c r="C621" s="365" t="s">
        <v>2169</v>
      </c>
      <c r="D621" s="714" t="s">
        <v>2170</v>
      </c>
      <c r="E621" s="715"/>
      <c r="F621" s="355"/>
      <c r="G621" s="368"/>
      <c r="H621" s="368"/>
      <c r="I621" s="369"/>
      <c r="J621" s="368"/>
      <c r="K621" s="368"/>
      <c r="L621" s="369"/>
      <c r="M621" s="368"/>
      <c r="N621" s="369"/>
      <c r="O621" s="368"/>
      <c r="P621" s="368"/>
      <c r="Q621" s="354"/>
    </row>
    <row r="622" spans="1:31" ht="23.25" customHeight="1">
      <c r="A622" s="344" t="s">
        <v>2171</v>
      </c>
      <c r="B622" s="344" t="s">
        <v>1648</v>
      </c>
      <c r="C622" s="365" t="s">
        <v>2171</v>
      </c>
      <c r="D622" s="354" t="s">
        <v>256</v>
      </c>
      <c r="E622" s="354" t="s">
        <v>259</v>
      </c>
      <c r="F622" s="355" t="s">
        <v>255</v>
      </c>
      <c r="G622" s="368">
        <v>1</v>
      </c>
      <c r="H622" s="368">
        <f>합산자재!H100</f>
        <v>772.09496000000001</v>
      </c>
      <c r="I622" s="369">
        <f>IF(G622*H622&lt;&gt;0, TRUNC(G622*H622, 1), "")</f>
        <v>772</v>
      </c>
      <c r="J622" s="368">
        <v>1</v>
      </c>
      <c r="K622" s="368">
        <f>합산자재!I100</f>
        <v>0</v>
      </c>
      <c r="L622" s="369" t="str">
        <f t="shared" ref="L622:L627" si="89">IF(G622*K622&lt;&gt;0, TRUNC(G622*K622, 1), "")</f>
        <v/>
      </c>
      <c r="M622" s="368">
        <f>합산자재!J100</f>
        <v>0</v>
      </c>
      <c r="N622" s="369" t="str">
        <f t="shared" ref="N622:N627" si="90">IF(G622*M622&lt;&gt;0, TRUNC(G622*M622, 1), "")</f>
        <v/>
      </c>
      <c r="O622" s="368">
        <f t="shared" ref="O622:O628" si="91">IF((H622+K622+M622)=0, "", (H622+K622+M622))</f>
        <v>772.09496000000001</v>
      </c>
      <c r="P622" s="368">
        <f t="shared" ref="P622:P628" si="92">IF(SUM(I622,L622,N622)&lt;&gt;0,SUM(I622,L622,N622),"")</f>
        <v>772</v>
      </c>
      <c r="Q622" s="354"/>
      <c r="R622" s="347" t="s">
        <v>2172</v>
      </c>
      <c r="AB622" s="347">
        <f>I622</f>
        <v>772</v>
      </c>
      <c r="AC622" s="347">
        <f>G622*H622</f>
        <v>772.09496000000001</v>
      </c>
    </row>
    <row r="623" spans="1:31" ht="23.25" customHeight="1">
      <c r="A623" s="344" t="s">
        <v>1925</v>
      </c>
      <c r="B623" s="344" t="s">
        <v>1648</v>
      </c>
      <c r="C623" s="365" t="s">
        <v>1925</v>
      </c>
      <c r="D623" s="354" t="s">
        <v>1926</v>
      </c>
      <c r="E623" s="354" t="s">
        <v>1927</v>
      </c>
      <c r="F623" s="355" t="s">
        <v>212</v>
      </c>
      <c r="G623" s="368">
        <v>1</v>
      </c>
      <c r="H623" s="368">
        <f>TRUNC(AB623*옵션!$B$31/100,1)</f>
        <v>115.8</v>
      </c>
      <c r="I623" s="369">
        <f>IF(G623*H623&lt;&gt;0, TRUNC(G623*H623, 1), "")</f>
        <v>115.8</v>
      </c>
      <c r="J623" s="368">
        <v>1</v>
      </c>
      <c r="K623" s="368"/>
      <c r="L623" s="369" t="str">
        <f t="shared" si="89"/>
        <v/>
      </c>
      <c r="M623" s="368"/>
      <c r="N623" s="369" t="str">
        <f t="shared" si="90"/>
        <v/>
      </c>
      <c r="O623" s="368">
        <f t="shared" si="91"/>
        <v>115.8</v>
      </c>
      <c r="P623" s="368">
        <f t="shared" si="92"/>
        <v>115.8</v>
      </c>
      <c r="Q623" s="354"/>
      <c r="AB623" s="347">
        <f>TRUNC(SUM(AB621:AB622))</f>
        <v>772</v>
      </c>
    </row>
    <row r="624" spans="1:31" ht="23.25" customHeight="1">
      <c r="A624" s="344" t="s">
        <v>1885</v>
      </c>
      <c r="B624" s="344" t="s">
        <v>1648</v>
      </c>
      <c r="C624" s="365" t="s">
        <v>1885</v>
      </c>
      <c r="D624" s="354" t="s">
        <v>1886</v>
      </c>
      <c r="E624" s="354" t="s">
        <v>1887</v>
      </c>
      <c r="F624" s="355" t="s">
        <v>212</v>
      </c>
      <c r="G624" s="368">
        <v>1</v>
      </c>
      <c r="H624" s="368">
        <f>IF(TRUNC((AD624+AC624)/$AD$3,1)*$AD$3-AD624 &lt;0, AC624, TRUNC((AD624+AC624)/$AD$3,1)*$AD$3-AD624)</f>
        <v>15.399999999999977</v>
      </c>
      <c r="I624" s="369">
        <f>H624</f>
        <v>15.399999999999977</v>
      </c>
      <c r="J624" s="368">
        <v>1</v>
      </c>
      <c r="K624" s="368"/>
      <c r="L624" s="369" t="str">
        <f t="shared" si="89"/>
        <v/>
      </c>
      <c r="M624" s="368"/>
      <c r="N624" s="369" t="str">
        <f t="shared" si="90"/>
        <v/>
      </c>
      <c r="O624" s="368">
        <f t="shared" si="91"/>
        <v>15.399999999999977</v>
      </c>
      <c r="P624" s="368">
        <f t="shared" si="92"/>
        <v>15.399999999999977</v>
      </c>
      <c r="Q624" s="354"/>
      <c r="AC624" s="347">
        <f>TRUNC(TRUNC(SUM(AC621:AC623))*옵션!$B$33/100,1)</f>
        <v>15.4</v>
      </c>
      <c r="AD624" s="347">
        <f>TRUNC(SUM(I621:I623))+TRUNC(SUM(N621:N623))</f>
        <v>887</v>
      </c>
    </row>
    <row r="625" spans="1:31" ht="23.25" customHeight="1">
      <c r="A625" s="344" t="s">
        <v>1968</v>
      </c>
      <c r="B625" s="344" t="s">
        <v>1648</v>
      </c>
      <c r="C625" s="365" t="s">
        <v>1968</v>
      </c>
      <c r="D625" s="354" t="s">
        <v>1664</v>
      </c>
      <c r="E625" s="354" t="s">
        <v>1969</v>
      </c>
      <c r="F625" s="355" t="s">
        <v>1852</v>
      </c>
      <c r="G625" s="368">
        <f>일위노임!G284</f>
        <v>1.35E-2</v>
      </c>
      <c r="H625" s="368">
        <f>합산자재!H123</f>
        <v>0</v>
      </c>
      <c r="I625" s="369" t="str">
        <f>IF(G625*H625&lt;&gt;0, TRUNC(G625*H625, 1), "")</f>
        <v/>
      </c>
      <c r="J625" s="368">
        <v>1.35E-2</v>
      </c>
      <c r="K625" s="368">
        <f>합산자재!I123</f>
        <v>336167.66638000001</v>
      </c>
      <c r="L625" s="369">
        <f t="shared" si="89"/>
        <v>4538.2</v>
      </c>
      <c r="M625" s="368">
        <f>합산자재!J123</f>
        <v>0</v>
      </c>
      <c r="N625" s="369" t="str">
        <f t="shared" si="90"/>
        <v/>
      </c>
      <c r="O625" s="368">
        <f t="shared" si="91"/>
        <v>336167.66638000001</v>
      </c>
      <c r="P625" s="368">
        <f t="shared" si="92"/>
        <v>4538.2</v>
      </c>
      <c r="Q625" s="354"/>
      <c r="AE625" s="347">
        <f>L625</f>
        <v>4538.2</v>
      </c>
    </row>
    <row r="626" spans="1:31" ht="23.25" customHeight="1">
      <c r="A626" s="344" t="s">
        <v>1888</v>
      </c>
      <c r="B626" s="344" t="s">
        <v>1648</v>
      </c>
      <c r="C626" s="365" t="s">
        <v>1888</v>
      </c>
      <c r="D626" s="354" t="s">
        <v>1664</v>
      </c>
      <c r="E626" s="354" t="s">
        <v>1889</v>
      </c>
      <c r="F626" s="355" t="s">
        <v>1852</v>
      </c>
      <c r="G626" s="368">
        <f>일위노임!G285</f>
        <v>3.3000000000000002E-2</v>
      </c>
      <c r="H626" s="368">
        <f>합산자재!H125</f>
        <v>0</v>
      </c>
      <c r="I626" s="369" t="str">
        <f>IF(G626*H626&lt;&gt;0, TRUNC(G626*H626, 1), "")</f>
        <v/>
      </c>
      <c r="J626" s="368">
        <v>3.3000000000000002E-2</v>
      </c>
      <c r="K626" s="368">
        <f>합산자재!I125</f>
        <v>131495.20930000002</v>
      </c>
      <c r="L626" s="369">
        <f t="shared" si="89"/>
        <v>4339.3</v>
      </c>
      <c r="M626" s="368">
        <f>합산자재!J125</f>
        <v>0</v>
      </c>
      <c r="N626" s="369" t="str">
        <f t="shared" si="90"/>
        <v/>
      </c>
      <c r="O626" s="368">
        <f t="shared" si="91"/>
        <v>131495.20930000002</v>
      </c>
      <c r="P626" s="368">
        <f t="shared" si="92"/>
        <v>4339.3</v>
      </c>
      <c r="Q626" s="354"/>
      <c r="AE626" s="347">
        <f>L626</f>
        <v>4339.3</v>
      </c>
    </row>
    <row r="627" spans="1:31" ht="23.25" customHeight="1">
      <c r="A627" s="344" t="s">
        <v>1853</v>
      </c>
      <c r="B627" s="344" t="s">
        <v>1648</v>
      </c>
      <c r="C627" s="365" t="s">
        <v>1853</v>
      </c>
      <c r="D627" s="354" t="s">
        <v>1854</v>
      </c>
      <c r="E627" s="354" t="s">
        <v>1855</v>
      </c>
      <c r="F627" s="355" t="s">
        <v>212</v>
      </c>
      <c r="G627" s="368">
        <v>1</v>
      </c>
      <c r="H627" s="368">
        <f>IF(TRUNC((AD628+AC628)/$AE$3,1)*$AE$3-AD628 &lt;0, AC628, TRUNC((AD628+AC628)/$AE$3,1)*$AE$3-AD628)</f>
        <v>177.5</v>
      </c>
      <c r="I627" s="369">
        <f>H627</f>
        <v>177.5</v>
      </c>
      <c r="J627" s="368">
        <v>1</v>
      </c>
      <c r="K627" s="368"/>
      <c r="L627" s="369" t="str">
        <f t="shared" si="89"/>
        <v/>
      </c>
      <c r="M627" s="368"/>
      <c r="N627" s="369" t="str">
        <f t="shared" si="90"/>
        <v/>
      </c>
      <c r="O627" s="368">
        <f t="shared" si="91"/>
        <v>177.5</v>
      </c>
      <c r="P627" s="368">
        <f t="shared" si="92"/>
        <v>177.5</v>
      </c>
      <c r="Q627" s="354"/>
    </row>
    <row r="628" spans="1:31" ht="23.25" customHeight="1">
      <c r="B628" s="344" t="s">
        <v>715</v>
      </c>
      <c r="D628" s="354" t="s">
        <v>216</v>
      </c>
      <c r="E628" s="354"/>
      <c r="F628" s="355"/>
      <c r="G628" s="368"/>
      <c r="H628" s="368"/>
      <c r="I628" s="369">
        <f>TRUNC(SUM(I621:I627))</f>
        <v>1080</v>
      </c>
      <c r="J628" s="368"/>
      <c r="K628" s="368"/>
      <c r="L628" s="369">
        <f>TRUNC(SUM(L621:L627))</f>
        <v>8877</v>
      </c>
      <c r="M628" s="368"/>
      <c r="N628" s="369">
        <f>TRUNC(SUM(N621:N627))</f>
        <v>0</v>
      </c>
      <c r="O628" s="368" t="str">
        <f t="shared" si="91"/>
        <v/>
      </c>
      <c r="P628" s="368">
        <f t="shared" si="92"/>
        <v>9957</v>
      </c>
      <c r="Q628" s="354"/>
      <c r="AC628" s="347">
        <f>TRUNC(AE628*옵션!$B$36/100,1)</f>
        <v>177.5</v>
      </c>
      <c r="AD628" s="347">
        <f>TRUNC(SUM(L621:L626))</f>
        <v>8877</v>
      </c>
      <c r="AE628" s="347">
        <f>TRUNC(SUM(AE621:AE627))</f>
        <v>8877</v>
      </c>
    </row>
    <row r="629" spans="1:31" ht="23.25" customHeight="1">
      <c r="D629" s="354"/>
      <c r="E629" s="354"/>
      <c r="F629" s="355"/>
      <c r="G629" s="368"/>
      <c r="H629" s="368"/>
      <c r="I629" s="369"/>
      <c r="J629" s="368"/>
      <c r="K629" s="368"/>
      <c r="L629" s="369"/>
      <c r="M629" s="368"/>
      <c r="N629" s="369"/>
      <c r="O629" s="368"/>
      <c r="P629" s="368"/>
      <c r="Q629" s="354"/>
    </row>
    <row r="630" spans="1:31" ht="23.25" customHeight="1">
      <c r="A630" s="344" t="s">
        <v>643</v>
      </c>
      <c r="B630" s="344" t="s">
        <v>1833</v>
      </c>
      <c r="C630" s="365" t="s">
        <v>2173</v>
      </c>
      <c r="D630" s="714" t="s">
        <v>2174</v>
      </c>
      <c r="E630" s="715"/>
      <c r="F630" s="355"/>
      <c r="G630" s="368"/>
      <c r="H630" s="368"/>
      <c r="I630" s="369"/>
      <c r="J630" s="368"/>
      <c r="K630" s="368"/>
      <c r="L630" s="369"/>
      <c r="M630" s="368"/>
      <c r="N630" s="369"/>
      <c r="O630" s="368"/>
      <c r="P630" s="368"/>
      <c r="Q630" s="354"/>
    </row>
    <row r="631" spans="1:31" ht="23.25" customHeight="1">
      <c r="A631" s="344" t="s">
        <v>2175</v>
      </c>
      <c r="B631" s="344" t="s">
        <v>1649</v>
      </c>
      <c r="C631" s="365" t="s">
        <v>2175</v>
      </c>
      <c r="D631" s="354" t="s">
        <v>270</v>
      </c>
      <c r="E631" s="354" t="s">
        <v>274</v>
      </c>
      <c r="F631" s="355" t="s">
        <v>255</v>
      </c>
      <c r="G631" s="368">
        <v>1</v>
      </c>
      <c r="H631" s="368">
        <f>합산자재!H101</f>
        <v>1911.64337</v>
      </c>
      <c r="I631" s="369">
        <f>IF(G631*H631&lt;&gt;0, TRUNC(G631*H631, 1), "")</f>
        <v>1911.6</v>
      </c>
      <c r="J631" s="368">
        <v>1</v>
      </c>
      <c r="K631" s="368">
        <f>합산자재!I101</f>
        <v>0</v>
      </c>
      <c r="L631" s="369" t="str">
        <f>IF(G631*K631&lt;&gt;0, TRUNC(G631*K631, 1), "")</f>
        <v/>
      </c>
      <c r="M631" s="368">
        <f>합산자재!J101</f>
        <v>0</v>
      </c>
      <c r="N631" s="369" t="str">
        <f>IF(G631*M631&lt;&gt;0, TRUNC(G631*M631, 1), "")</f>
        <v/>
      </c>
      <c r="O631" s="368">
        <f t="shared" ref="O631:O636" si="93">IF((H631+K631+M631)=0, "", (H631+K631+M631))</f>
        <v>1911.64337</v>
      </c>
      <c r="P631" s="368">
        <f t="shared" ref="P631:P636" si="94">IF(SUM(I631,L631,N631)&lt;&gt;0,SUM(I631,L631,N631),"")</f>
        <v>1911.6</v>
      </c>
      <c r="Q631" s="354"/>
      <c r="AC631" s="347">
        <f>G631*H631</f>
        <v>1911.64337</v>
      </c>
    </row>
    <row r="632" spans="1:31" ht="23.25" customHeight="1">
      <c r="A632" s="344" t="s">
        <v>1885</v>
      </c>
      <c r="B632" s="344" t="s">
        <v>1649</v>
      </c>
      <c r="C632" s="365" t="s">
        <v>1885</v>
      </c>
      <c r="D632" s="354" t="s">
        <v>1886</v>
      </c>
      <c r="E632" s="354" t="s">
        <v>1887</v>
      </c>
      <c r="F632" s="355" t="s">
        <v>212</v>
      </c>
      <c r="G632" s="368">
        <v>1</v>
      </c>
      <c r="H632" s="368">
        <f>IF(TRUNC((AD632+AC632)/$AD$3,1)*$AD$3-AD632 &lt;0, AC632, TRUNC((AD632+AC632)/$AD$3,1)*$AD$3-AD632)</f>
        <v>38.200000000000045</v>
      </c>
      <c r="I632" s="369">
        <f>H632</f>
        <v>38.200000000000045</v>
      </c>
      <c r="J632" s="368">
        <v>1</v>
      </c>
      <c r="K632" s="368"/>
      <c r="L632" s="369" t="str">
        <f>IF(G632*K632&lt;&gt;0, TRUNC(G632*K632, 1), "")</f>
        <v/>
      </c>
      <c r="M632" s="368"/>
      <c r="N632" s="369" t="str">
        <f>IF(G632*M632&lt;&gt;0, TRUNC(G632*M632, 1), "")</f>
        <v/>
      </c>
      <c r="O632" s="368">
        <f t="shared" si="93"/>
        <v>38.200000000000045</v>
      </c>
      <c r="P632" s="368">
        <f t="shared" si="94"/>
        <v>38.200000000000045</v>
      </c>
      <c r="Q632" s="354"/>
      <c r="AC632" s="347">
        <f>TRUNC(TRUNC(SUM(AC630:AC631))*옵션!$B$33/100,1)</f>
        <v>38.200000000000003</v>
      </c>
      <c r="AD632" s="347">
        <f>TRUNC(SUM(I630:I631))+TRUNC(SUM(N630:N631))</f>
        <v>1911</v>
      </c>
    </row>
    <row r="633" spans="1:31" ht="23.25" customHeight="1">
      <c r="A633" s="344" t="s">
        <v>1991</v>
      </c>
      <c r="B633" s="344" t="s">
        <v>1649</v>
      </c>
      <c r="C633" s="365" t="s">
        <v>1991</v>
      </c>
      <c r="D633" s="354" t="s">
        <v>1664</v>
      </c>
      <c r="E633" s="354" t="s">
        <v>1992</v>
      </c>
      <c r="F633" s="355" t="s">
        <v>1852</v>
      </c>
      <c r="G633" s="368">
        <f>일위노임!G289</f>
        <v>7.3699999999999998E-3</v>
      </c>
      <c r="H633" s="368">
        <f>합산자재!H121</f>
        <v>0</v>
      </c>
      <c r="I633" s="369" t="str">
        <f>IF(G633*H633&lt;&gt;0, TRUNC(G633*H633, 1), "")</f>
        <v/>
      </c>
      <c r="J633" s="368">
        <v>7.3699999999999998E-3</v>
      </c>
      <c r="K633" s="368">
        <f>합산자재!I121</f>
        <v>240586.38331</v>
      </c>
      <c r="L633" s="369">
        <f>IF(G633*K633&lt;&gt;0, TRUNC(G633*K633, 1), "")</f>
        <v>1773.1</v>
      </c>
      <c r="M633" s="368">
        <f>합산자재!J121</f>
        <v>0</v>
      </c>
      <c r="N633" s="369" t="str">
        <f>IF(G633*M633&lt;&gt;0, TRUNC(G633*M633, 1), "")</f>
        <v/>
      </c>
      <c r="O633" s="368">
        <f t="shared" si="93"/>
        <v>240586.38331</v>
      </c>
      <c r="P633" s="368">
        <f t="shared" si="94"/>
        <v>1773.1</v>
      </c>
      <c r="Q633" s="354"/>
      <c r="AE633" s="347">
        <f>L633</f>
        <v>1773.1</v>
      </c>
    </row>
    <row r="634" spans="1:31" ht="23.25" customHeight="1">
      <c r="A634" s="344" t="s">
        <v>1888</v>
      </c>
      <c r="B634" s="344" t="s">
        <v>1649</v>
      </c>
      <c r="C634" s="365" t="s">
        <v>1888</v>
      </c>
      <c r="D634" s="354" t="s">
        <v>1664</v>
      </c>
      <c r="E634" s="354" t="s">
        <v>1889</v>
      </c>
      <c r="F634" s="355" t="s">
        <v>1852</v>
      </c>
      <c r="G634" s="368">
        <f>일위노임!G290</f>
        <v>7.3699999999999998E-3</v>
      </c>
      <c r="H634" s="368">
        <f>합산자재!H125</f>
        <v>0</v>
      </c>
      <c r="I634" s="369" t="str">
        <f>IF(G634*H634&lt;&gt;0, TRUNC(G634*H634, 1), "")</f>
        <v/>
      </c>
      <c r="J634" s="368">
        <v>7.3699999999999998E-3</v>
      </c>
      <c r="K634" s="368">
        <f>합산자재!I125</f>
        <v>131495.20930000002</v>
      </c>
      <c r="L634" s="369">
        <f>IF(G634*K634&lt;&gt;0, TRUNC(G634*K634, 1), "")</f>
        <v>969.1</v>
      </c>
      <c r="M634" s="368">
        <f>합산자재!J125</f>
        <v>0</v>
      </c>
      <c r="N634" s="369" t="str">
        <f>IF(G634*M634&lt;&gt;0, TRUNC(G634*M634, 1), "")</f>
        <v/>
      </c>
      <c r="O634" s="368">
        <f t="shared" si="93"/>
        <v>131495.20930000002</v>
      </c>
      <c r="P634" s="368">
        <f t="shared" si="94"/>
        <v>969.1</v>
      </c>
      <c r="Q634" s="354"/>
      <c r="AE634" s="347">
        <f>L634</f>
        <v>969.1</v>
      </c>
    </row>
    <row r="635" spans="1:31" ht="23.25" customHeight="1">
      <c r="A635" s="344" t="s">
        <v>1853</v>
      </c>
      <c r="B635" s="344" t="s">
        <v>1649</v>
      </c>
      <c r="C635" s="365" t="s">
        <v>1853</v>
      </c>
      <c r="D635" s="354" t="s">
        <v>1854</v>
      </c>
      <c r="E635" s="354" t="s">
        <v>1855</v>
      </c>
      <c r="F635" s="355" t="s">
        <v>212</v>
      </c>
      <c r="G635" s="368">
        <v>1</v>
      </c>
      <c r="H635" s="368">
        <f>IF(TRUNC((AD636+AC636)/$AE$3,1)*$AE$3-AD636 &lt;0, AC636, TRUNC((AD636+AC636)/$AE$3,1)*$AE$3-AD636)</f>
        <v>54.800000000000182</v>
      </c>
      <c r="I635" s="369">
        <f>H635</f>
        <v>54.800000000000182</v>
      </c>
      <c r="J635" s="368">
        <v>1</v>
      </c>
      <c r="K635" s="368"/>
      <c r="L635" s="369" t="str">
        <f>IF(G635*K635&lt;&gt;0, TRUNC(G635*K635, 1), "")</f>
        <v/>
      </c>
      <c r="M635" s="368"/>
      <c r="N635" s="369" t="str">
        <f>IF(G635*M635&lt;&gt;0, TRUNC(G635*M635, 1), "")</f>
        <v/>
      </c>
      <c r="O635" s="368">
        <f t="shared" si="93"/>
        <v>54.800000000000182</v>
      </c>
      <c r="P635" s="368">
        <f t="shared" si="94"/>
        <v>54.800000000000182</v>
      </c>
      <c r="Q635" s="354"/>
    </row>
    <row r="636" spans="1:31" ht="23.25" customHeight="1">
      <c r="B636" s="344" t="s">
        <v>715</v>
      </c>
      <c r="D636" s="354" t="s">
        <v>216</v>
      </c>
      <c r="E636" s="354"/>
      <c r="F636" s="355"/>
      <c r="G636" s="368"/>
      <c r="H636" s="368"/>
      <c r="I636" s="369">
        <f>TRUNC(SUM(I630:I635))</f>
        <v>2004</v>
      </c>
      <c r="J636" s="368"/>
      <c r="K636" s="368"/>
      <c r="L636" s="369">
        <f>TRUNC(SUM(L630:L635))</f>
        <v>2742</v>
      </c>
      <c r="M636" s="368"/>
      <c r="N636" s="369">
        <f>TRUNC(SUM(N630:N635))</f>
        <v>0</v>
      </c>
      <c r="O636" s="368" t="str">
        <f t="shared" si="93"/>
        <v/>
      </c>
      <c r="P636" s="368">
        <f t="shared" si="94"/>
        <v>4746</v>
      </c>
      <c r="Q636" s="354"/>
      <c r="AC636" s="347">
        <f>TRUNC(AE636*옵션!$B$36/100,1)</f>
        <v>54.8</v>
      </c>
      <c r="AD636" s="347">
        <f>TRUNC(SUM(L630:L634))</f>
        <v>2742</v>
      </c>
      <c r="AE636" s="347">
        <f>TRUNC(SUM(AE630:AE635))</f>
        <v>2742</v>
      </c>
    </row>
    <row r="637" spans="1:31" ht="23.25" customHeight="1">
      <c r="D637" s="354"/>
      <c r="E637" s="354"/>
      <c r="F637" s="355"/>
      <c r="G637" s="368"/>
      <c r="H637" s="368"/>
      <c r="I637" s="369"/>
      <c r="J637" s="368"/>
      <c r="K637" s="368"/>
      <c r="L637" s="369"/>
      <c r="M637" s="368"/>
      <c r="N637" s="369"/>
      <c r="O637" s="368"/>
      <c r="P637" s="368"/>
      <c r="Q637" s="354"/>
    </row>
    <row r="638" spans="1:31" ht="23.25" customHeight="1">
      <c r="A638" s="344" t="s">
        <v>647</v>
      </c>
      <c r="B638" s="344" t="s">
        <v>1833</v>
      </c>
      <c r="C638" s="365" t="s">
        <v>2176</v>
      </c>
      <c r="D638" s="714" t="s">
        <v>2177</v>
      </c>
      <c r="E638" s="715"/>
      <c r="F638" s="355"/>
      <c r="G638" s="368"/>
      <c r="H638" s="368"/>
      <c r="I638" s="369"/>
      <c r="J638" s="368"/>
      <c r="K638" s="368"/>
      <c r="L638" s="369"/>
      <c r="M638" s="368"/>
      <c r="N638" s="369"/>
      <c r="O638" s="368"/>
      <c r="P638" s="368"/>
      <c r="Q638" s="354"/>
    </row>
    <row r="639" spans="1:31" ht="23.25" customHeight="1">
      <c r="A639" s="344" t="s">
        <v>2178</v>
      </c>
      <c r="B639" s="344" t="s">
        <v>1650</v>
      </c>
      <c r="C639" s="365" t="s">
        <v>2178</v>
      </c>
      <c r="D639" s="354" t="s">
        <v>270</v>
      </c>
      <c r="E639" s="354" t="s">
        <v>275</v>
      </c>
      <c r="F639" s="355" t="s">
        <v>255</v>
      </c>
      <c r="G639" s="368">
        <v>1</v>
      </c>
      <c r="H639" s="368">
        <f>합산자재!H102</f>
        <v>1911.64337</v>
      </c>
      <c r="I639" s="369">
        <f>IF(G639*H639&lt;&gt;0, TRUNC(G639*H639, 1), "")</f>
        <v>1911.6</v>
      </c>
      <c r="J639" s="368">
        <v>1</v>
      </c>
      <c r="K639" s="368">
        <f>합산자재!I102</f>
        <v>0</v>
      </c>
      <c r="L639" s="369" t="str">
        <f>IF(G639*K639&lt;&gt;0, TRUNC(G639*K639, 1), "")</f>
        <v/>
      </c>
      <c r="M639" s="368">
        <f>합산자재!J102</f>
        <v>0</v>
      </c>
      <c r="N639" s="369" t="str">
        <f>IF(G639*M639&lt;&gt;0, TRUNC(G639*M639, 1), "")</f>
        <v/>
      </c>
      <c r="O639" s="368">
        <f t="shared" ref="O639:O644" si="95">IF((H639+K639+M639)=0, "", (H639+K639+M639))</f>
        <v>1911.64337</v>
      </c>
      <c r="P639" s="368">
        <f t="shared" ref="P639:P644" si="96">IF(SUM(I639,L639,N639)&lt;&gt;0,SUM(I639,L639,N639),"")</f>
        <v>1911.6</v>
      </c>
      <c r="Q639" s="354"/>
      <c r="AC639" s="347">
        <f>G639*H639</f>
        <v>1911.64337</v>
      </c>
    </row>
    <row r="640" spans="1:31" ht="23.25" customHeight="1">
      <c r="A640" s="344" t="s">
        <v>1885</v>
      </c>
      <c r="B640" s="344" t="s">
        <v>1650</v>
      </c>
      <c r="C640" s="365" t="s">
        <v>1885</v>
      </c>
      <c r="D640" s="354" t="s">
        <v>1886</v>
      </c>
      <c r="E640" s="354" t="s">
        <v>1887</v>
      </c>
      <c r="F640" s="355" t="s">
        <v>212</v>
      </c>
      <c r="G640" s="368">
        <v>1</v>
      </c>
      <c r="H640" s="368">
        <f>IF(TRUNC((AD640+AC640)/$AD$3,1)*$AD$3-AD640 &lt;0, AC640, TRUNC((AD640+AC640)/$AD$3,1)*$AD$3-AD640)</f>
        <v>38.200000000000045</v>
      </c>
      <c r="I640" s="369">
        <f>H640</f>
        <v>38.200000000000045</v>
      </c>
      <c r="J640" s="368">
        <v>1</v>
      </c>
      <c r="K640" s="368"/>
      <c r="L640" s="369" t="str">
        <f>IF(G640*K640&lt;&gt;0, TRUNC(G640*K640, 1), "")</f>
        <v/>
      </c>
      <c r="M640" s="368"/>
      <c r="N640" s="369" t="str">
        <f>IF(G640*M640&lt;&gt;0, TRUNC(G640*M640, 1), "")</f>
        <v/>
      </c>
      <c r="O640" s="368">
        <f t="shared" si="95"/>
        <v>38.200000000000045</v>
      </c>
      <c r="P640" s="368">
        <f t="shared" si="96"/>
        <v>38.200000000000045</v>
      </c>
      <c r="Q640" s="354"/>
      <c r="AC640" s="347">
        <f>TRUNC(TRUNC(SUM(AC638:AC639))*옵션!$B$33/100,1)</f>
        <v>38.200000000000003</v>
      </c>
      <c r="AD640" s="347">
        <f>TRUNC(SUM(I638:I639))+TRUNC(SUM(N638:N639))</f>
        <v>1911</v>
      </c>
    </row>
    <row r="641" spans="1:31" ht="23.25" customHeight="1">
      <c r="A641" s="344" t="s">
        <v>1991</v>
      </c>
      <c r="B641" s="344" t="s">
        <v>1650</v>
      </c>
      <c r="C641" s="365" t="s">
        <v>1991</v>
      </c>
      <c r="D641" s="354" t="s">
        <v>1664</v>
      </c>
      <c r="E641" s="354" t="s">
        <v>1992</v>
      </c>
      <c r="F641" s="355" t="s">
        <v>1852</v>
      </c>
      <c r="G641" s="368">
        <f>일위노임!G294</f>
        <v>7.28E-3</v>
      </c>
      <c r="H641" s="368">
        <f>합산자재!H121</f>
        <v>0</v>
      </c>
      <c r="I641" s="369" t="str">
        <f>IF(G641*H641&lt;&gt;0, TRUNC(G641*H641, 1), "")</f>
        <v/>
      </c>
      <c r="J641" s="368">
        <v>7.2899999999999996E-3</v>
      </c>
      <c r="K641" s="368">
        <f>합산자재!I121</f>
        <v>240586.38331</v>
      </c>
      <c r="L641" s="369">
        <f>IF(G641*K641&lt;&gt;0, TRUNC(G641*K641, 1), "")</f>
        <v>1751.4</v>
      </c>
      <c r="M641" s="368">
        <f>합산자재!J121</f>
        <v>0</v>
      </c>
      <c r="N641" s="369" t="str">
        <f>IF(G641*M641&lt;&gt;0, TRUNC(G641*M641, 1), "")</f>
        <v/>
      </c>
      <c r="O641" s="368">
        <f t="shared" si="95"/>
        <v>240586.38331</v>
      </c>
      <c r="P641" s="368">
        <f t="shared" si="96"/>
        <v>1751.4</v>
      </c>
      <c r="Q641" s="354"/>
      <c r="AE641" s="347">
        <f>L641</f>
        <v>1751.4</v>
      </c>
    </row>
    <row r="642" spans="1:31" ht="23.25" customHeight="1">
      <c r="A642" s="344" t="s">
        <v>1888</v>
      </c>
      <c r="B642" s="344" t="s">
        <v>1650</v>
      </c>
      <c r="C642" s="365" t="s">
        <v>1888</v>
      </c>
      <c r="D642" s="354" t="s">
        <v>1664</v>
      </c>
      <c r="E642" s="354" t="s">
        <v>1889</v>
      </c>
      <c r="F642" s="355" t="s">
        <v>1852</v>
      </c>
      <c r="G642" s="368">
        <f>일위노임!G295</f>
        <v>7.28E-3</v>
      </c>
      <c r="H642" s="368">
        <f>합산자재!H125</f>
        <v>0</v>
      </c>
      <c r="I642" s="369" t="str">
        <f>IF(G642*H642&lt;&gt;0, TRUNC(G642*H642, 1), "")</f>
        <v/>
      </c>
      <c r="J642" s="368">
        <v>7.2899999999999996E-3</v>
      </c>
      <c r="K642" s="368">
        <f>합산자재!I125</f>
        <v>131495.20930000002</v>
      </c>
      <c r="L642" s="369">
        <f>IF(G642*K642&lt;&gt;0, TRUNC(G642*K642, 1), "")</f>
        <v>957.2</v>
      </c>
      <c r="M642" s="368">
        <f>합산자재!J125</f>
        <v>0</v>
      </c>
      <c r="N642" s="369" t="str">
        <f>IF(G642*M642&lt;&gt;0, TRUNC(G642*M642, 1), "")</f>
        <v/>
      </c>
      <c r="O642" s="368">
        <f t="shared" si="95"/>
        <v>131495.20930000002</v>
      </c>
      <c r="P642" s="368">
        <f t="shared" si="96"/>
        <v>957.2</v>
      </c>
      <c r="Q642" s="354"/>
      <c r="AE642" s="347">
        <f>L642</f>
        <v>957.2</v>
      </c>
    </row>
    <row r="643" spans="1:31" ht="23.25" customHeight="1">
      <c r="A643" s="344" t="s">
        <v>1853</v>
      </c>
      <c r="B643" s="344" t="s">
        <v>1650</v>
      </c>
      <c r="C643" s="365" t="s">
        <v>1853</v>
      </c>
      <c r="D643" s="354" t="s">
        <v>1854</v>
      </c>
      <c r="E643" s="354" t="s">
        <v>1855</v>
      </c>
      <c r="F643" s="355" t="s">
        <v>212</v>
      </c>
      <c r="G643" s="368">
        <v>1</v>
      </c>
      <c r="H643" s="368">
        <f>IF(TRUNC((AD644+AC644)/$AE$3,1)*$AE$3-AD644 &lt;0, AC644, TRUNC((AD644+AC644)/$AE$3,1)*$AE$3-AD644)</f>
        <v>54.099999999999909</v>
      </c>
      <c r="I643" s="369">
        <f>H643</f>
        <v>54.099999999999909</v>
      </c>
      <c r="J643" s="368">
        <v>1</v>
      </c>
      <c r="K643" s="368"/>
      <c r="L643" s="369" t="str">
        <f>IF(G643*K643&lt;&gt;0, TRUNC(G643*K643, 1), "")</f>
        <v/>
      </c>
      <c r="M643" s="368"/>
      <c r="N643" s="369" t="str">
        <f>IF(G643*M643&lt;&gt;0, TRUNC(G643*M643, 1), "")</f>
        <v/>
      </c>
      <c r="O643" s="368">
        <f t="shared" si="95"/>
        <v>54.099999999999909</v>
      </c>
      <c r="P643" s="368">
        <f t="shared" si="96"/>
        <v>54.099999999999909</v>
      </c>
      <c r="Q643" s="354"/>
    </row>
    <row r="644" spans="1:31" ht="23.25" customHeight="1">
      <c r="B644" s="344" t="s">
        <v>715</v>
      </c>
      <c r="D644" s="354" t="s">
        <v>216</v>
      </c>
      <c r="E644" s="354"/>
      <c r="F644" s="355"/>
      <c r="G644" s="368"/>
      <c r="H644" s="368"/>
      <c r="I644" s="369">
        <f>TRUNC(SUM(I638:I643))</f>
        <v>2003</v>
      </c>
      <c r="J644" s="368"/>
      <c r="K644" s="368"/>
      <c r="L644" s="369">
        <f>TRUNC(SUM(L638:L643))</f>
        <v>2708</v>
      </c>
      <c r="M644" s="368"/>
      <c r="N644" s="369">
        <f>TRUNC(SUM(N638:N643))</f>
        <v>0</v>
      </c>
      <c r="O644" s="368" t="str">
        <f t="shared" si="95"/>
        <v/>
      </c>
      <c r="P644" s="368">
        <f t="shared" si="96"/>
        <v>4711</v>
      </c>
      <c r="Q644" s="354"/>
      <c r="AC644" s="347">
        <f>TRUNC(AE644*옵션!$B$36/100,1)</f>
        <v>54.1</v>
      </c>
      <c r="AD644" s="347">
        <f>TRUNC(SUM(L638:L642))</f>
        <v>2708</v>
      </c>
      <c r="AE644" s="347">
        <f>TRUNC(SUM(AE638:AE643))</f>
        <v>2708</v>
      </c>
    </row>
    <row r="645" spans="1:31" ht="23.25" customHeight="1">
      <c r="D645" s="354"/>
      <c r="E645" s="354"/>
      <c r="F645" s="355"/>
      <c r="G645" s="368"/>
      <c r="H645" s="368"/>
      <c r="I645" s="369"/>
      <c r="J645" s="368"/>
      <c r="K645" s="368"/>
      <c r="L645" s="369"/>
      <c r="M645" s="368"/>
      <c r="N645" s="369"/>
      <c r="O645" s="368"/>
      <c r="P645" s="368"/>
      <c r="Q645" s="354"/>
    </row>
    <row r="646" spans="1:31" ht="23.25" customHeight="1">
      <c r="A646" s="344" t="s">
        <v>981</v>
      </c>
      <c r="B646" s="344" t="s">
        <v>1833</v>
      </c>
      <c r="C646" s="365" t="s">
        <v>2179</v>
      </c>
      <c r="D646" s="714" t="s">
        <v>2180</v>
      </c>
      <c r="E646" s="715"/>
      <c r="F646" s="355"/>
      <c r="G646" s="368"/>
      <c r="H646" s="368"/>
      <c r="I646" s="369"/>
      <c r="J646" s="368"/>
      <c r="K646" s="368"/>
      <c r="L646" s="369"/>
      <c r="M646" s="368"/>
      <c r="N646" s="369"/>
      <c r="O646" s="368"/>
      <c r="P646" s="368"/>
      <c r="Q646" s="354"/>
    </row>
    <row r="647" spans="1:31" ht="23.25" customHeight="1">
      <c r="A647" s="344" t="s">
        <v>2181</v>
      </c>
      <c r="B647" s="344" t="s">
        <v>1652</v>
      </c>
      <c r="C647" s="365" t="s">
        <v>2181</v>
      </c>
      <c r="D647" s="354" t="s">
        <v>270</v>
      </c>
      <c r="E647" s="354" t="s">
        <v>538</v>
      </c>
      <c r="F647" s="355" t="s">
        <v>255</v>
      </c>
      <c r="G647" s="368">
        <v>1</v>
      </c>
      <c r="H647" s="368">
        <f>합산자재!H104</f>
        <v>1452.1052000000002</v>
      </c>
      <c r="I647" s="369">
        <f>IF(G647*H647&lt;&gt;0, TRUNC(G647*H647, 1), "")</f>
        <v>1452.1</v>
      </c>
      <c r="J647" s="368">
        <v>1</v>
      </c>
      <c r="K647" s="368">
        <f>합산자재!I104</f>
        <v>0</v>
      </c>
      <c r="L647" s="369" t="str">
        <f>IF(G647*K647&lt;&gt;0, TRUNC(G647*K647, 1), "")</f>
        <v/>
      </c>
      <c r="M647" s="368">
        <f>합산자재!J104</f>
        <v>0</v>
      </c>
      <c r="N647" s="369" t="str">
        <f>IF(G647*M647&lt;&gt;0, TRUNC(G647*M647, 1), "")</f>
        <v/>
      </c>
      <c r="O647" s="368">
        <f t="shared" ref="O647:O652" si="97">IF((H647+K647+M647)=0, "", (H647+K647+M647))</f>
        <v>1452.1052000000002</v>
      </c>
      <c r="P647" s="368">
        <f t="shared" ref="P647:P652" si="98">IF(SUM(I647,L647,N647)&lt;&gt;0,SUM(I647,L647,N647),"")</f>
        <v>1452.1</v>
      </c>
      <c r="Q647" s="354"/>
      <c r="AC647" s="347">
        <f>G647*H647</f>
        <v>1452.1052000000002</v>
      </c>
    </row>
    <row r="648" spans="1:31" ht="23.25" customHeight="1">
      <c r="A648" s="344" t="s">
        <v>1885</v>
      </c>
      <c r="B648" s="344" t="s">
        <v>1652</v>
      </c>
      <c r="C648" s="365" t="s">
        <v>1885</v>
      </c>
      <c r="D648" s="354" t="s">
        <v>1886</v>
      </c>
      <c r="E648" s="354" t="s">
        <v>1887</v>
      </c>
      <c r="F648" s="355" t="s">
        <v>212</v>
      </c>
      <c r="G648" s="368">
        <v>1</v>
      </c>
      <c r="H648" s="368">
        <f>IF(TRUNC((AD648+AC648)/$AD$3,1)*$AD$3-AD648 &lt;0, AC648, TRUNC((AD648+AC648)/$AD$3,1)*$AD$3-AD648)</f>
        <v>29</v>
      </c>
      <c r="I648" s="369">
        <f>H648</f>
        <v>29</v>
      </c>
      <c r="J648" s="368">
        <v>1</v>
      </c>
      <c r="K648" s="368"/>
      <c r="L648" s="369" t="str">
        <f>IF(G648*K648&lt;&gt;0, TRUNC(G648*K648, 1), "")</f>
        <v/>
      </c>
      <c r="M648" s="368"/>
      <c r="N648" s="369" t="str">
        <f>IF(G648*M648&lt;&gt;0, TRUNC(G648*M648, 1), "")</f>
        <v/>
      </c>
      <c r="O648" s="368">
        <f t="shared" si="97"/>
        <v>29</v>
      </c>
      <c r="P648" s="368">
        <f t="shared" si="98"/>
        <v>29</v>
      </c>
      <c r="Q648" s="354"/>
      <c r="AC648" s="347">
        <f>TRUNC(TRUNC(SUM(AC646:AC647))*옵션!$B$33/100,1)</f>
        <v>29</v>
      </c>
      <c r="AD648" s="347">
        <f>TRUNC(SUM(I646:I647))+TRUNC(SUM(N646:N647))</f>
        <v>1452</v>
      </c>
    </row>
    <row r="649" spans="1:31" ht="23.25" customHeight="1">
      <c r="A649" s="344" t="s">
        <v>1991</v>
      </c>
      <c r="B649" s="344" t="s">
        <v>1652</v>
      </c>
      <c r="C649" s="365" t="s">
        <v>1991</v>
      </c>
      <c r="D649" s="354" t="s">
        <v>1664</v>
      </c>
      <c r="E649" s="354" t="s">
        <v>1992</v>
      </c>
      <c r="F649" s="355" t="s">
        <v>1852</v>
      </c>
      <c r="G649" s="368">
        <f>일위노임!G299</f>
        <v>4.62E-3</v>
      </c>
      <c r="H649" s="368">
        <f>합산자재!H121</f>
        <v>0</v>
      </c>
      <c r="I649" s="369" t="str">
        <f>IF(G649*H649&lt;&gt;0, TRUNC(G649*H649, 1), "")</f>
        <v/>
      </c>
      <c r="J649" s="368">
        <v>4.62E-3</v>
      </c>
      <c r="K649" s="368">
        <f>합산자재!I121</f>
        <v>240586.38331</v>
      </c>
      <c r="L649" s="369">
        <f>IF(G649*K649&lt;&gt;0, TRUNC(G649*K649, 1), "")</f>
        <v>1111.5</v>
      </c>
      <c r="M649" s="368">
        <f>합산자재!J121</f>
        <v>0</v>
      </c>
      <c r="N649" s="369" t="str">
        <f>IF(G649*M649&lt;&gt;0, TRUNC(G649*M649, 1), "")</f>
        <v/>
      </c>
      <c r="O649" s="368">
        <f t="shared" si="97"/>
        <v>240586.38331</v>
      </c>
      <c r="P649" s="368">
        <f t="shared" si="98"/>
        <v>1111.5</v>
      </c>
      <c r="Q649" s="354"/>
      <c r="AE649" s="347">
        <f>L649</f>
        <v>1111.5</v>
      </c>
    </row>
    <row r="650" spans="1:31" ht="23.25" customHeight="1">
      <c r="A650" s="344" t="s">
        <v>1888</v>
      </c>
      <c r="B650" s="344" t="s">
        <v>1652</v>
      </c>
      <c r="C650" s="365" t="s">
        <v>1888</v>
      </c>
      <c r="D650" s="354" t="s">
        <v>1664</v>
      </c>
      <c r="E650" s="354" t="s">
        <v>1889</v>
      </c>
      <c r="F650" s="355" t="s">
        <v>1852</v>
      </c>
      <c r="G650" s="368">
        <f>일위노임!G300</f>
        <v>4.62E-3</v>
      </c>
      <c r="H650" s="368">
        <f>합산자재!H125</f>
        <v>0</v>
      </c>
      <c r="I650" s="369" t="str">
        <f>IF(G650*H650&lt;&gt;0, TRUNC(G650*H650, 1), "")</f>
        <v/>
      </c>
      <c r="J650" s="368">
        <v>4.62E-3</v>
      </c>
      <c r="K650" s="368">
        <f>합산자재!I125</f>
        <v>131495.20930000002</v>
      </c>
      <c r="L650" s="369">
        <f>IF(G650*K650&lt;&gt;0, TRUNC(G650*K650, 1), "")</f>
        <v>607.5</v>
      </c>
      <c r="M650" s="368">
        <f>합산자재!J125</f>
        <v>0</v>
      </c>
      <c r="N650" s="369" t="str">
        <f>IF(G650*M650&lt;&gt;0, TRUNC(G650*M650, 1), "")</f>
        <v/>
      </c>
      <c r="O650" s="368">
        <f t="shared" si="97"/>
        <v>131495.20930000002</v>
      </c>
      <c r="P650" s="368">
        <f t="shared" si="98"/>
        <v>607.5</v>
      </c>
      <c r="Q650" s="354"/>
      <c r="AE650" s="347">
        <f>L650</f>
        <v>607.5</v>
      </c>
    </row>
    <row r="651" spans="1:31" ht="23.25" customHeight="1">
      <c r="A651" s="344" t="s">
        <v>1853</v>
      </c>
      <c r="B651" s="344" t="s">
        <v>1652</v>
      </c>
      <c r="C651" s="365" t="s">
        <v>1853</v>
      </c>
      <c r="D651" s="354" t="s">
        <v>1854</v>
      </c>
      <c r="E651" s="354" t="s">
        <v>1855</v>
      </c>
      <c r="F651" s="355" t="s">
        <v>212</v>
      </c>
      <c r="G651" s="368">
        <v>1</v>
      </c>
      <c r="H651" s="368">
        <f>IF(TRUNC((AD652+AC652)/$AE$3,1)*$AE$3-AD652 &lt;0, AC652, TRUNC((AD652+AC652)/$AE$3,1)*$AE$3-AD652)</f>
        <v>34.299999999999955</v>
      </c>
      <c r="I651" s="369">
        <f>H651</f>
        <v>34.299999999999955</v>
      </c>
      <c r="J651" s="368">
        <v>1</v>
      </c>
      <c r="K651" s="368"/>
      <c r="L651" s="369" t="str">
        <f>IF(G651*K651&lt;&gt;0, TRUNC(G651*K651, 1), "")</f>
        <v/>
      </c>
      <c r="M651" s="368"/>
      <c r="N651" s="369" t="str">
        <f>IF(G651*M651&lt;&gt;0, TRUNC(G651*M651, 1), "")</f>
        <v/>
      </c>
      <c r="O651" s="368">
        <f t="shared" si="97"/>
        <v>34.299999999999955</v>
      </c>
      <c r="P651" s="368">
        <f t="shared" si="98"/>
        <v>34.299999999999955</v>
      </c>
      <c r="Q651" s="354"/>
    </row>
    <row r="652" spans="1:31" ht="23.25" customHeight="1">
      <c r="B652" s="344" t="s">
        <v>715</v>
      </c>
      <c r="D652" s="354" t="s">
        <v>216</v>
      </c>
      <c r="E652" s="354"/>
      <c r="F652" s="355"/>
      <c r="G652" s="368"/>
      <c r="H652" s="368"/>
      <c r="I652" s="369">
        <f>TRUNC(SUM(I646:I651))</f>
        <v>1515</v>
      </c>
      <c r="J652" s="368"/>
      <c r="K652" s="368"/>
      <c r="L652" s="369">
        <f>TRUNC(SUM(L646:L651))</f>
        <v>1719</v>
      </c>
      <c r="M652" s="368"/>
      <c r="N652" s="369">
        <f>TRUNC(SUM(N646:N651))</f>
        <v>0</v>
      </c>
      <c r="O652" s="368" t="str">
        <f t="shared" si="97"/>
        <v/>
      </c>
      <c r="P652" s="368">
        <f t="shared" si="98"/>
        <v>3234</v>
      </c>
      <c r="Q652" s="354"/>
      <c r="AC652" s="347">
        <f>TRUNC(AE652*옵션!$B$36/100,1)</f>
        <v>34.299999999999997</v>
      </c>
      <c r="AD652" s="347">
        <f>TRUNC(SUM(L646:L650))</f>
        <v>1719</v>
      </c>
      <c r="AE652" s="347">
        <f>TRUNC(SUM(AE646:AE651))</f>
        <v>1719</v>
      </c>
    </row>
    <row r="653" spans="1:31" ht="23.25" customHeight="1">
      <c r="D653" s="354"/>
      <c r="E653" s="354"/>
      <c r="F653" s="355"/>
      <c r="G653" s="368"/>
      <c r="H653" s="368"/>
      <c r="I653" s="369"/>
      <c r="J653" s="368"/>
      <c r="K653" s="368"/>
      <c r="L653" s="369"/>
      <c r="M653" s="368"/>
      <c r="N653" s="369"/>
      <c r="O653" s="368"/>
      <c r="P653" s="368"/>
      <c r="Q653" s="354"/>
    </row>
    <row r="654" spans="1:31" ht="23.25" customHeight="1">
      <c r="A654" s="344" t="s">
        <v>984</v>
      </c>
      <c r="B654" s="344" t="s">
        <v>1833</v>
      </c>
      <c r="C654" s="365" t="s">
        <v>2182</v>
      </c>
      <c r="D654" s="714" t="s">
        <v>2183</v>
      </c>
      <c r="E654" s="715"/>
      <c r="F654" s="355"/>
      <c r="G654" s="368"/>
      <c r="H654" s="368"/>
      <c r="I654" s="369"/>
      <c r="J654" s="368"/>
      <c r="K654" s="368"/>
      <c r="L654" s="369"/>
      <c r="M654" s="368"/>
      <c r="N654" s="369"/>
      <c r="O654" s="368"/>
      <c r="P654" s="368"/>
      <c r="Q654" s="354"/>
    </row>
    <row r="655" spans="1:31" ht="23.25" customHeight="1">
      <c r="A655" s="344" t="s">
        <v>2184</v>
      </c>
      <c r="B655" s="344" t="s">
        <v>1654</v>
      </c>
      <c r="C655" s="365" t="s">
        <v>2184</v>
      </c>
      <c r="D655" s="354" t="s">
        <v>270</v>
      </c>
      <c r="E655" s="354" t="s">
        <v>539</v>
      </c>
      <c r="F655" s="355" t="s">
        <v>255</v>
      </c>
      <c r="G655" s="368">
        <v>1</v>
      </c>
      <c r="H655" s="368">
        <f>합산자재!H105</f>
        <v>15646.43353</v>
      </c>
      <c r="I655" s="369">
        <f>IF(G655*H655&lt;&gt;0, TRUNC(G655*H655, 1), "")</f>
        <v>15646.4</v>
      </c>
      <c r="J655" s="368">
        <v>1</v>
      </c>
      <c r="K655" s="368">
        <f>합산자재!I105</f>
        <v>0</v>
      </c>
      <c r="L655" s="369" t="str">
        <f>IF(G655*K655&lt;&gt;0, TRUNC(G655*K655, 1), "")</f>
        <v/>
      </c>
      <c r="M655" s="368">
        <f>합산자재!J105</f>
        <v>0</v>
      </c>
      <c r="N655" s="369" t="str">
        <f>IF(G655*M655&lt;&gt;0, TRUNC(G655*M655, 1), "")</f>
        <v/>
      </c>
      <c r="O655" s="368">
        <f t="shared" ref="O655:O660" si="99">IF((H655+K655+M655)=0, "", (H655+K655+M655))</f>
        <v>15646.43353</v>
      </c>
      <c r="P655" s="368">
        <f t="shared" ref="P655:P660" si="100">IF(SUM(I655,L655,N655)&lt;&gt;0,SUM(I655,L655,N655),"")</f>
        <v>15646.4</v>
      </c>
      <c r="Q655" s="354"/>
      <c r="AC655" s="347">
        <f>G655*H655</f>
        <v>15646.43353</v>
      </c>
    </row>
    <row r="656" spans="1:31" ht="23.25" customHeight="1">
      <c r="A656" s="344" t="s">
        <v>1885</v>
      </c>
      <c r="B656" s="344" t="s">
        <v>1654</v>
      </c>
      <c r="C656" s="365" t="s">
        <v>1885</v>
      </c>
      <c r="D656" s="354" t="s">
        <v>1886</v>
      </c>
      <c r="E656" s="354" t="s">
        <v>1887</v>
      </c>
      <c r="F656" s="355" t="s">
        <v>212</v>
      </c>
      <c r="G656" s="368">
        <v>1</v>
      </c>
      <c r="H656" s="368">
        <f>IF(TRUNC((AD656+AC656)/$AD$3,1)*$AD$3-AD656 &lt;0, AC656, TRUNC((AD656+AC656)/$AD$3,1)*$AD$3-AD656)</f>
        <v>312.89999999999964</v>
      </c>
      <c r="I656" s="369">
        <f>H656</f>
        <v>312.89999999999964</v>
      </c>
      <c r="J656" s="368">
        <v>1</v>
      </c>
      <c r="K656" s="368"/>
      <c r="L656" s="369" t="str">
        <f>IF(G656*K656&lt;&gt;0, TRUNC(G656*K656, 1), "")</f>
        <v/>
      </c>
      <c r="M656" s="368"/>
      <c r="N656" s="369" t="str">
        <f>IF(G656*M656&lt;&gt;0, TRUNC(G656*M656, 1), "")</f>
        <v/>
      </c>
      <c r="O656" s="368">
        <f t="shared" si="99"/>
        <v>312.89999999999964</v>
      </c>
      <c r="P656" s="368">
        <f t="shared" si="100"/>
        <v>312.89999999999964</v>
      </c>
      <c r="Q656" s="354"/>
      <c r="AC656" s="347">
        <f>TRUNC(TRUNC(SUM(AC654:AC655))*옵션!$B$33/100,1)</f>
        <v>312.89999999999998</v>
      </c>
      <c r="AD656" s="347">
        <f>TRUNC(SUM(I654:I655))+TRUNC(SUM(N654:N655))</f>
        <v>15646</v>
      </c>
    </row>
    <row r="657" spans="1:31" ht="23.25" customHeight="1">
      <c r="A657" s="344" t="s">
        <v>1991</v>
      </c>
      <c r="B657" s="344" t="s">
        <v>1654</v>
      </c>
      <c r="C657" s="365" t="s">
        <v>1991</v>
      </c>
      <c r="D657" s="354" t="s">
        <v>1664</v>
      </c>
      <c r="E657" s="354" t="s">
        <v>1992</v>
      </c>
      <c r="F657" s="355" t="s">
        <v>1852</v>
      </c>
      <c r="G657" s="368">
        <f>일위노임!G304</f>
        <v>1.7100000000000001E-2</v>
      </c>
      <c r="H657" s="368">
        <f>합산자재!H121</f>
        <v>0</v>
      </c>
      <c r="I657" s="369" t="str">
        <f>IF(G657*H657&lt;&gt;0, TRUNC(G657*H657, 1), "")</f>
        <v/>
      </c>
      <c r="J657" s="368">
        <v>1.711E-2</v>
      </c>
      <c r="K657" s="368">
        <f>합산자재!I121</f>
        <v>240586.38331</v>
      </c>
      <c r="L657" s="369">
        <f>IF(G657*K657&lt;&gt;0, TRUNC(G657*K657, 1), "")</f>
        <v>4114</v>
      </c>
      <c r="M657" s="368">
        <f>합산자재!J121</f>
        <v>0</v>
      </c>
      <c r="N657" s="369" t="str">
        <f>IF(G657*M657&lt;&gt;0, TRUNC(G657*M657, 1), "")</f>
        <v/>
      </c>
      <c r="O657" s="368">
        <f t="shared" si="99"/>
        <v>240586.38331</v>
      </c>
      <c r="P657" s="368">
        <f t="shared" si="100"/>
        <v>4114</v>
      </c>
      <c r="Q657" s="354"/>
      <c r="AE657" s="347">
        <f>L657</f>
        <v>4114</v>
      </c>
    </row>
    <row r="658" spans="1:31" ht="23.25" customHeight="1">
      <c r="A658" s="344" t="s">
        <v>1888</v>
      </c>
      <c r="B658" s="344" t="s">
        <v>1654</v>
      </c>
      <c r="C658" s="365" t="s">
        <v>1888</v>
      </c>
      <c r="D658" s="354" t="s">
        <v>1664</v>
      </c>
      <c r="E658" s="354" t="s">
        <v>1889</v>
      </c>
      <c r="F658" s="355" t="s">
        <v>1852</v>
      </c>
      <c r="G658" s="368">
        <f>일위노임!G305</f>
        <v>1.7100000000000001E-2</v>
      </c>
      <c r="H658" s="368">
        <f>합산자재!H125</f>
        <v>0</v>
      </c>
      <c r="I658" s="369" t="str">
        <f>IF(G658*H658&lt;&gt;0, TRUNC(G658*H658, 1), "")</f>
        <v/>
      </c>
      <c r="J658" s="368">
        <v>1.711E-2</v>
      </c>
      <c r="K658" s="368">
        <f>합산자재!I125</f>
        <v>131495.20930000002</v>
      </c>
      <c r="L658" s="369">
        <f>IF(G658*K658&lt;&gt;0, TRUNC(G658*K658, 1), "")</f>
        <v>2248.5</v>
      </c>
      <c r="M658" s="368">
        <f>합산자재!J125</f>
        <v>0</v>
      </c>
      <c r="N658" s="369" t="str">
        <f>IF(G658*M658&lt;&gt;0, TRUNC(G658*M658, 1), "")</f>
        <v/>
      </c>
      <c r="O658" s="368">
        <f t="shared" si="99"/>
        <v>131495.20930000002</v>
      </c>
      <c r="P658" s="368">
        <f t="shared" si="100"/>
        <v>2248.5</v>
      </c>
      <c r="Q658" s="354"/>
      <c r="AE658" s="347">
        <f>L658</f>
        <v>2248.5</v>
      </c>
    </row>
    <row r="659" spans="1:31" ht="23.25" customHeight="1">
      <c r="A659" s="344" t="s">
        <v>1853</v>
      </c>
      <c r="B659" s="344" t="s">
        <v>1654</v>
      </c>
      <c r="C659" s="365" t="s">
        <v>1853</v>
      </c>
      <c r="D659" s="354" t="s">
        <v>1854</v>
      </c>
      <c r="E659" s="354" t="s">
        <v>1855</v>
      </c>
      <c r="F659" s="355" t="s">
        <v>212</v>
      </c>
      <c r="G659" s="368">
        <v>1</v>
      </c>
      <c r="H659" s="368">
        <f>IF(TRUNC((AD660+AC660)/$AE$3,1)*$AE$3-AD660 &lt;0, AC660, TRUNC((AD660+AC660)/$AE$3,1)*$AE$3-AD660)</f>
        <v>127.19999999999982</v>
      </c>
      <c r="I659" s="369">
        <f>H659</f>
        <v>127.19999999999982</v>
      </c>
      <c r="J659" s="368">
        <v>1</v>
      </c>
      <c r="K659" s="368"/>
      <c r="L659" s="369" t="str">
        <f>IF(G659*K659&lt;&gt;0, TRUNC(G659*K659, 1), "")</f>
        <v/>
      </c>
      <c r="M659" s="368"/>
      <c r="N659" s="369" t="str">
        <f>IF(G659*M659&lt;&gt;0, TRUNC(G659*M659, 1), "")</f>
        <v/>
      </c>
      <c r="O659" s="368">
        <f t="shared" si="99"/>
        <v>127.19999999999982</v>
      </c>
      <c r="P659" s="368">
        <f t="shared" si="100"/>
        <v>127.19999999999982</v>
      </c>
      <c r="Q659" s="354"/>
    </row>
    <row r="660" spans="1:31" ht="23.25" customHeight="1">
      <c r="B660" s="344" t="s">
        <v>715</v>
      </c>
      <c r="D660" s="354" t="s">
        <v>216</v>
      </c>
      <c r="E660" s="354"/>
      <c r="F660" s="355"/>
      <c r="G660" s="368"/>
      <c r="H660" s="368"/>
      <c r="I660" s="369">
        <f>TRUNC(SUM(I654:I659))</f>
        <v>16086</v>
      </c>
      <c r="J660" s="368"/>
      <c r="K660" s="368"/>
      <c r="L660" s="369">
        <f>TRUNC(SUM(L654:L659))</f>
        <v>6362</v>
      </c>
      <c r="M660" s="368"/>
      <c r="N660" s="369">
        <f>TRUNC(SUM(N654:N659))</f>
        <v>0</v>
      </c>
      <c r="O660" s="368" t="str">
        <f t="shared" si="99"/>
        <v/>
      </c>
      <c r="P660" s="368">
        <f t="shared" si="100"/>
        <v>22448</v>
      </c>
      <c r="Q660" s="354"/>
      <c r="AC660" s="347">
        <f>TRUNC(AE660*옵션!$B$36/100,1)</f>
        <v>127.2</v>
      </c>
      <c r="AD660" s="347">
        <f>TRUNC(SUM(L654:L658))</f>
        <v>6362</v>
      </c>
      <c r="AE660" s="347">
        <f>TRUNC(SUM(AE654:AE659))</f>
        <v>6362</v>
      </c>
    </row>
    <row r="661" spans="1:31" ht="23.25" customHeight="1">
      <c r="D661" s="354"/>
      <c r="E661" s="354"/>
      <c r="F661" s="355"/>
      <c r="G661" s="368"/>
      <c r="H661" s="368"/>
      <c r="I661" s="369"/>
      <c r="J661" s="368"/>
      <c r="K661" s="368"/>
      <c r="L661" s="369"/>
      <c r="M661" s="368"/>
      <c r="N661" s="369"/>
      <c r="O661" s="368"/>
      <c r="P661" s="368"/>
      <c r="Q661" s="354"/>
    </row>
    <row r="662" spans="1:31" ht="23.25" customHeight="1">
      <c r="A662" s="344" t="s">
        <v>969</v>
      </c>
      <c r="B662" s="344" t="s">
        <v>1833</v>
      </c>
      <c r="C662" s="365" t="s">
        <v>2185</v>
      </c>
      <c r="D662" s="714" t="s">
        <v>2186</v>
      </c>
      <c r="E662" s="715"/>
      <c r="F662" s="355"/>
      <c r="G662" s="368"/>
      <c r="H662" s="368"/>
      <c r="I662" s="369"/>
      <c r="J662" s="368"/>
      <c r="K662" s="368"/>
      <c r="L662" s="369"/>
      <c r="M662" s="368"/>
      <c r="N662" s="369"/>
      <c r="O662" s="368"/>
      <c r="P662" s="368"/>
      <c r="Q662" s="354"/>
    </row>
    <row r="663" spans="1:31" ht="23.25" customHeight="1">
      <c r="A663" s="344" t="s">
        <v>2187</v>
      </c>
      <c r="B663" s="344" t="s">
        <v>1656</v>
      </c>
      <c r="C663" s="365" t="s">
        <v>2187</v>
      </c>
      <c r="D663" s="354" t="s">
        <v>256</v>
      </c>
      <c r="E663" s="354" t="s">
        <v>534</v>
      </c>
      <c r="F663" s="355" t="s">
        <v>255</v>
      </c>
      <c r="G663" s="368">
        <v>1</v>
      </c>
      <c r="H663" s="368">
        <f>합산자재!H106</f>
        <v>270.05615</v>
      </c>
      <c r="I663" s="369">
        <f>IF(G663*H663&lt;&gt;0, TRUNC(G663*H663, 1), "")</f>
        <v>270</v>
      </c>
      <c r="J663" s="368">
        <v>1</v>
      </c>
      <c r="K663" s="368">
        <f>합산자재!I106</f>
        <v>0</v>
      </c>
      <c r="L663" s="369" t="str">
        <f t="shared" ref="L663:L668" si="101">IF(G663*K663&lt;&gt;0, TRUNC(G663*K663, 1), "")</f>
        <v/>
      </c>
      <c r="M663" s="368">
        <f>합산자재!J106</f>
        <v>0</v>
      </c>
      <c r="N663" s="369" t="str">
        <f t="shared" ref="N663:N668" si="102">IF(G663*M663&lt;&gt;0, TRUNC(G663*M663, 1), "")</f>
        <v/>
      </c>
      <c r="O663" s="368">
        <f t="shared" ref="O663:O669" si="103">IF((H663+K663+M663)=0, "", (H663+K663+M663))</f>
        <v>270.05615</v>
      </c>
      <c r="P663" s="368">
        <f t="shared" ref="P663:P669" si="104">IF(SUM(I663,L663,N663)&lt;&gt;0,SUM(I663,L663,N663),"")</f>
        <v>270</v>
      </c>
      <c r="Q663" s="354"/>
      <c r="AB663" s="347">
        <f>I663</f>
        <v>270</v>
      </c>
      <c r="AC663" s="347">
        <f>G663*H663</f>
        <v>270.05615</v>
      </c>
    </row>
    <row r="664" spans="1:31" ht="23.25" customHeight="1">
      <c r="A664" s="344" t="s">
        <v>1925</v>
      </c>
      <c r="B664" s="344" t="s">
        <v>1656</v>
      </c>
      <c r="C664" s="365" t="s">
        <v>1925</v>
      </c>
      <c r="D664" s="354" t="s">
        <v>1926</v>
      </c>
      <c r="E664" s="354" t="s">
        <v>1927</v>
      </c>
      <c r="F664" s="355" t="s">
        <v>212</v>
      </c>
      <c r="G664" s="368">
        <v>1</v>
      </c>
      <c r="H664" s="368">
        <f>TRUNC(AB664*옵션!$B$31/100,1)</f>
        <v>40.5</v>
      </c>
      <c r="I664" s="369">
        <f>IF(G664*H664&lt;&gt;0, TRUNC(G664*H664, 1), "")</f>
        <v>40.5</v>
      </c>
      <c r="J664" s="368">
        <v>1</v>
      </c>
      <c r="K664" s="368"/>
      <c r="L664" s="369" t="str">
        <f t="shared" si="101"/>
        <v/>
      </c>
      <c r="M664" s="368"/>
      <c r="N664" s="369" t="str">
        <f t="shared" si="102"/>
        <v/>
      </c>
      <c r="O664" s="368">
        <f t="shared" si="103"/>
        <v>40.5</v>
      </c>
      <c r="P664" s="368">
        <f t="shared" si="104"/>
        <v>40.5</v>
      </c>
      <c r="Q664" s="354"/>
      <c r="AB664" s="347">
        <f>TRUNC(SUM(AB662:AB663))</f>
        <v>270</v>
      </c>
    </row>
    <row r="665" spans="1:31" ht="23.25" customHeight="1">
      <c r="A665" s="344" t="s">
        <v>1885</v>
      </c>
      <c r="B665" s="344" t="s">
        <v>1656</v>
      </c>
      <c r="C665" s="365" t="s">
        <v>1885</v>
      </c>
      <c r="D665" s="354" t="s">
        <v>1886</v>
      </c>
      <c r="E665" s="354" t="s">
        <v>1887</v>
      </c>
      <c r="F665" s="355" t="s">
        <v>212</v>
      </c>
      <c r="G665" s="368">
        <v>1</v>
      </c>
      <c r="H665" s="368">
        <f>IF(TRUNC((AD665+AC665)/$AD$3,1)*$AD$3-AD665 &lt;0, AC665, TRUNC((AD665+AC665)/$AD$3,1)*$AD$3-AD665)</f>
        <v>5.3999999999999773</v>
      </c>
      <c r="I665" s="369">
        <f>H665</f>
        <v>5.3999999999999773</v>
      </c>
      <c r="J665" s="368">
        <v>1</v>
      </c>
      <c r="K665" s="368"/>
      <c r="L665" s="369" t="str">
        <f t="shared" si="101"/>
        <v/>
      </c>
      <c r="M665" s="368"/>
      <c r="N665" s="369" t="str">
        <f t="shared" si="102"/>
        <v/>
      </c>
      <c r="O665" s="368">
        <f t="shared" si="103"/>
        <v>5.3999999999999773</v>
      </c>
      <c r="P665" s="368">
        <f t="shared" si="104"/>
        <v>5.3999999999999773</v>
      </c>
      <c r="Q665" s="354"/>
      <c r="AC665" s="347">
        <f>TRUNC(TRUNC(SUM(AC662:AC664))*옵션!$B$33/100,1)</f>
        <v>5.4</v>
      </c>
      <c r="AD665" s="347">
        <f>TRUNC(SUM(I662:I664))+TRUNC(SUM(N662:N664))</f>
        <v>310</v>
      </c>
    </row>
    <row r="666" spans="1:31" ht="23.25" customHeight="1">
      <c r="A666" s="344" t="s">
        <v>1968</v>
      </c>
      <c r="B666" s="344" t="s">
        <v>1656</v>
      </c>
      <c r="C666" s="365" t="s">
        <v>1968</v>
      </c>
      <c r="D666" s="354" t="s">
        <v>1664</v>
      </c>
      <c r="E666" s="354" t="s">
        <v>1969</v>
      </c>
      <c r="F666" s="355" t="s">
        <v>1852</v>
      </c>
      <c r="G666" s="368">
        <f>일위노임!G309</f>
        <v>5.1000000000000004E-3</v>
      </c>
      <c r="H666" s="368">
        <f>합산자재!H123</f>
        <v>0</v>
      </c>
      <c r="I666" s="369" t="str">
        <f>IF(G666*H666&lt;&gt;0, TRUNC(G666*H666, 1), "")</f>
        <v/>
      </c>
      <c r="J666" s="368">
        <v>5.1000000000000004E-3</v>
      </c>
      <c r="K666" s="368">
        <f>합산자재!I123</f>
        <v>336167.66638000001</v>
      </c>
      <c r="L666" s="369">
        <f t="shared" si="101"/>
        <v>1714.4</v>
      </c>
      <c r="M666" s="368">
        <f>합산자재!J123</f>
        <v>0</v>
      </c>
      <c r="N666" s="369" t="str">
        <f t="shared" si="102"/>
        <v/>
      </c>
      <c r="O666" s="368">
        <f t="shared" si="103"/>
        <v>336167.66638000001</v>
      </c>
      <c r="P666" s="368">
        <f t="shared" si="104"/>
        <v>1714.4</v>
      </c>
      <c r="Q666" s="354"/>
      <c r="AE666" s="347">
        <f>L666</f>
        <v>1714.4</v>
      </c>
    </row>
    <row r="667" spans="1:31" ht="23.25" customHeight="1">
      <c r="A667" s="344" t="s">
        <v>1888</v>
      </c>
      <c r="B667" s="344" t="s">
        <v>1656</v>
      </c>
      <c r="C667" s="365" t="s">
        <v>1888</v>
      </c>
      <c r="D667" s="354" t="s">
        <v>1664</v>
      </c>
      <c r="E667" s="354" t="s">
        <v>1889</v>
      </c>
      <c r="F667" s="355" t="s">
        <v>1852</v>
      </c>
      <c r="G667" s="368">
        <f>일위노임!G310</f>
        <v>1.1900000000000001E-2</v>
      </c>
      <c r="H667" s="368">
        <f>합산자재!H125</f>
        <v>0</v>
      </c>
      <c r="I667" s="369" t="str">
        <f>IF(G667*H667&lt;&gt;0, TRUNC(G667*H667, 1), "")</f>
        <v/>
      </c>
      <c r="J667" s="368">
        <v>1.1900000000000001E-2</v>
      </c>
      <c r="K667" s="368">
        <f>합산자재!I125</f>
        <v>131495.20930000002</v>
      </c>
      <c r="L667" s="369">
        <f t="shared" si="101"/>
        <v>1564.7</v>
      </c>
      <c r="M667" s="368">
        <f>합산자재!J125</f>
        <v>0</v>
      </c>
      <c r="N667" s="369" t="str">
        <f t="shared" si="102"/>
        <v/>
      </c>
      <c r="O667" s="368">
        <f t="shared" si="103"/>
        <v>131495.20930000002</v>
      </c>
      <c r="P667" s="368">
        <f t="shared" si="104"/>
        <v>1564.7</v>
      </c>
      <c r="Q667" s="354"/>
      <c r="AE667" s="347">
        <f>L667</f>
        <v>1564.7</v>
      </c>
    </row>
    <row r="668" spans="1:31" ht="23.25" customHeight="1">
      <c r="A668" s="344" t="s">
        <v>1853</v>
      </c>
      <c r="B668" s="344" t="s">
        <v>1656</v>
      </c>
      <c r="C668" s="365" t="s">
        <v>1853</v>
      </c>
      <c r="D668" s="354" t="s">
        <v>1854</v>
      </c>
      <c r="E668" s="354" t="s">
        <v>1855</v>
      </c>
      <c r="F668" s="355" t="s">
        <v>212</v>
      </c>
      <c r="G668" s="368">
        <v>1</v>
      </c>
      <c r="H668" s="368">
        <f>IF(TRUNC((AD669+AC669)/$AE$3,1)*$AE$3-AD669 &lt;0, AC669, TRUNC((AD669+AC669)/$AE$3,1)*$AE$3-AD669)</f>
        <v>65.5</v>
      </c>
      <c r="I668" s="369">
        <f>H668</f>
        <v>65.5</v>
      </c>
      <c r="J668" s="368">
        <v>1</v>
      </c>
      <c r="K668" s="368"/>
      <c r="L668" s="369" t="str">
        <f t="shared" si="101"/>
        <v/>
      </c>
      <c r="M668" s="368"/>
      <c r="N668" s="369" t="str">
        <f t="shared" si="102"/>
        <v/>
      </c>
      <c r="O668" s="368">
        <f t="shared" si="103"/>
        <v>65.5</v>
      </c>
      <c r="P668" s="368">
        <f t="shared" si="104"/>
        <v>65.5</v>
      </c>
      <c r="Q668" s="354"/>
    </row>
    <row r="669" spans="1:31" ht="23.25" customHeight="1">
      <c r="B669" s="344" t="s">
        <v>715</v>
      </c>
      <c r="D669" s="354" t="s">
        <v>216</v>
      </c>
      <c r="E669" s="354"/>
      <c r="F669" s="355"/>
      <c r="G669" s="368"/>
      <c r="H669" s="368"/>
      <c r="I669" s="369">
        <f>TRUNC(SUM(I662:I668))</f>
        <v>381</v>
      </c>
      <c r="J669" s="368"/>
      <c r="K669" s="368"/>
      <c r="L669" s="369">
        <f>TRUNC(SUM(L662:L668))</f>
        <v>3279</v>
      </c>
      <c r="M669" s="368"/>
      <c r="N669" s="369">
        <f>TRUNC(SUM(N662:N668))</f>
        <v>0</v>
      </c>
      <c r="O669" s="368" t="str">
        <f t="shared" si="103"/>
        <v/>
      </c>
      <c r="P669" s="368">
        <f t="shared" si="104"/>
        <v>3660</v>
      </c>
      <c r="Q669" s="354"/>
      <c r="AC669" s="347">
        <f>TRUNC(AE669*옵션!$B$36/100,1)</f>
        <v>65.5</v>
      </c>
      <c r="AD669" s="347">
        <f>TRUNC(SUM(L662:L667))</f>
        <v>3279</v>
      </c>
      <c r="AE669" s="347">
        <f>TRUNC(SUM(AE662:AE668))</f>
        <v>3279</v>
      </c>
    </row>
    <row r="670" spans="1:31" ht="23.25" customHeight="1">
      <c r="D670" s="354"/>
      <c r="E670" s="354"/>
      <c r="F670" s="355"/>
      <c r="G670" s="368"/>
      <c r="H670" s="368"/>
      <c r="I670" s="369"/>
      <c r="J670" s="368"/>
      <c r="K670" s="368"/>
      <c r="L670" s="369"/>
      <c r="M670" s="368"/>
      <c r="N670" s="369"/>
      <c r="O670" s="368"/>
      <c r="P670" s="368"/>
      <c r="Q670" s="354"/>
    </row>
    <row r="671" spans="1:31" ht="23.25" customHeight="1">
      <c r="A671" s="344" t="s">
        <v>972</v>
      </c>
      <c r="B671" s="344" t="s">
        <v>1833</v>
      </c>
      <c r="C671" s="365" t="s">
        <v>2188</v>
      </c>
      <c r="D671" s="714" t="s">
        <v>2189</v>
      </c>
      <c r="E671" s="715"/>
      <c r="F671" s="355"/>
      <c r="G671" s="368"/>
      <c r="H671" s="368"/>
      <c r="I671" s="369"/>
      <c r="J671" s="368"/>
      <c r="K671" s="368"/>
      <c r="L671" s="369"/>
      <c r="M671" s="368"/>
      <c r="N671" s="369"/>
      <c r="O671" s="368"/>
      <c r="P671" s="368"/>
      <c r="Q671" s="354"/>
    </row>
    <row r="672" spans="1:31" ht="23.25" customHeight="1">
      <c r="A672" s="344" t="s">
        <v>2190</v>
      </c>
      <c r="B672" s="344" t="s">
        <v>1658</v>
      </c>
      <c r="C672" s="365" t="s">
        <v>2190</v>
      </c>
      <c r="D672" s="354" t="s">
        <v>256</v>
      </c>
      <c r="E672" s="354" t="s">
        <v>535</v>
      </c>
      <c r="F672" s="355" t="s">
        <v>255</v>
      </c>
      <c r="G672" s="368">
        <v>1</v>
      </c>
      <c r="H672" s="368">
        <f>합산자재!H107</f>
        <v>772.09496000000001</v>
      </c>
      <c r="I672" s="369">
        <f>IF(G672*H672&lt;&gt;0, TRUNC(G672*H672, 1), "")</f>
        <v>772</v>
      </c>
      <c r="J672" s="368">
        <v>1</v>
      </c>
      <c r="K672" s="368">
        <f>합산자재!I107</f>
        <v>0</v>
      </c>
      <c r="L672" s="369" t="str">
        <f t="shared" ref="L672:L677" si="105">IF(G672*K672&lt;&gt;0, TRUNC(G672*K672, 1), "")</f>
        <v/>
      </c>
      <c r="M672" s="368">
        <f>합산자재!J107</f>
        <v>0</v>
      </c>
      <c r="N672" s="369" t="str">
        <f t="shared" ref="N672:N677" si="106">IF(G672*M672&lt;&gt;0, TRUNC(G672*M672, 1), "")</f>
        <v/>
      </c>
      <c r="O672" s="368">
        <f t="shared" ref="O672:O678" si="107">IF((H672+K672+M672)=0, "", (H672+K672+M672))</f>
        <v>772.09496000000001</v>
      </c>
      <c r="P672" s="368">
        <f t="shared" ref="P672:P678" si="108">IF(SUM(I672,L672,N672)&lt;&gt;0,SUM(I672,L672,N672),"")</f>
        <v>772</v>
      </c>
      <c r="Q672" s="354"/>
      <c r="AB672" s="347">
        <f>I672</f>
        <v>772</v>
      </c>
      <c r="AC672" s="347">
        <f>G672*H672</f>
        <v>772.09496000000001</v>
      </c>
    </row>
    <row r="673" spans="1:31" ht="23.25" customHeight="1">
      <c r="A673" s="344" t="s">
        <v>1925</v>
      </c>
      <c r="B673" s="344" t="s">
        <v>1658</v>
      </c>
      <c r="C673" s="365" t="s">
        <v>1925</v>
      </c>
      <c r="D673" s="354" t="s">
        <v>1926</v>
      </c>
      <c r="E673" s="354" t="s">
        <v>1927</v>
      </c>
      <c r="F673" s="355" t="s">
        <v>212</v>
      </c>
      <c r="G673" s="368">
        <v>1</v>
      </c>
      <c r="H673" s="368">
        <f>TRUNC(AB673*옵션!$B$31/100,1)</f>
        <v>115.8</v>
      </c>
      <c r="I673" s="369">
        <f>IF(G673*H673&lt;&gt;0, TRUNC(G673*H673, 1), "")</f>
        <v>115.8</v>
      </c>
      <c r="J673" s="368">
        <v>1</v>
      </c>
      <c r="K673" s="368"/>
      <c r="L673" s="369" t="str">
        <f t="shared" si="105"/>
        <v/>
      </c>
      <c r="M673" s="368"/>
      <c r="N673" s="369" t="str">
        <f t="shared" si="106"/>
        <v/>
      </c>
      <c r="O673" s="368">
        <f t="shared" si="107"/>
        <v>115.8</v>
      </c>
      <c r="P673" s="368">
        <f t="shared" si="108"/>
        <v>115.8</v>
      </c>
      <c r="Q673" s="354"/>
      <c r="AB673" s="347">
        <f>TRUNC(SUM(AB671:AB672))</f>
        <v>772</v>
      </c>
    </row>
    <row r="674" spans="1:31" ht="23.25" customHeight="1">
      <c r="A674" s="344" t="s">
        <v>1885</v>
      </c>
      <c r="B674" s="344" t="s">
        <v>1658</v>
      </c>
      <c r="C674" s="365" t="s">
        <v>1885</v>
      </c>
      <c r="D674" s="354" t="s">
        <v>1886</v>
      </c>
      <c r="E674" s="354" t="s">
        <v>1887</v>
      </c>
      <c r="F674" s="355" t="s">
        <v>212</v>
      </c>
      <c r="G674" s="368">
        <v>1</v>
      </c>
      <c r="H674" s="368">
        <f>IF(TRUNC((AD674+AC674)/$AD$3,1)*$AD$3-AD674 &lt;0, AC674, TRUNC((AD674+AC674)/$AD$3,1)*$AD$3-AD674)</f>
        <v>15.399999999999977</v>
      </c>
      <c r="I674" s="369">
        <f>H674</f>
        <v>15.399999999999977</v>
      </c>
      <c r="J674" s="368">
        <v>1</v>
      </c>
      <c r="K674" s="368"/>
      <c r="L674" s="369" t="str">
        <f t="shared" si="105"/>
        <v/>
      </c>
      <c r="M674" s="368"/>
      <c r="N674" s="369" t="str">
        <f t="shared" si="106"/>
        <v/>
      </c>
      <c r="O674" s="368">
        <f t="shared" si="107"/>
        <v>15.399999999999977</v>
      </c>
      <c r="P674" s="368">
        <f t="shared" si="108"/>
        <v>15.399999999999977</v>
      </c>
      <c r="Q674" s="354"/>
      <c r="AC674" s="347">
        <f>TRUNC(TRUNC(SUM(AC671:AC673))*옵션!$B$33/100,1)</f>
        <v>15.4</v>
      </c>
      <c r="AD674" s="347">
        <f>TRUNC(SUM(I671:I673))+TRUNC(SUM(N671:N673))</f>
        <v>887</v>
      </c>
    </row>
    <row r="675" spans="1:31" ht="23.25" customHeight="1">
      <c r="A675" s="344" t="s">
        <v>1968</v>
      </c>
      <c r="B675" s="344" t="s">
        <v>1658</v>
      </c>
      <c r="C675" s="365" t="s">
        <v>1968</v>
      </c>
      <c r="D675" s="354" t="s">
        <v>1664</v>
      </c>
      <c r="E675" s="354" t="s">
        <v>1969</v>
      </c>
      <c r="F675" s="355" t="s">
        <v>1852</v>
      </c>
      <c r="G675" s="368">
        <f>일위노임!G314</f>
        <v>7.6499999999999997E-3</v>
      </c>
      <c r="H675" s="368">
        <f>합산자재!H123</f>
        <v>0</v>
      </c>
      <c r="I675" s="369" t="str">
        <f>IF(G675*H675&lt;&gt;0, TRUNC(G675*H675, 1), "")</f>
        <v/>
      </c>
      <c r="J675" s="368">
        <v>7.6499999999999997E-3</v>
      </c>
      <c r="K675" s="368">
        <f>합산자재!I123</f>
        <v>336167.66638000001</v>
      </c>
      <c r="L675" s="369">
        <f t="shared" si="105"/>
        <v>2571.6</v>
      </c>
      <c r="M675" s="368">
        <f>합산자재!J123</f>
        <v>0</v>
      </c>
      <c r="N675" s="369" t="str">
        <f t="shared" si="106"/>
        <v/>
      </c>
      <c r="O675" s="368">
        <f t="shared" si="107"/>
        <v>336167.66638000001</v>
      </c>
      <c r="P675" s="368">
        <f t="shared" si="108"/>
        <v>2571.6</v>
      </c>
      <c r="Q675" s="354"/>
      <c r="AE675" s="347">
        <f>L675</f>
        <v>2571.6</v>
      </c>
    </row>
    <row r="676" spans="1:31" ht="23.25" customHeight="1">
      <c r="A676" s="344" t="s">
        <v>1888</v>
      </c>
      <c r="B676" s="344" t="s">
        <v>1658</v>
      </c>
      <c r="C676" s="365" t="s">
        <v>1888</v>
      </c>
      <c r="D676" s="354" t="s">
        <v>1664</v>
      </c>
      <c r="E676" s="354" t="s">
        <v>1889</v>
      </c>
      <c r="F676" s="355" t="s">
        <v>1852</v>
      </c>
      <c r="G676" s="368">
        <f>일위노임!G315</f>
        <v>1.8700000000000001E-2</v>
      </c>
      <c r="H676" s="368">
        <f>합산자재!H125</f>
        <v>0</v>
      </c>
      <c r="I676" s="369" t="str">
        <f>IF(G676*H676&lt;&gt;0, TRUNC(G676*H676, 1), "")</f>
        <v/>
      </c>
      <c r="J676" s="368">
        <v>1.8700000000000001E-2</v>
      </c>
      <c r="K676" s="368">
        <f>합산자재!I125</f>
        <v>131495.20930000002</v>
      </c>
      <c r="L676" s="369">
        <f t="shared" si="105"/>
        <v>2458.9</v>
      </c>
      <c r="M676" s="368">
        <f>합산자재!J125</f>
        <v>0</v>
      </c>
      <c r="N676" s="369" t="str">
        <f t="shared" si="106"/>
        <v/>
      </c>
      <c r="O676" s="368">
        <f t="shared" si="107"/>
        <v>131495.20930000002</v>
      </c>
      <c r="P676" s="368">
        <f t="shared" si="108"/>
        <v>2458.9</v>
      </c>
      <c r="Q676" s="354"/>
      <c r="AE676" s="347">
        <f>L676</f>
        <v>2458.9</v>
      </c>
    </row>
    <row r="677" spans="1:31" ht="23.25" customHeight="1">
      <c r="A677" s="344" t="s">
        <v>1853</v>
      </c>
      <c r="B677" s="344" t="s">
        <v>1658</v>
      </c>
      <c r="C677" s="365" t="s">
        <v>1853</v>
      </c>
      <c r="D677" s="354" t="s">
        <v>1854</v>
      </c>
      <c r="E677" s="354" t="s">
        <v>1855</v>
      </c>
      <c r="F677" s="355" t="s">
        <v>212</v>
      </c>
      <c r="G677" s="368">
        <v>1</v>
      </c>
      <c r="H677" s="368">
        <f>IF(TRUNC((AD678+AC678)/$AE$3,1)*$AE$3-AD678 &lt;0, AC678, TRUNC((AD678+AC678)/$AE$3,1)*$AE$3-AD678)</f>
        <v>100.60000000000036</v>
      </c>
      <c r="I677" s="369">
        <f>H677</f>
        <v>100.60000000000036</v>
      </c>
      <c r="J677" s="368">
        <v>1</v>
      </c>
      <c r="K677" s="368"/>
      <c r="L677" s="369" t="str">
        <f t="shared" si="105"/>
        <v/>
      </c>
      <c r="M677" s="368"/>
      <c r="N677" s="369" t="str">
        <f t="shared" si="106"/>
        <v/>
      </c>
      <c r="O677" s="368">
        <f t="shared" si="107"/>
        <v>100.60000000000036</v>
      </c>
      <c r="P677" s="368">
        <f t="shared" si="108"/>
        <v>100.60000000000036</v>
      </c>
      <c r="Q677" s="354"/>
    </row>
    <row r="678" spans="1:31" ht="23.25" customHeight="1">
      <c r="B678" s="344" t="s">
        <v>715</v>
      </c>
      <c r="D678" s="354" t="s">
        <v>216</v>
      </c>
      <c r="E678" s="354"/>
      <c r="F678" s="355"/>
      <c r="G678" s="368"/>
      <c r="H678" s="368"/>
      <c r="I678" s="369">
        <f>TRUNC(SUM(I671:I677))</f>
        <v>1003</v>
      </c>
      <c r="J678" s="368"/>
      <c r="K678" s="368"/>
      <c r="L678" s="369">
        <f>TRUNC(SUM(L671:L677))</f>
        <v>5030</v>
      </c>
      <c r="M678" s="368"/>
      <c r="N678" s="369">
        <f>TRUNC(SUM(N671:N677))</f>
        <v>0</v>
      </c>
      <c r="O678" s="368" t="str">
        <f t="shared" si="107"/>
        <v/>
      </c>
      <c r="P678" s="368">
        <f t="shared" si="108"/>
        <v>6033</v>
      </c>
      <c r="Q678" s="354"/>
      <c r="AC678" s="347">
        <f>TRUNC(AE678*옵션!$B$36/100,1)</f>
        <v>100.6</v>
      </c>
      <c r="AD678" s="347">
        <f>TRUNC(SUM(L671:L676))</f>
        <v>5030</v>
      </c>
      <c r="AE678" s="347">
        <f>TRUNC(SUM(AE671:AE677))</f>
        <v>5030</v>
      </c>
    </row>
    <row r="679" spans="1:31" ht="23.25" customHeight="1">
      <c r="D679" s="354"/>
      <c r="E679" s="354"/>
      <c r="F679" s="355"/>
      <c r="G679" s="368"/>
      <c r="H679" s="368"/>
      <c r="I679" s="369"/>
      <c r="J679" s="368"/>
      <c r="K679" s="368"/>
      <c r="L679" s="369"/>
      <c r="M679" s="368"/>
      <c r="N679" s="369"/>
      <c r="O679" s="368"/>
      <c r="P679" s="368"/>
      <c r="Q679" s="354"/>
    </row>
    <row r="680" spans="1:31" ht="23.25" customHeight="1">
      <c r="A680" s="344" t="s">
        <v>987</v>
      </c>
      <c r="B680" s="344" t="s">
        <v>1833</v>
      </c>
      <c r="C680" s="365" t="s">
        <v>2191</v>
      </c>
      <c r="D680" s="714" t="s">
        <v>2192</v>
      </c>
      <c r="E680" s="715"/>
      <c r="F680" s="355"/>
      <c r="G680" s="368"/>
      <c r="H680" s="368"/>
      <c r="I680" s="369"/>
      <c r="J680" s="368"/>
      <c r="K680" s="368"/>
      <c r="L680" s="369"/>
      <c r="M680" s="368"/>
      <c r="N680" s="369"/>
      <c r="O680" s="368"/>
      <c r="P680" s="368"/>
      <c r="Q680" s="354"/>
    </row>
    <row r="681" spans="1:31" ht="23.25" customHeight="1">
      <c r="A681" s="344" t="s">
        <v>2193</v>
      </c>
      <c r="B681" s="344" t="s">
        <v>1660</v>
      </c>
      <c r="C681" s="365" t="s">
        <v>2193</v>
      </c>
      <c r="D681" s="354" t="s">
        <v>540</v>
      </c>
      <c r="E681" s="354" t="s">
        <v>541</v>
      </c>
      <c r="F681" s="355" t="s">
        <v>255</v>
      </c>
      <c r="G681" s="368">
        <v>1</v>
      </c>
      <c r="H681" s="368">
        <f>합산자재!H109</f>
        <v>231.98266000000001</v>
      </c>
      <c r="I681" s="369">
        <f>IF(G681*H681&lt;&gt;0, TRUNC(G681*H681, 1), "")</f>
        <v>231.9</v>
      </c>
      <c r="J681" s="368">
        <v>1</v>
      </c>
      <c r="K681" s="368">
        <f>합산자재!I109</f>
        <v>0</v>
      </c>
      <c r="L681" s="369" t="str">
        <f>IF(G681*K681&lt;&gt;0, TRUNC(G681*K681, 1), "")</f>
        <v/>
      </c>
      <c r="M681" s="368">
        <f>합산자재!J109</f>
        <v>0</v>
      </c>
      <c r="N681" s="369" t="str">
        <f>IF(G681*M681&lt;&gt;0, TRUNC(G681*M681, 1), "")</f>
        <v/>
      </c>
      <c r="O681" s="368">
        <f>IF((H681+K681+M681)=0, "", (H681+K681+M681))</f>
        <v>231.98266000000001</v>
      </c>
      <c r="P681" s="368">
        <f>IF(SUM(I681,L681,N681)&lt;&gt;0,SUM(I681,L681,N681),"")</f>
        <v>231.9</v>
      </c>
      <c r="Q681" s="354"/>
      <c r="AC681" s="347">
        <f>G681*H681</f>
        <v>231.98266000000001</v>
      </c>
    </row>
    <row r="682" spans="1:31" ht="23.25" customHeight="1">
      <c r="A682" s="344" t="s">
        <v>1885</v>
      </c>
      <c r="B682" s="344" t="s">
        <v>1660</v>
      </c>
      <c r="C682" s="365" t="s">
        <v>1885</v>
      </c>
      <c r="D682" s="354" t="s">
        <v>1886</v>
      </c>
      <c r="E682" s="354" t="s">
        <v>1887</v>
      </c>
      <c r="F682" s="355" t="s">
        <v>212</v>
      </c>
      <c r="G682" s="368">
        <v>1</v>
      </c>
      <c r="H682" s="368">
        <f>IF(TRUNC((AD682+AC682)/$AD$3,1)*$AD$3-AD682 &lt;0, AC682, TRUNC((AD682+AC682)/$AD$3,1)*$AD$3-AD682)</f>
        <v>4.5999999999999943</v>
      </c>
      <c r="I682" s="369">
        <f>H682</f>
        <v>4.5999999999999943</v>
      </c>
      <c r="J682" s="368">
        <v>1</v>
      </c>
      <c r="K682" s="368"/>
      <c r="L682" s="369" t="str">
        <f>IF(G682*K682&lt;&gt;0, TRUNC(G682*K682, 1), "")</f>
        <v/>
      </c>
      <c r="M682" s="368"/>
      <c r="N682" s="369" t="str">
        <f>IF(G682*M682&lt;&gt;0, TRUNC(G682*M682, 1), "")</f>
        <v/>
      </c>
      <c r="O682" s="368">
        <f>IF((H682+K682+M682)=0, "", (H682+K682+M682))</f>
        <v>4.5999999999999943</v>
      </c>
      <c r="P682" s="368">
        <f>IF(SUM(I682,L682,N682)&lt;&gt;0,SUM(I682,L682,N682),"")</f>
        <v>4.5999999999999943</v>
      </c>
      <c r="Q682" s="354"/>
      <c r="AC682" s="347">
        <f>TRUNC(TRUNC(SUM(AC680:AC681))*옵션!$B$33/100,1)</f>
        <v>4.5999999999999996</v>
      </c>
      <c r="AD682" s="347">
        <f>TRUNC(SUM(I680:I681))+TRUNC(SUM(N680:N681))</f>
        <v>231</v>
      </c>
    </row>
    <row r="683" spans="1:31" ht="23.25" customHeight="1">
      <c r="A683" s="344" t="s">
        <v>2194</v>
      </c>
      <c r="B683" s="344" t="s">
        <v>1660</v>
      </c>
      <c r="C683" s="365" t="s">
        <v>2194</v>
      </c>
      <c r="D683" s="354" t="s">
        <v>1664</v>
      </c>
      <c r="E683" s="354" t="s">
        <v>2195</v>
      </c>
      <c r="F683" s="355" t="s">
        <v>1852</v>
      </c>
      <c r="G683" s="368">
        <f>일위노임!G318</f>
        <v>5.0000000000000001E-3</v>
      </c>
      <c r="H683" s="368">
        <f>합산자재!H124</f>
        <v>0</v>
      </c>
      <c r="I683" s="369" t="str">
        <f>IF(G683*H683&lt;&gt;0, TRUNC(G683*H683, 1), "")</f>
        <v/>
      </c>
      <c r="J683" s="368">
        <v>5.0000000000000001E-3</v>
      </c>
      <c r="K683" s="368">
        <f>합산자재!I124</f>
        <v>323097.83415000001</v>
      </c>
      <c r="L683" s="369">
        <f>IF(G683*K683&lt;&gt;0, TRUNC(G683*K683, 1), "")</f>
        <v>1615.4</v>
      </c>
      <c r="M683" s="368">
        <f>합산자재!J124</f>
        <v>0</v>
      </c>
      <c r="N683" s="369" t="str">
        <f>IF(G683*M683&lt;&gt;0, TRUNC(G683*M683, 1), "")</f>
        <v/>
      </c>
      <c r="O683" s="368">
        <f>IF((H683+K683+M683)=0, "", (H683+K683+M683))</f>
        <v>323097.83415000001</v>
      </c>
      <c r="P683" s="368">
        <f>IF(SUM(I683,L683,N683)&lt;&gt;0,SUM(I683,L683,N683),"")</f>
        <v>1615.4</v>
      </c>
      <c r="Q683" s="354"/>
      <c r="AE683" s="347">
        <f>L683</f>
        <v>1615.4</v>
      </c>
    </row>
    <row r="684" spans="1:31" ht="23.25" customHeight="1">
      <c r="A684" s="344" t="s">
        <v>1853</v>
      </c>
      <c r="B684" s="344" t="s">
        <v>1660</v>
      </c>
      <c r="C684" s="365" t="s">
        <v>1853</v>
      </c>
      <c r="D684" s="354" t="s">
        <v>1854</v>
      </c>
      <c r="E684" s="354" t="s">
        <v>1855</v>
      </c>
      <c r="F684" s="355" t="s">
        <v>212</v>
      </c>
      <c r="G684" s="368">
        <v>1</v>
      </c>
      <c r="H684" s="368">
        <f>IF(TRUNC((AD685+AC685)/$AE$3,1)*$AE$3-AD685 &lt;0, AC685, TRUNC((AD685+AC685)/$AE$3,1)*$AE$3-AD685)</f>
        <v>32.299999999999955</v>
      </c>
      <c r="I684" s="369">
        <f>H684</f>
        <v>32.299999999999955</v>
      </c>
      <c r="J684" s="368">
        <v>1</v>
      </c>
      <c r="K684" s="368"/>
      <c r="L684" s="369" t="str">
        <f>IF(G684*K684&lt;&gt;0, TRUNC(G684*K684, 1), "")</f>
        <v/>
      </c>
      <c r="M684" s="368"/>
      <c r="N684" s="369" t="str">
        <f>IF(G684*M684&lt;&gt;0, TRUNC(G684*M684, 1), "")</f>
        <v/>
      </c>
      <c r="O684" s="368">
        <f>IF((H684+K684+M684)=0, "", (H684+K684+M684))</f>
        <v>32.299999999999955</v>
      </c>
      <c r="P684" s="368">
        <f>IF(SUM(I684,L684,N684)&lt;&gt;0,SUM(I684,L684,N684),"")</f>
        <v>32.299999999999955</v>
      </c>
      <c r="Q684" s="354"/>
    </row>
    <row r="685" spans="1:31" ht="23.25" customHeight="1">
      <c r="B685" s="344" t="s">
        <v>715</v>
      </c>
      <c r="D685" s="354" t="s">
        <v>216</v>
      </c>
      <c r="E685" s="354"/>
      <c r="F685" s="355"/>
      <c r="G685" s="368"/>
      <c r="H685" s="368"/>
      <c r="I685" s="369">
        <f>TRUNC(SUM(I680:I684))</f>
        <v>268</v>
      </c>
      <c r="J685" s="368"/>
      <c r="K685" s="368"/>
      <c r="L685" s="369">
        <f>TRUNC(SUM(L680:L684))</f>
        <v>1615</v>
      </c>
      <c r="M685" s="368"/>
      <c r="N685" s="369">
        <f>TRUNC(SUM(N680:N684))</f>
        <v>0</v>
      </c>
      <c r="O685" s="368" t="str">
        <f>IF((H685+K685+M685)=0, "", (H685+K685+M685))</f>
        <v/>
      </c>
      <c r="P685" s="368">
        <f>IF(SUM(I685,L685,N685)&lt;&gt;0,SUM(I685,L685,N685),"")</f>
        <v>1883</v>
      </c>
      <c r="Q685" s="354"/>
      <c r="AC685" s="347">
        <f>TRUNC(AE685*옵션!$B$36/100,1)</f>
        <v>32.299999999999997</v>
      </c>
      <c r="AD685" s="347">
        <f>TRUNC(SUM(L680:L683))</f>
        <v>1615</v>
      </c>
      <c r="AE685" s="347">
        <f>TRUNC(SUM(AE680:AE684))</f>
        <v>1615</v>
      </c>
    </row>
    <row r="686" spans="1:31" ht="23.25" customHeight="1">
      <c r="D686" s="354"/>
      <c r="E686" s="354"/>
      <c r="F686" s="355"/>
      <c r="G686" s="368"/>
      <c r="H686" s="368"/>
      <c r="I686" s="369"/>
      <c r="J686" s="368"/>
      <c r="K686" s="368"/>
      <c r="L686" s="369"/>
      <c r="M686" s="368"/>
      <c r="N686" s="369"/>
      <c r="O686" s="368"/>
      <c r="P686" s="368"/>
      <c r="Q686" s="354"/>
    </row>
    <row r="687" spans="1:31" ht="23.25" customHeight="1">
      <c r="D687" s="354"/>
      <c r="E687" s="354"/>
      <c r="F687" s="355"/>
      <c r="G687" s="368"/>
      <c r="H687" s="368"/>
      <c r="I687" s="369"/>
      <c r="J687" s="368"/>
      <c r="K687" s="368"/>
      <c r="L687" s="369"/>
      <c r="M687" s="368"/>
      <c r="N687" s="369"/>
      <c r="O687" s="368"/>
      <c r="P687" s="368"/>
      <c r="Q687" s="354"/>
    </row>
    <row r="688" spans="1:31" ht="23.25" customHeight="1">
      <c r="D688" s="354"/>
      <c r="E688" s="354"/>
      <c r="F688" s="355"/>
      <c r="G688" s="368"/>
      <c r="H688" s="368"/>
      <c r="I688" s="369"/>
      <c r="J688" s="368"/>
      <c r="K688" s="368"/>
      <c r="L688" s="369"/>
      <c r="M688" s="368"/>
      <c r="N688" s="369"/>
      <c r="O688" s="368"/>
      <c r="P688" s="368"/>
      <c r="Q688" s="354"/>
    </row>
    <row r="689" spans="4:17" ht="23.25" customHeight="1">
      <c r="D689" s="354"/>
      <c r="E689" s="354"/>
      <c r="F689" s="355"/>
      <c r="G689" s="368"/>
      <c r="H689" s="368"/>
      <c r="I689" s="369"/>
      <c r="J689" s="368"/>
      <c r="K689" s="368"/>
      <c r="L689" s="369"/>
      <c r="M689" s="368"/>
      <c r="N689" s="369"/>
      <c r="O689" s="368"/>
      <c r="P689" s="368"/>
      <c r="Q689" s="354"/>
    </row>
    <row r="690" spans="4:17" ht="23.25" customHeight="1">
      <c r="D690" s="354"/>
      <c r="E690" s="354"/>
      <c r="F690" s="355"/>
      <c r="G690" s="368"/>
      <c r="H690" s="368"/>
      <c r="I690" s="369"/>
      <c r="J690" s="368"/>
      <c r="K690" s="368"/>
      <c r="L690" s="369"/>
      <c r="M690" s="368"/>
      <c r="N690" s="369"/>
      <c r="O690" s="368"/>
      <c r="P690" s="368"/>
      <c r="Q690" s="354"/>
    </row>
    <row r="691" spans="4:17" ht="23.25" customHeight="1">
      <c r="D691" s="354"/>
      <c r="E691" s="354"/>
      <c r="F691" s="355"/>
      <c r="G691" s="368"/>
      <c r="H691" s="368"/>
      <c r="I691" s="369"/>
      <c r="J691" s="368"/>
      <c r="K691" s="368"/>
      <c r="L691" s="369"/>
      <c r="M691" s="368"/>
      <c r="N691" s="369"/>
      <c r="O691" s="368"/>
      <c r="P691" s="368"/>
      <c r="Q691" s="354"/>
    </row>
    <row r="692" spans="4:17" ht="23.25" customHeight="1">
      <c r="D692" s="354"/>
      <c r="E692" s="354"/>
      <c r="F692" s="355"/>
      <c r="G692" s="368"/>
      <c r="H692" s="368"/>
      <c r="I692" s="369"/>
      <c r="J692" s="368"/>
      <c r="K692" s="368"/>
      <c r="L692" s="369"/>
      <c r="M692" s="368"/>
      <c r="N692" s="369"/>
      <c r="O692" s="368"/>
      <c r="P692" s="368"/>
      <c r="Q692" s="354"/>
    </row>
    <row r="693" spans="4:17" ht="23.25" customHeight="1">
      <c r="D693" s="354"/>
      <c r="E693" s="354"/>
      <c r="F693" s="355"/>
      <c r="G693" s="368"/>
      <c r="H693" s="368"/>
      <c r="I693" s="369"/>
      <c r="J693" s="368"/>
      <c r="K693" s="368"/>
      <c r="L693" s="369"/>
      <c r="M693" s="368"/>
      <c r="N693" s="369"/>
      <c r="O693" s="368"/>
      <c r="P693" s="368"/>
      <c r="Q693" s="354"/>
    </row>
    <row r="694" spans="4:17" ht="23.25" customHeight="1">
      <c r="D694" s="354"/>
      <c r="E694" s="354"/>
      <c r="F694" s="355"/>
      <c r="G694" s="368"/>
      <c r="H694" s="368"/>
      <c r="I694" s="369"/>
      <c r="J694" s="368"/>
      <c r="K694" s="368"/>
      <c r="L694" s="369"/>
      <c r="M694" s="368"/>
      <c r="N694" s="369"/>
      <c r="O694" s="368"/>
      <c r="P694" s="368"/>
      <c r="Q694" s="354"/>
    </row>
    <row r="695" spans="4:17" ht="23.25" customHeight="1">
      <c r="D695" s="354"/>
      <c r="E695" s="354"/>
      <c r="F695" s="355"/>
      <c r="G695" s="368"/>
      <c r="H695" s="368"/>
      <c r="I695" s="369"/>
      <c r="J695" s="368"/>
      <c r="K695" s="368"/>
      <c r="L695" s="369"/>
      <c r="M695" s="368"/>
      <c r="N695" s="369"/>
      <c r="O695" s="368"/>
      <c r="P695" s="368"/>
      <c r="Q695" s="354"/>
    </row>
    <row r="696" spans="4:17" ht="23.25" customHeight="1">
      <c r="D696" s="354"/>
      <c r="E696" s="354"/>
      <c r="F696" s="355"/>
      <c r="G696" s="368"/>
      <c r="H696" s="368"/>
      <c r="I696" s="369"/>
      <c r="J696" s="368"/>
      <c r="K696" s="368"/>
      <c r="L696" s="369"/>
      <c r="M696" s="368"/>
      <c r="N696" s="369"/>
      <c r="O696" s="368"/>
      <c r="P696" s="368"/>
      <c r="Q696" s="354"/>
    </row>
    <row r="697" spans="4:17" ht="23.25" customHeight="1">
      <c r="D697" s="354"/>
      <c r="E697" s="354"/>
      <c r="F697" s="355"/>
      <c r="G697" s="368"/>
      <c r="H697" s="368"/>
      <c r="I697" s="369"/>
      <c r="J697" s="368"/>
      <c r="K697" s="368"/>
      <c r="L697" s="369"/>
      <c r="M697" s="368"/>
      <c r="N697" s="369"/>
      <c r="O697" s="368"/>
      <c r="P697" s="368"/>
      <c r="Q697" s="354"/>
    </row>
    <row r="698" spans="4:17" ht="23.25" customHeight="1">
      <c r="D698" s="354"/>
      <c r="E698" s="354"/>
      <c r="F698" s="355"/>
      <c r="G698" s="368"/>
      <c r="H698" s="368"/>
      <c r="I698" s="369"/>
      <c r="J698" s="368"/>
      <c r="K698" s="368"/>
      <c r="L698" s="369"/>
      <c r="M698" s="368"/>
      <c r="N698" s="369"/>
      <c r="O698" s="368"/>
      <c r="P698" s="368"/>
      <c r="Q698" s="354"/>
    </row>
    <row r="699" spans="4:17" ht="23.25" customHeight="1">
      <c r="D699" s="354"/>
      <c r="E699" s="354"/>
      <c r="F699" s="355"/>
      <c r="G699" s="368"/>
      <c r="H699" s="368"/>
      <c r="I699" s="369"/>
      <c r="J699" s="368"/>
      <c r="K699" s="368"/>
      <c r="L699" s="369"/>
      <c r="M699" s="368"/>
      <c r="N699" s="369"/>
      <c r="O699" s="368"/>
      <c r="P699" s="368"/>
      <c r="Q699" s="354"/>
    </row>
    <row r="700" spans="4:17" ht="23.25" customHeight="1">
      <c r="D700" s="354"/>
      <c r="E700" s="354"/>
      <c r="F700" s="355"/>
      <c r="G700" s="368"/>
      <c r="H700" s="368"/>
      <c r="I700" s="369"/>
      <c r="J700" s="368"/>
      <c r="K700" s="368"/>
      <c r="L700" s="369"/>
      <c r="M700" s="368"/>
      <c r="N700" s="369"/>
      <c r="O700" s="368"/>
      <c r="P700" s="368"/>
      <c r="Q700" s="354"/>
    </row>
    <row r="701" spans="4:17" ht="23.25" customHeight="1">
      <c r="D701" s="354"/>
      <c r="E701" s="354"/>
      <c r="F701" s="355"/>
      <c r="G701" s="368"/>
      <c r="H701" s="368"/>
      <c r="I701" s="369"/>
      <c r="J701" s="368"/>
      <c r="K701" s="368"/>
      <c r="L701" s="369"/>
      <c r="M701" s="368"/>
      <c r="N701" s="369"/>
      <c r="O701" s="368"/>
      <c r="P701" s="368"/>
      <c r="Q701" s="354"/>
    </row>
    <row r="702" spans="4:17" ht="23.25" customHeight="1">
      <c r="D702" s="354"/>
      <c r="E702" s="354"/>
      <c r="F702" s="355"/>
      <c r="G702" s="368"/>
      <c r="H702" s="368"/>
      <c r="I702" s="369"/>
      <c r="J702" s="368"/>
      <c r="K702" s="368"/>
      <c r="L702" s="369"/>
      <c r="M702" s="368"/>
      <c r="N702" s="369"/>
      <c r="O702" s="368"/>
      <c r="P702" s="368"/>
      <c r="Q702" s="354"/>
    </row>
    <row r="703" spans="4:17" ht="23.25" customHeight="1">
      <c r="D703" s="354"/>
      <c r="E703" s="354"/>
      <c r="F703" s="355"/>
      <c r="G703" s="368"/>
      <c r="H703" s="368"/>
      <c r="I703" s="369"/>
      <c r="J703" s="368"/>
      <c r="K703" s="368"/>
      <c r="L703" s="369"/>
      <c r="M703" s="368"/>
      <c r="N703" s="369"/>
      <c r="O703" s="368"/>
      <c r="P703" s="368"/>
      <c r="Q703" s="354"/>
    </row>
    <row r="704" spans="4:17" ht="23.25" customHeight="1">
      <c r="D704" s="354"/>
      <c r="E704" s="354"/>
      <c r="F704" s="355"/>
      <c r="G704" s="368"/>
      <c r="H704" s="368"/>
      <c r="I704" s="369"/>
      <c r="J704" s="368"/>
      <c r="K704" s="368"/>
      <c r="L704" s="369"/>
      <c r="M704" s="368"/>
      <c r="N704" s="369"/>
      <c r="O704" s="368"/>
      <c r="P704" s="368"/>
      <c r="Q704" s="354"/>
    </row>
    <row r="705" spans="4:17" ht="23.25" customHeight="1">
      <c r="D705" s="354"/>
      <c r="E705" s="354"/>
      <c r="F705" s="355"/>
      <c r="G705" s="368"/>
      <c r="H705" s="368"/>
      <c r="I705" s="369"/>
      <c r="J705" s="368"/>
      <c r="K705" s="368"/>
      <c r="L705" s="369"/>
      <c r="M705" s="368"/>
      <c r="N705" s="369"/>
      <c r="O705" s="368"/>
      <c r="P705" s="368"/>
      <c r="Q705" s="354"/>
    </row>
  </sheetData>
  <mergeCells count="112">
    <mergeCell ref="J2:L2"/>
    <mergeCell ref="M2:N2"/>
    <mergeCell ref="P2:P3"/>
    <mergeCell ref="Q2:Q3"/>
    <mergeCell ref="D4:E4"/>
    <mergeCell ref="D14:E14"/>
    <mergeCell ref="D1:N1"/>
    <mergeCell ref="W1:Y1"/>
    <mergeCell ref="A2:A3"/>
    <mergeCell ref="B2:B3"/>
    <mergeCell ref="C2:C3"/>
    <mergeCell ref="D2:D3"/>
    <mergeCell ref="E2:E3"/>
    <mergeCell ref="F2:F3"/>
    <mergeCell ref="G2:G3"/>
    <mergeCell ref="H2:I2"/>
    <mergeCell ref="D84:E84"/>
    <mergeCell ref="D92:E92"/>
    <mergeCell ref="D100:E100"/>
    <mergeCell ref="D108:E108"/>
    <mergeCell ref="D116:E116"/>
    <mergeCell ref="D124:E124"/>
    <mergeCell ref="D24:E24"/>
    <mergeCell ref="D34:E34"/>
    <mergeCell ref="D49:E49"/>
    <mergeCell ref="D60:E60"/>
    <mergeCell ref="D69:E69"/>
    <mergeCell ref="D75:E75"/>
    <mergeCell ref="D180:E180"/>
    <mergeCell ref="D189:E189"/>
    <mergeCell ref="D198:E198"/>
    <mergeCell ref="D206:E206"/>
    <mergeCell ref="D214:E214"/>
    <mergeCell ref="D222:E222"/>
    <mergeCell ref="D132:E132"/>
    <mergeCell ref="D140:E140"/>
    <mergeCell ref="D148:E148"/>
    <mergeCell ref="D156:E156"/>
    <mergeCell ref="D164:E164"/>
    <mergeCell ref="D172:E172"/>
    <mergeCell ref="D262:E262"/>
    <mergeCell ref="D266:E266"/>
    <mergeCell ref="D270:E270"/>
    <mergeCell ref="D274:E274"/>
    <mergeCell ref="D278:E278"/>
    <mergeCell ref="D284:E284"/>
    <mergeCell ref="D226:E226"/>
    <mergeCell ref="D230:E230"/>
    <mergeCell ref="D237:E237"/>
    <mergeCell ref="D244:E244"/>
    <mergeCell ref="D251:E251"/>
    <mergeCell ref="D258:E258"/>
    <mergeCell ref="D320:E320"/>
    <mergeCell ref="D326:E326"/>
    <mergeCell ref="D332:E332"/>
    <mergeCell ref="D338:E338"/>
    <mergeCell ref="D344:E344"/>
    <mergeCell ref="D351:E351"/>
    <mergeCell ref="D290:E290"/>
    <mergeCell ref="D296:E296"/>
    <mergeCell ref="D302:E302"/>
    <mergeCell ref="D306:E306"/>
    <mergeCell ref="D310:E310"/>
    <mergeCell ref="D314:E314"/>
    <mergeCell ref="D400:E400"/>
    <mergeCell ref="D406:E406"/>
    <mergeCell ref="D412:E412"/>
    <mergeCell ref="D418:E418"/>
    <mergeCell ref="D424:E424"/>
    <mergeCell ref="D430:E430"/>
    <mergeCell ref="D358:E358"/>
    <mergeCell ref="D365:E365"/>
    <mergeCell ref="D372:E372"/>
    <mergeCell ref="D379:E379"/>
    <mergeCell ref="D386:E386"/>
    <mergeCell ref="D393:E393"/>
    <mergeCell ref="D473:E473"/>
    <mergeCell ref="D479:E479"/>
    <mergeCell ref="D487:E487"/>
    <mergeCell ref="D495:E495"/>
    <mergeCell ref="D503:E503"/>
    <mergeCell ref="D510:E510"/>
    <mergeCell ref="D436:E436"/>
    <mergeCell ref="D442:E442"/>
    <mergeCell ref="D448:E448"/>
    <mergeCell ref="D454:E454"/>
    <mergeCell ref="D460:E460"/>
    <mergeCell ref="D467:E467"/>
    <mergeCell ref="D561:E561"/>
    <mergeCell ref="D567:E567"/>
    <mergeCell ref="D573:E573"/>
    <mergeCell ref="D579:E579"/>
    <mergeCell ref="D585:E585"/>
    <mergeCell ref="D591:E591"/>
    <mergeCell ref="D518:E518"/>
    <mergeCell ref="D525:E525"/>
    <mergeCell ref="D534:E534"/>
    <mergeCell ref="D543:E543"/>
    <mergeCell ref="D549:E549"/>
    <mergeCell ref="D555:E555"/>
    <mergeCell ref="D638:E638"/>
    <mergeCell ref="D646:E646"/>
    <mergeCell ref="D654:E654"/>
    <mergeCell ref="D662:E662"/>
    <mergeCell ref="D671:E671"/>
    <mergeCell ref="D680:E680"/>
    <mergeCell ref="D597:E597"/>
    <mergeCell ref="D603:E603"/>
    <mergeCell ref="D609:E609"/>
    <mergeCell ref="D613:E613"/>
    <mergeCell ref="D621:E621"/>
    <mergeCell ref="D630:E630"/>
  </mergeCells>
  <phoneticPr fontId="1" type="noConversion"/>
  <printOptions horizontalCentered="1" verticalCentered="1"/>
  <pageMargins left="0.74803149606299213" right="0.35433070866141736" top="0.59055118110236227" bottom="0.59055118110236227" header="0.51181102362204722" footer="0.47244094488188981"/>
  <pageSetup paperSize="9" scale="7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1E1C2-F072-498E-86CE-3BD8DC62AFCD}">
  <sheetPr>
    <tabColor theme="7"/>
    <pageSetUpPr fitToPage="1"/>
  </sheetPr>
  <dimension ref="A1:AY692"/>
  <sheetViews>
    <sheetView showZeros="0" view="pageBreakPreview" zoomScaleNormal="100" zoomScaleSheetLayoutView="100" workbookViewId="0">
      <selection sqref="A1:M1"/>
    </sheetView>
  </sheetViews>
  <sheetFormatPr defaultRowHeight="16.5"/>
  <cols>
    <col min="1" max="2" width="30.625" style="330" customWidth="1"/>
    <col min="3" max="3" width="4.625" style="330" customWidth="1"/>
    <col min="4" max="4" width="8.625" style="330" customWidth="1"/>
    <col min="5" max="12" width="13.625" style="330" customWidth="1"/>
    <col min="13" max="13" width="12.625" style="330" customWidth="1"/>
    <col min="14" max="47" width="2.625" style="330" hidden="1" customWidth="1"/>
    <col min="48" max="48" width="1.625" style="330" hidden="1" customWidth="1"/>
    <col min="49" max="49" width="24.625" style="330" hidden="1" customWidth="1"/>
    <col min="50" max="51" width="2.625" style="330" hidden="1" customWidth="1"/>
    <col min="52" max="16384" width="9" style="330"/>
  </cols>
  <sheetData>
    <row r="1" spans="1:51" ht="30" customHeight="1">
      <c r="A1" s="704" t="s">
        <v>1058</v>
      </c>
      <c r="B1" s="704"/>
      <c r="C1" s="704"/>
      <c r="D1" s="704"/>
      <c r="E1" s="704"/>
      <c r="F1" s="704"/>
      <c r="G1" s="704"/>
      <c r="H1" s="704"/>
      <c r="I1" s="704"/>
      <c r="J1" s="704"/>
      <c r="K1" s="704"/>
      <c r="L1" s="704"/>
      <c r="M1" s="704"/>
    </row>
    <row r="2" spans="1:51" ht="30" customHeight="1">
      <c r="A2" s="705" t="s">
        <v>1059</v>
      </c>
      <c r="B2" s="705" t="s">
        <v>1060</v>
      </c>
      <c r="C2" s="705" t="s">
        <v>246</v>
      </c>
      <c r="D2" s="705" t="s">
        <v>247</v>
      </c>
      <c r="E2" s="705" t="s">
        <v>1061</v>
      </c>
      <c r="F2" s="705"/>
      <c r="G2" s="705" t="s">
        <v>1062</v>
      </c>
      <c r="H2" s="705"/>
      <c r="I2" s="705" t="s">
        <v>1063</v>
      </c>
      <c r="J2" s="705"/>
      <c r="K2" s="705" t="s">
        <v>2196</v>
      </c>
      <c r="L2" s="705"/>
      <c r="M2" s="705" t="s">
        <v>1064</v>
      </c>
      <c r="N2" s="704" t="s">
        <v>2197</v>
      </c>
      <c r="O2" s="704" t="s">
        <v>1065</v>
      </c>
      <c r="P2" s="704" t="s">
        <v>1069</v>
      </c>
      <c r="Q2" s="704" t="s">
        <v>1070</v>
      </c>
      <c r="R2" s="704" t="s">
        <v>1071</v>
      </c>
      <c r="S2" s="704" t="s">
        <v>1072</v>
      </c>
      <c r="T2" s="704" t="s">
        <v>1073</v>
      </c>
      <c r="U2" s="704" t="s">
        <v>1074</v>
      </c>
      <c r="V2" s="704" t="s">
        <v>1075</v>
      </c>
      <c r="W2" s="704" t="s">
        <v>1076</v>
      </c>
      <c r="X2" s="704" t="s">
        <v>1077</v>
      </c>
      <c r="Y2" s="704" t="s">
        <v>1078</v>
      </c>
      <c r="Z2" s="704" t="s">
        <v>1079</v>
      </c>
      <c r="AA2" s="704" t="s">
        <v>1080</v>
      </c>
      <c r="AB2" s="704" t="s">
        <v>1081</v>
      </c>
      <c r="AC2" s="704" t="s">
        <v>1082</v>
      </c>
      <c r="AD2" s="704" t="s">
        <v>1083</v>
      </c>
      <c r="AE2" s="704" t="s">
        <v>1084</v>
      </c>
      <c r="AF2" s="704" t="s">
        <v>1085</v>
      </c>
      <c r="AG2" s="704" t="s">
        <v>1086</v>
      </c>
      <c r="AH2" s="704" t="s">
        <v>1087</v>
      </c>
      <c r="AI2" s="704" t="s">
        <v>1088</v>
      </c>
      <c r="AJ2" s="704" t="s">
        <v>1089</v>
      </c>
      <c r="AK2" s="704" t="s">
        <v>1090</v>
      </c>
      <c r="AL2" s="704" t="s">
        <v>1091</v>
      </c>
      <c r="AM2" s="704" t="s">
        <v>1092</v>
      </c>
      <c r="AN2" s="704" t="s">
        <v>1093</v>
      </c>
      <c r="AO2" s="704" t="s">
        <v>1094</v>
      </c>
      <c r="AP2" s="704" t="s">
        <v>2198</v>
      </c>
      <c r="AQ2" s="704" t="s">
        <v>2199</v>
      </c>
      <c r="AR2" s="704" t="s">
        <v>2200</v>
      </c>
      <c r="AS2" s="704" t="s">
        <v>2201</v>
      </c>
      <c r="AT2" s="704" t="s">
        <v>2202</v>
      </c>
      <c r="AU2" s="704" t="s">
        <v>2203</v>
      </c>
      <c r="AV2" s="704" t="s">
        <v>1095</v>
      </c>
      <c r="AW2" s="704" t="s">
        <v>2204</v>
      </c>
      <c r="AX2" s="329" t="s">
        <v>1672</v>
      </c>
      <c r="AY2" s="329" t="s">
        <v>1067</v>
      </c>
    </row>
    <row r="3" spans="1:51" ht="30" customHeight="1">
      <c r="A3" s="705"/>
      <c r="B3" s="705"/>
      <c r="C3" s="705"/>
      <c r="D3" s="705"/>
      <c r="E3" s="331" t="s">
        <v>250</v>
      </c>
      <c r="F3" s="331" t="s">
        <v>252</v>
      </c>
      <c r="G3" s="331" t="s">
        <v>250</v>
      </c>
      <c r="H3" s="331" t="s">
        <v>252</v>
      </c>
      <c r="I3" s="331" t="s">
        <v>250</v>
      </c>
      <c r="J3" s="331" t="s">
        <v>252</v>
      </c>
      <c r="K3" s="331" t="s">
        <v>250</v>
      </c>
      <c r="L3" s="331" t="s">
        <v>252</v>
      </c>
      <c r="M3" s="705"/>
      <c r="N3" s="704"/>
      <c r="O3" s="704"/>
      <c r="P3" s="704"/>
      <c r="Q3" s="704"/>
      <c r="R3" s="704"/>
      <c r="S3" s="704"/>
      <c r="T3" s="704"/>
      <c r="U3" s="704"/>
      <c r="V3" s="704"/>
      <c r="W3" s="704"/>
      <c r="X3" s="704"/>
      <c r="Y3" s="704"/>
      <c r="Z3" s="704"/>
      <c r="AA3" s="704"/>
      <c r="AB3" s="704"/>
      <c r="AC3" s="704"/>
      <c r="AD3" s="704"/>
      <c r="AE3" s="704"/>
      <c r="AF3" s="704"/>
      <c r="AG3" s="704"/>
      <c r="AH3" s="704"/>
      <c r="AI3" s="704"/>
      <c r="AJ3" s="704"/>
      <c r="AK3" s="704"/>
      <c r="AL3" s="704"/>
      <c r="AM3" s="704"/>
      <c r="AN3" s="704"/>
      <c r="AO3" s="704"/>
      <c r="AP3" s="704"/>
      <c r="AQ3" s="704"/>
      <c r="AR3" s="704"/>
      <c r="AS3" s="704"/>
      <c r="AT3" s="704"/>
      <c r="AU3" s="704"/>
      <c r="AV3" s="704"/>
      <c r="AW3" s="704"/>
    </row>
    <row r="4" spans="1:51" ht="30" customHeight="1">
      <c r="A4" s="718" t="s">
        <v>2205</v>
      </c>
      <c r="B4" s="718"/>
      <c r="C4" s="718"/>
      <c r="D4" s="718"/>
      <c r="E4" s="719"/>
      <c r="F4" s="720"/>
      <c r="G4" s="719"/>
      <c r="H4" s="720"/>
      <c r="I4" s="719"/>
      <c r="J4" s="720"/>
      <c r="K4" s="719"/>
      <c r="L4" s="720"/>
      <c r="M4" s="718"/>
      <c r="N4" s="329" t="s">
        <v>1103</v>
      </c>
    </row>
    <row r="5" spans="1:51" ht="30" customHeight="1">
      <c r="A5" s="333" t="s">
        <v>344</v>
      </c>
      <c r="B5" s="333" t="s">
        <v>2206</v>
      </c>
      <c r="C5" s="333" t="s">
        <v>300</v>
      </c>
      <c r="D5" s="334">
        <v>1.05</v>
      </c>
      <c r="E5" s="370">
        <f>신규_단가대비표!O130</f>
        <v>3273.43471</v>
      </c>
      <c r="F5" s="361">
        <f>TRUNC(E5*D5,1)</f>
        <v>3437.1</v>
      </c>
      <c r="G5" s="370">
        <f>신규_단가대비표!P130</f>
        <v>0</v>
      </c>
      <c r="H5" s="361">
        <f>TRUNC(G5*D5,1)</f>
        <v>0</v>
      </c>
      <c r="I5" s="370">
        <f>신규_단가대비표!V130</f>
        <v>0</v>
      </c>
      <c r="J5" s="361">
        <f>TRUNC(I5*D5,1)</f>
        <v>0</v>
      </c>
      <c r="K5" s="370">
        <f t="shared" ref="K5:L9" si="0">TRUNC(E5+G5+I5,1)</f>
        <v>3273.4</v>
      </c>
      <c r="L5" s="361">
        <f t="shared" si="0"/>
        <v>3437.1</v>
      </c>
      <c r="M5" s="333" t="s">
        <v>378</v>
      </c>
      <c r="N5" s="329" t="s">
        <v>1103</v>
      </c>
      <c r="O5" s="329" t="s">
        <v>2207</v>
      </c>
      <c r="P5" s="329" t="s">
        <v>1105</v>
      </c>
      <c r="Q5" s="329" t="s">
        <v>1105</v>
      </c>
      <c r="R5" s="329" t="s">
        <v>1104</v>
      </c>
      <c r="V5" s="330">
        <v>1</v>
      </c>
      <c r="W5" s="330">
        <v>2</v>
      </c>
      <c r="AV5" s="329" t="s">
        <v>378</v>
      </c>
      <c r="AW5" s="329" t="s">
        <v>2208</v>
      </c>
      <c r="AX5" s="329" t="s">
        <v>378</v>
      </c>
      <c r="AY5" s="329" t="s">
        <v>378</v>
      </c>
    </row>
    <row r="6" spans="1:51" ht="30" customHeight="1">
      <c r="A6" s="333" t="s">
        <v>2209</v>
      </c>
      <c r="B6" s="333" t="s">
        <v>2210</v>
      </c>
      <c r="C6" s="333" t="s">
        <v>212</v>
      </c>
      <c r="D6" s="334">
        <v>1</v>
      </c>
      <c r="E6" s="370">
        <f>TRUNC(SUMIF(V5:V9, RIGHTB(O6, 1), F5:F9)*U6, 2)</f>
        <v>515.55999999999995</v>
      </c>
      <c r="F6" s="361">
        <f>TRUNC(E6*D6,1)</f>
        <v>515.5</v>
      </c>
      <c r="G6" s="370">
        <v>0</v>
      </c>
      <c r="H6" s="361">
        <f>TRUNC(G6*D6,1)</f>
        <v>0</v>
      </c>
      <c r="I6" s="370">
        <v>0</v>
      </c>
      <c r="J6" s="361">
        <f>TRUNC(I6*D6,1)</f>
        <v>0</v>
      </c>
      <c r="K6" s="370">
        <f t="shared" si="0"/>
        <v>515.5</v>
      </c>
      <c r="L6" s="361">
        <f t="shared" si="0"/>
        <v>515.5</v>
      </c>
      <c r="M6" s="333" t="s">
        <v>378</v>
      </c>
      <c r="N6" s="329" t="s">
        <v>1103</v>
      </c>
      <c r="O6" s="329" t="s">
        <v>2211</v>
      </c>
      <c r="P6" s="329" t="s">
        <v>1105</v>
      </c>
      <c r="Q6" s="329" t="s">
        <v>1105</v>
      </c>
      <c r="R6" s="329" t="s">
        <v>1105</v>
      </c>
      <c r="S6" s="330">
        <v>0</v>
      </c>
      <c r="T6" s="330">
        <v>0</v>
      </c>
      <c r="U6" s="330">
        <v>0.15</v>
      </c>
      <c r="X6" s="330">
        <v>3</v>
      </c>
      <c r="AV6" s="329" t="s">
        <v>378</v>
      </c>
      <c r="AW6" s="329" t="s">
        <v>2212</v>
      </c>
      <c r="AX6" s="329" t="s">
        <v>378</v>
      </c>
      <c r="AY6" s="329" t="s">
        <v>378</v>
      </c>
    </row>
    <row r="7" spans="1:51" ht="30" customHeight="1">
      <c r="A7" s="333" t="s">
        <v>2213</v>
      </c>
      <c r="B7" s="333" t="s">
        <v>2214</v>
      </c>
      <c r="C7" s="333" t="s">
        <v>212</v>
      </c>
      <c r="D7" s="334">
        <v>1</v>
      </c>
      <c r="E7" s="370">
        <f>TRUNC(SUMIF(W5:W9, RIGHTB(O7, 1), F5:F9)*U7, 2)</f>
        <v>68.739999999999995</v>
      </c>
      <c r="F7" s="361">
        <f>TRUNC(E7*D7,1)</f>
        <v>68.7</v>
      </c>
      <c r="G7" s="370">
        <v>0</v>
      </c>
      <c r="H7" s="361">
        <f>TRUNC(G7*D7,1)</f>
        <v>0</v>
      </c>
      <c r="I7" s="370">
        <v>0</v>
      </c>
      <c r="J7" s="361">
        <f>TRUNC(I7*D7,1)</f>
        <v>0</v>
      </c>
      <c r="K7" s="370">
        <f t="shared" si="0"/>
        <v>68.7</v>
      </c>
      <c r="L7" s="361">
        <f t="shared" si="0"/>
        <v>68.7</v>
      </c>
      <c r="M7" s="333" t="s">
        <v>378</v>
      </c>
      <c r="N7" s="329" t="s">
        <v>1103</v>
      </c>
      <c r="O7" s="329" t="s">
        <v>2215</v>
      </c>
      <c r="P7" s="329" t="s">
        <v>1105</v>
      </c>
      <c r="Q7" s="329" t="s">
        <v>1105</v>
      </c>
      <c r="R7" s="329" t="s">
        <v>1105</v>
      </c>
      <c r="S7" s="330">
        <v>0</v>
      </c>
      <c r="T7" s="330">
        <v>0</v>
      </c>
      <c r="U7" s="330">
        <v>0.02</v>
      </c>
      <c r="X7" s="330">
        <v>3</v>
      </c>
      <c r="AV7" s="329" t="s">
        <v>378</v>
      </c>
      <c r="AW7" s="329" t="s">
        <v>2216</v>
      </c>
      <c r="AX7" s="329" t="s">
        <v>378</v>
      </c>
      <c r="AY7" s="329" t="s">
        <v>378</v>
      </c>
    </row>
    <row r="8" spans="1:51" ht="30" customHeight="1">
      <c r="A8" s="333" t="s">
        <v>2217</v>
      </c>
      <c r="B8" s="333" t="s">
        <v>2218</v>
      </c>
      <c r="C8" s="333" t="s">
        <v>212</v>
      </c>
      <c r="D8" s="334">
        <v>1</v>
      </c>
      <c r="E8" s="370">
        <f>TRUNC(SUMIF(X5:X9, RIGHTB(O8, 1), H5:H9)*U8, 2)</f>
        <v>3891.57</v>
      </c>
      <c r="F8" s="361">
        <f>TRUNC(E8*D8,1)</f>
        <v>3891.5</v>
      </c>
      <c r="G8" s="370">
        <v>0</v>
      </c>
      <c r="H8" s="361">
        <f>TRUNC(G8*D8,1)</f>
        <v>0</v>
      </c>
      <c r="I8" s="370">
        <v>0</v>
      </c>
      <c r="J8" s="361">
        <f>TRUNC(I8*D8,1)</f>
        <v>0</v>
      </c>
      <c r="K8" s="370">
        <f t="shared" si="0"/>
        <v>3891.5</v>
      </c>
      <c r="L8" s="361">
        <f t="shared" si="0"/>
        <v>3891.5</v>
      </c>
      <c r="M8" s="333" t="s">
        <v>378</v>
      </c>
      <c r="N8" s="329" t="s">
        <v>1103</v>
      </c>
      <c r="O8" s="329" t="s">
        <v>2219</v>
      </c>
      <c r="P8" s="329" t="s">
        <v>1105</v>
      </c>
      <c r="Q8" s="329" t="s">
        <v>1105</v>
      </c>
      <c r="R8" s="329" t="s">
        <v>1105</v>
      </c>
      <c r="S8" s="330">
        <v>1</v>
      </c>
      <c r="T8" s="330">
        <v>0</v>
      </c>
      <c r="U8" s="330">
        <v>0.03</v>
      </c>
      <c r="X8" s="330">
        <v>3</v>
      </c>
      <c r="AV8" s="329" t="s">
        <v>378</v>
      </c>
      <c r="AW8" s="329" t="s">
        <v>2220</v>
      </c>
      <c r="AX8" s="329" t="s">
        <v>378</v>
      </c>
      <c r="AY8" s="329" t="s">
        <v>378</v>
      </c>
    </row>
    <row r="9" spans="1:51" ht="30" customHeight="1">
      <c r="A9" s="333" t="s">
        <v>1851</v>
      </c>
      <c r="B9" s="333" t="s">
        <v>2221</v>
      </c>
      <c r="C9" s="333" t="s">
        <v>1852</v>
      </c>
      <c r="D9" s="334">
        <f>신규_공량산출근거서_일위대가!K6</f>
        <v>0.55200000000000005</v>
      </c>
      <c r="E9" s="370">
        <f>신규_단가대비표!O154</f>
        <v>0</v>
      </c>
      <c r="F9" s="361">
        <f>TRUNC(E9*D9,1)</f>
        <v>0</v>
      </c>
      <c r="G9" s="370">
        <f>신규_단가대비표!P154</f>
        <v>234998.43458</v>
      </c>
      <c r="H9" s="361">
        <f>TRUNC(G9*D9,1)</f>
        <v>129719.1</v>
      </c>
      <c r="I9" s="370">
        <f>신규_단가대비표!V154</f>
        <v>0</v>
      </c>
      <c r="J9" s="361">
        <f>TRUNC(I9*D9,1)</f>
        <v>0</v>
      </c>
      <c r="K9" s="370">
        <f t="shared" si="0"/>
        <v>234998.39999999999</v>
      </c>
      <c r="L9" s="361">
        <f t="shared" si="0"/>
        <v>129719.1</v>
      </c>
      <c r="M9" s="333" t="s">
        <v>378</v>
      </c>
      <c r="N9" s="329" t="s">
        <v>1103</v>
      </c>
      <c r="O9" s="329" t="s">
        <v>2222</v>
      </c>
      <c r="P9" s="329" t="s">
        <v>1105</v>
      </c>
      <c r="Q9" s="329" t="s">
        <v>1105</v>
      </c>
      <c r="R9" s="329" t="s">
        <v>1104</v>
      </c>
      <c r="X9" s="330">
        <v>3</v>
      </c>
      <c r="AV9" s="329" t="s">
        <v>378</v>
      </c>
      <c r="AW9" s="329" t="s">
        <v>2223</v>
      </c>
      <c r="AX9" s="329" t="s">
        <v>378</v>
      </c>
      <c r="AY9" s="329" t="s">
        <v>378</v>
      </c>
    </row>
    <row r="10" spans="1:51" ht="30" customHeight="1">
      <c r="A10" s="333" t="s">
        <v>2224</v>
      </c>
      <c r="B10" s="333" t="s">
        <v>378</v>
      </c>
      <c r="C10" s="333" t="s">
        <v>378</v>
      </c>
      <c r="D10" s="334"/>
      <c r="E10" s="370"/>
      <c r="F10" s="361">
        <f>TRUNC(SUMIF(N5:N9, N4, F5:F9),0)</f>
        <v>7912</v>
      </c>
      <c r="G10" s="370"/>
      <c r="H10" s="361">
        <f>TRUNC(SUMIF(N5:N9, N4, H5:H9),0)</f>
        <v>129719</v>
      </c>
      <c r="I10" s="370"/>
      <c r="J10" s="361">
        <f>TRUNC(SUMIF(N5:N9, N4, J5:J9),0)</f>
        <v>0</v>
      </c>
      <c r="K10" s="370"/>
      <c r="L10" s="361">
        <f>F10+H10+J10</f>
        <v>137631</v>
      </c>
      <c r="M10" s="333" t="s">
        <v>378</v>
      </c>
      <c r="N10" s="329" t="s">
        <v>1197</v>
      </c>
      <c r="O10" s="329" t="s">
        <v>1197</v>
      </c>
      <c r="P10" s="329" t="s">
        <v>378</v>
      </c>
      <c r="Q10" s="329" t="s">
        <v>378</v>
      </c>
      <c r="R10" s="329" t="s">
        <v>378</v>
      </c>
      <c r="AV10" s="329" t="s">
        <v>378</v>
      </c>
      <c r="AW10" s="329" t="s">
        <v>378</v>
      </c>
      <c r="AX10" s="329" t="s">
        <v>378</v>
      </c>
      <c r="AY10" s="329" t="s">
        <v>378</v>
      </c>
    </row>
    <row r="11" spans="1:51" ht="30" customHeight="1">
      <c r="A11" s="334"/>
      <c r="B11" s="334"/>
      <c r="C11" s="334"/>
      <c r="D11" s="334"/>
      <c r="E11" s="370"/>
      <c r="F11" s="361"/>
      <c r="G11" s="370"/>
      <c r="H11" s="361"/>
      <c r="I11" s="370"/>
      <c r="J11" s="361"/>
      <c r="K11" s="370"/>
      <c r="L11" s="361"/>
      <c r="M11" s="334"/>
    </row>
    <row r="12" spans="1:51" ht="30" customHeight="1">
      <c r="A12" s="718" t="s">
        <v>2225</v>
      </c>
      <c r="B12" s="718"/>
      <c r="C12" s="718"/>
      <c r="D12" s="718"/>
      <c r="E12" s="719"/>
      <c r="F12" s="720"/>
      <c r="G12" s="719"/>
      <c r="H12" s="720"/>
      <c r="I12" s="719"/>
      <c r="J12" s="720"/>
      <c r="K12" s="719"/>
      <c r="L12" s="720"/>
      <c r="M12" s="718"/>
      <c r="N12" s="329" t="s">
        <v>1108</v>
      </c>
    </row>
    <row r="13" spans="1:51" ht="30" customHeight="1">
      <c r="A13" s="333" t="s">
        <v>2226</v>
      </c>
      <c r="B13" s="333" t="s">
        <v>2227</v>
      </c>
      <c r="C13" s="333" t="s">
        <v>300</v>
      </c>
      <c r="D13" s="334">
        <v>1.05</v>
      </c>
      <c r="E13" s="370">
        <f>신규_단가대비표!O125</f>
        <v>12351.748500000002</v>
      </c>
      <c r="F13" s="361">
        <f>TRUNC(E13*D13,1)</f>
        <v>12969.3</v>
      </c>
      <c r="G13" s="370">
        <f>신규_단가대비표!P125</f>
        <v>0</v>
      </c>
      <c r="H13" s="361">
        <f>TRUNC(G13*D13,1)</f>
        <v>0</v>
      </c>
      <c r="I13" s="370">
        <f>신규_단가대비표!V125</f>
        <v>0</v>
      </c>
      <c r="J13" s="361">
        <f>TRUNC(I13*D13,1)</f>
        <v>0</v>
      </c>
      <c r="K13" s="370">
        <f t="shared" ref="K13:L16" si="1">TRUNC(E13+G13+I13,1)</f>
        <v>12351.7</v>
      </c>
      <c r="L13" s="361">
        <f t="shared" si="1"/>
        <v>12969.3</v>
      </c>
      <c r="M13" s="333" t="s">
        <v>378</v>
      </c>
      <c r="N13" s="329" t="s">
        <v>1108</v>
      </c>
      <c r="O13" s="329" t="s">
        <v>2228</v>
      </c>
      <c r="P13" s="329" t="s">
        <v>1105</v>
      </c>
      <c r="Q13" s="329" t="s">
        <v>1105</v>
      </c>
      <c r="R13" s="329" t="s">
        <v>1104</v>
      </c>
      <c r="AV13" s="329" t="s">
        <v>378</v>
      </c>
      <c r="AW13" s="329" t="s">
        <v>2229</v>
      </c>
      <c r="AX13" s="329" t="s">
        <v>378</v>
      </c>
      <c r="AY13" s="329" t="s">
        <v>378</v>
      </c>
    </row>
    <row r="14" spans="1:51" ht="30" customHeight="1">
      <c r="A14" s="333" t="s">
        <v>2230</v>
      </c>
      <c r="B14" s="333" t="s">
        <v>2231</v>
      </c>
      <c r="C14" s="333" t="s">
        <v>300</v>
      </c>
      <c r="D14" s="334">
        <v>1.05</v>
      </c>
      <c r="E14" s="370">
        <f>신규_단가대비표!O126</f>
        <v>19656.546000000002</v>
      </c>
      <c r="F14" s="361">
        <f>TRUNC(E14*D14,1)</f>
        <v>20639.3</v>
      </c>
      <c r="G14" s="370">
        <f>신규_단가대비표!P126</f>
        <v>0</v>
      </c>
      <c r="H14" s="361">
        <f>TRUNC(G14*D14,1)</f>
        <v>0</v>
      </c>
      <c r="I14" s="370">
        <f>신규_단가대비표!V126</f>
        <v>0</v>
      </c>
      <c r="J14" s="361">
        <f>TRUNC(I14*D14,1)</f>
        <v>0</v>
      </c>
      <c r="K14" s="370">
        <f t="shared" si="1"/>
        <v>19656.5</v>
      </c>
      <c r="L14" s="361">
        <f t="shared" si="1"/>
        <v>20639.3</v>
      </c>
      <c r="M14" s="333" t="s">
        <v>378</v>
      </c>
      <c r="N14" s="329" t="s">
        <v>1108</v>
      </c>
      <c r="O14" s="329" t="s">
        <v>2232</v>
      </c>
      <c r="P14" s="329" t="s">
        <v>1105</v>
      </c>
      <c r="Q14" s="329" t="s">
        <v>1105</v>
      </c>
      <c r="R14" s="329" t="s">
        <v>1104</v>
      </c>
      <c r="AV14" s="329" t="s">
        <v>378</v>
      </c>
      <c r="AW14" s="329" t="s">
        <v>2233</v>
      </c>
      <c r="AX14" s="329" t="s">
        <v>378</v>
      </c>
      <c r="AY14" s="329" t="s">
        <v>378</v>
      </c>
    </row>
    <row r="15" spans="1:51" ht="30" customHeight="1">
      <c r="A15" s="333" t="s">
        <v>2217</v>
      </c>
      <c r="B15" s="333" t="s">
        <v>2218</v>
      </c>
      <c r="C15" s="333" t="s">
        <v>212</v>
      </c>
      <c r="D15" s="334">
        <v>1</v>
      </c>
      <c r="E15" s="370">
        <f>TRUNC(SUMIF(V13:V16, RIGHTB(O15, 1), H13:H16)*U15, 2)</f>
        <v>1691.98</v>
      </c>
      <c r="F15" s="361">
        <f>TRUNC(E15*D15,1)</f>
        <v>1691.9</v>
      </c>
      <c r="G15" s="370">
        <v>0</v>
      </c>
      <c r="H15" s="361">
        <f>TRUNC(G15*D15,1)</f>
        <v>0</v>
      </c>
      <c r="I15" s="370">
        <v>0</v>
      </c>
      <c r="J15" s="361">
        <f>TRUNC(I15*D15,1)</f>
        <v>0</v>
      </c>
      <c r="K15" s="370">
        <f t="shared" si="1"/>
        <v>1691.9</v>
      </c>
      <c r="L15" s="361">
        <f t="shared" si="1"/>
        <v>1691.9</v>
      </c>
      <c r="M15" s="333" t="s">
        <v>378</v>
      </c>
      <c r="N15" s="329" t="s">
        <v>1108</v>
      </c>
      <c r="O15" s="329" t="s">
        <v>2211</v>
      </c>
      <c r="P15" s="329" t="s">
        <v>1105</v>
      </c>
      <c r="Q15" s="329" t="s">
        <v>1105</v>
      </c>
      <c r="R15" s="329" t="s">
        <v>1105</v>
      </c>
      <c r="S15" s="330">
        <v>1</v>
      </c>
      <c r="T15" s="330">
        <v>0</v>
      </c>
      <c r="U15" s="330">
        <v>0.03</v>
      </c>
      <c r="V15" s="330">
        <v>1</v>
      </c>
      <c r="AV15" s="329" t="s">
        <v>378</v>
      </c>
      <c r="AW15" s="329" t="s">
        <v>2234</v>
      </c>
      <c r="AX15" s="329" t="s">
        <v>378</v>
      </c>
      <c r="AY15" s="329" t="s">
        <v>378</v>
      </c>
    </row>
    <row r="16" spans="1:51" ht="30" customHeight="1">
      <c r="A16" s="333" t="s">
        <v>1851</v>
      </c>
      <c r="B16" s="333" t="s">
        <v>2221</v>
      </c>
      <c r="C16" s="333" t="s">
        <v>1852</v>
      </c>
      <c r="D16" s="334">
        <f>신규_공량산출근거서_일위대가!K9</f>
        <v>0.24</v>
      </c>
      <c r="E16" s="370">
        <f>신규_단가대비표!O154</f>
        <v>0</v>
      </c>
      <c r="F16" s="361">
        <f>TRUNC(E16*D16,1)</f>
        <v>0</v>
      </c>
      <c r="G16" s="370">
        <f>신규_단가대비표!P154</f>
        <v>234998.43458</v>
      </c>
      <c r="H16" s="361">
        <f>TRUNC(G16*D16,1)</f>
        <v>56399.6</v>
      </c>
      <c r="I16" s="370">
        <f>신규_단가대비표!V154</f>
        <v>0</v>
      </c>
      <c r="J16" s="361">
        <f>TRUNC(I16*D16,1)</f>
        <v>0</v>
      </c>
      <c r="K16" s="370">
        <f t="shared" si="1"/>
        <v>234998.39999999999</v>
      </c>
      <c r="L16" s="361">
        <f t="shared" si="1"/>
        <v>56399.6</v>
      </c>
      <c r="M16" s="333" t="s">
        <v>378</v>
      </c>
      <c r="N16" s="329" t="s">
        <v>1108</v>
      </c>
      <c r="O16" s="329" t="s">
        <v>2222</v>
      </c>
      <c r="P16" s="329" t="s">
        <v>1105</v>
      </c>
      <c r="Q16" s="329" t="s">
        <v>1105</v>
      </c>
      <c r="R16" s="329" t="s">
        <v>1104</v>
      </c>
      <c r="V16" s="330">
        <v>1</v>
      </c>
      <c r="AV16" s="329" t="s">
        <v>378</v>
      </c>
      <c r="AW16" s="329" t="s">
        <v>2235</v>
      </c>
      <c r="AX16" s="329" t="s">
        <v>378</v>
      </c>
      <c r="AY16" s="329" t="s">
        <v>378</v>
      </c>
    </row>
    <row r="17" spans="1:51" ht="30" customHeight="1">
      <c r="A17" s="333" t="s">
        <v>2224</v>
      </c>
      <c r="B17" s="333" t="s">
        <v>378</v>
      </c>
      <c r="C17" s="333" t="s">
        <v>378</v>
      </c>
      <c r="D17" s="334"/>
      <c r="E17" s="370"/>
      <c r="F17" s="361">
        <f>TRUNC(SUMIF(N13:N16, N12, F13:F16),0)</f>
        <v>35300</v>
      </c>
      <c r="G17" s="370"/>
      <c r="H17" s="361">
        <f>TRUNC(SUMIF(N13:N16, N12, H13:H16),0)</f>
        <v>56399</v>
      </c>
      <c r="I17" s="370"/>
      <c r="J17" s="361">
        <f>TRUNC(SUMIF(N13:N16, N12, J13:J16),0)</f>
        <v>0</v>
      </c>
      <c r="K17" s="370"/>
      <c r="L17" s="361">
        <f>F17+H17+J17</f>
        <v>91699</v>
      </c>
      <c r="M17" s="333" t="s">
        <v>378</v>
      </c>
      <c r="N17" s="329" t="s">
        <v>1197</v>
      </c>
      <c r="O17" s="329" t="s">
        <v>1197</v>
      </c>
      <c r="P17" s="329" t="s">
        <v>378</v>
      </c>
      <c r="Q17" s="329" t="s">
        <v>378</v>
      </c>
      <c r="R17" s="329" t="s">
        <v>378</v>
      </c>
      <c r="AV17" s="329" t="s">
        <v>378</v>
      </c>
      <c r="AW17" s="329" t="s">
        <v>378</v>
      </c>
      <c r="AX17" s="329" t="s">
        <v>378</v>
      </c>
      <c r="AY17" s="329" t="s">
        <v>378</v>
      </c>
    </row>
    <row r="18" spans="1:51" ht="30" customHeight="1">
      <c r="A18" s="334"/>
      <c r="B18" s="334"/>
      <c r="C18" s="334"/>
      <c r="D18" s="334"/>
      <c r="E18" s="370"/>
      <c r="F18" s="361"/>
      <c r="G18" s="370"/>
      <c r="H18" s="361"/>
      <c r="I18" s="370"/>
      <c r="J18" s="361"/>
      <c r="K18" s="370"/>
      <c r="L18" s="361"/>
      <c r="M18" s="334"/>
    </row>
    <row r="19" spans="1:51" ht="30" customHeight="1">
      <c r="A19" s="718" t="s">
        <v>2236</v>
      </c>
      <c r="B19" s="718"/>
      <c r="C19" s="718"/>
      <c r="D19" s="718"/>
      <c r="E19" s="719"/>
      <c r="F19" s="720"/>
      <c r="G19" s="719"/>
      <c r="H19" s="720"/>
      <c r="I19" s="719"/>
      <c r="J19" s="720"/>
      <c r="K19" s="719"/>
      <c r="L19" s="720"/>
      <c r="M19" s="718"/>
      <c r="N19" s="329" t="s">
        <v>1111</v>
      </c>
    </row>
    <row r="20" spans="1:51" ht="30" customHeight="1">
      <c r="A20" s="333" t="s">
        <v>2237</v>
      </c>
      <c r="B20" s="333" t="s">
        <v>2238</v>
      </c>
      <c r="C20" s="333" t="s">
        <v>300</v>
      </c>
      <c r="D20" s="334">
        <v>1.05</v>
      </c>
      <c r="E20" s="370">
        <f>신규_단가대비표!O10</f>
        <v>841.1585</v>
      </c>
      <c r="F20" s="361">
        <f>TRUNC(E20*D20,1)</f>
        <v>883.2</v>
      </c>
      <c r="G20" s="370">
        <f>신규_단가대비표!P10</f>
        <v>0</v>
      </c>
      <c r="H20" s="361">
        <f>TRUNC(G20*D20,1)</f>
        <v>0</v>
      </c>
      <c r="I20" s="370">
        <f>신규_단가대비표!V10</f>
        <v>0</v>
      </c>
      <c r="J20" s="361">
        <f>TRUNC(I20*D20,1)</f>
        <v>0</v>
      </c>
      <c r="K20" s="370">
        <f t="shared" ref="K20:L23" si="2">TRUNC(E20+G20+I20,1)</f>
        <v>841.1</v>
      </c>
      <c r="L20" s="361">
        <f t="shared" si="2"/>
        <v>883.2</v>
      </c>
      <c r="M20" s="333" t="s">
        <v>378</v>
      </c>
      <c r="N20" s="329" t="s">
        <v>1111</v>
      </c>
      <c r="O20" s="329" t="s">
        <v>2239</v>
      </c>
      <c r="P20" s="329" t="s">
        <v>1105</v>
      </c>
      <c r="Q20" s="329" t="s">
        <v>1105</v>
      </c>
      <c r="R20" s="329" t="s">
        <v>1104</v>
      </c>
      <c r="V20" s="330">
        <v>1</v>
      </c>
      <c r="AV20" s="329" t="s">
        <v>378</v>
      </c>
      <c r="AW20" s="329" t="s">
        <v>2240</v>
      </c>
      <c r="AX20" s="329" t="s">
        <v>378</v>
      </c>
      <c r="AY20" s="329" t="s">
        <v>378</v>
      </c>
    </row>
    <row r="21" spans="1:51" ht="30" customHeight="1">
      <c r="A21" s="333" t="s">
        <v>2213</v>
      </c>
      <c r="B21" s="333" t="s">
        <v>2214</v>
      </c>
      <c r="C21" s="333" t="s">
        <v>212</v>
      </c>
      <c r="D21" s="334">
        <v>1</v>
      </c>
      <c r="E21" s="370">
        <f>TRUNC(SUMIF(V20:V23, RIGHTB(O21, 1), F20:F23)*U21, 2)</f>
        <v>17.66</v>
      </c>
      <c r="F21" s="361">
        <f>TRUNC(E21*D21,1)</f>
        <v>17.600000000000001</v>
      </c>
      <c r="G21" s="370">
        <v>0</v>
      </c>
      <c r="H21" s="361">
        <f>TRUNC(G21*D21,1)</f>
        <v>0</v>
      </c>
      <c r="I21" s="370">
        <v>0</v>
      </c>
      <c r="J21" s="361">
        <f>TRUNC(I21*D21,1)</f>
        <v>0</v>
      </c>
      <c r="K21" s="370">
        <f t="shared" si="2"/>
        <v>17.600000000000001</v>
      </c>
      <c r="L21" s="361">
        <f t="shared" si="2"/>
        <v>17.600000000000001</v>
      </c>
      <c r="M21" s="333" t="s">
        <v>378</v>
      </c>
      <c r="N21" s="329" t="s">
        <v>1111</v>
      </c>
      <c r="O21" s="329" t="s">
        <v>2211</v>
      </c>
      <c r="P21" s="329" t="s">
        <v>1105</v>
      </c>
      <c r="Q21" s="329" t="s">
        <v>1105</v>
      </c>
      <c r="R21" s="329" t="s">
        <v>1105</v>
      </c>
      <c r="S21" s="330">
        <v>0</v>
      </c>
      <c r="T21" s="330">
        <v>0</v>
      </c>
      <c r="U21" s="330">
        <v>0.02</v>
      </c>
      <c r="W21" s="330">
        <v>2</v>
      </c>
      <c r="AV21" s="329" t="s">
        <v>378</v>
      </c>
      <c r="AW21" s="329" t="s">
        <v>2241</v>
      </c>
      <c r="AX21" s="329" t="s">
        <v>378</v>
      </c>
      <c r="AY21" s="329" t="s">
        <v>378</v>
      </c>
    </row>
    <row r="22" spans="1:51" ht="30" customHeight="1">
      <c r="A22" s="333" t="s">
        <v>1851</v>
      </c>
      <c r="B22" s="333" t="s">
        <v>2221</v>
      </c>
      <c r="C22" s="333" t="s">
        <v>1852</v>
      </c>
      <c r="D22" s="334">
        <f>신규_공량산출근거서_일위대가!K12</f>
        <v>8.9999999999999993E-3</v>
      </c>
      <c r="E22" s="370">
        <f>신규_단가대비표!O154</f>
        <v>0</v>
      </c>
      <c r="F22" s="361">
        <f>TRUNC(E22*D22,1)</f>
        <v>0</v>
      </c>
      <c r="G22" s="370">
        <f>신규_단가대비표!P154</f>
        <v>234998.43458</v>
      </c>
      <c r="H22" s="361">
        <f>TRUNC(G22*D22,1)</f>
        <v>2114.9</v>
      </c>
      <c r="I22" s="370">
        <f>신규_단가대비표!V154</f>
        <v>0</v>
      </c>
      <c r="J22" s="361">
        <f>TRUNC(I22*D22,1)</f>
        <v>0</v>
      </c>
      <c r="K22" s="370">
        <f t="shared" si="2"/>
        <v>234998.39999999999</v>
      </c>
      <c r="L22" s="361">
        <f t="shared" si="2"/>
        <v>2114.9</v>
      </c>
      <c r="M22" s="333" t="s">
        <v>378</v>
      </c>
      <c r="N22" s="329" t="s">
        <v>1111</v>
      </c>
      <c r="O22" s="329" t="s">
        <v>2222</v>
      </c>
      <c r="P22" s="329" t="s">
        <v>1105</v>
      </c>
      <c r="Q22" s="329" t="s">
        <v>1105</v>
      </c>
      <c r="R22" s="329" t="s">
        <v>1104</v>
      </c>
      <c r="W22" s="330">
        <v>2</v>
      </c>
      <c r="AV22" s="329" t="s">
        <v>378</v>
      </c>
      <c r="AW22" s="329" t="s">
        <v>2242</v>
      </c>
      <c r="AX22" s="329" t="s">
        <v>378</v>
      </c>
      <c r="AY22" s="329" t="s">
        <v>378</v>
      </c>
    </row>
    <row r="23" spans="1:51" ht="30" customHeight="1">
      <c r="A23" s="333" t="s">
        <v>2217</v>
      </c>
      <c r="B23" s="333" t="s">
        <v>2218</v>
      </c>
      <c r="C23" s="333" t="s">
        <v>212</v>
      </c>
      <c r="D23" s="334">
        <v>1</v>
      </c>
      <c r="E23" s="370">
        <f>TRUNC(SUMIF(W20:W23, RIGHTB(O23, 1), H20:H23)*U23, 2)</f>
        <v>63.44</v>
      </c>
      <c r="F23" s="361">
        <f>TRUNC(E23*D23,1)</f>
        <v>63.4</v>
      </c>
      <c r="G23" s="370">
        <v>0</v>
      </c>
      <c r="H23" s="361">
        <f>TRUNC(G23*D23,1)</f>
        <v>0</v>
      </c>
      <c r="I23" s="370">
        <v>0</v>
      </c>
      <c r="J23" s="361">
        <f>TRUNC(I23*D23,1)</f>
        <v>0</v>
      </c>
      <c r="K23" s="370">
        <f t="shared" si="2"/>
        <v>63.4</v>
      </c>
      <c r="L23" s="361">
        <f t="shared" si="2"/>
        <v>63.4</v>
      </c>
      <c r="M23" s="333" t="s">
        <v>378</v>
      </c>
      <c r="N23" s="329" t="s">
        <v>1111</v>
      </c>
      <c r="O23" s="329" t="s">
        <v>2215</v>
      </c>
      <c r="P23" s="329" t="s">
        <v>1105</v>
      </c>
      <c r="Q23" s="329" t="s">
        <v>1105</v>
      </c>
      <c r="R23" s="329" t="s">
        <v>1105</v>
      </c>
      <c r="S23" s="330">
        <v>1</v>
      </c>
      <c r="T23" s="330">
        <v>0</v>
      </c>
      <c r="U23" s="330">
        <v>0.03</v>
      </c>
      <c r="W23" s="330">
        <v>2</v>
      </c>
      <c r="AV23" s="329" t="s">
        <v>378</v>
      </c>
      <c r="AW23" s="329" t="s">
        <v>2243</v>
      </c>
      <c r="AX23" s="329" t="s">
        <v>378</v>
      </c>
      <c r="AY23" s="329" t="s">
        <v>378</v>
      </c>
    </row>
    <row r="24" spans="1:51" ht="30" customHeight="1">
      <c r="A24" s="333" t="s">
        <v>2224</v>
      </c>
      <c r="B24" s="333" t="s">
        <v>378</v>
      </c>
      <c r="C24" s="333" t="s">
        <v>378</v>
      </c>
      <c r="D24" s="334"/>
      <c r="E24" s="370"/>
      <c r="F24" s="361">
        <f>TRUNC(SUMIF(N20:N23, N19, F20:F23),0)</f>
        <v>964</v>
      </c>
      <c r="G24" s="370"/>
      <c r="H24" s="361">
        <f>TRUNC(SUMIF(N20:N23, N19, H20:H23),0)</f>
        <v>2114</v>
      </c>
      <c r="I24" s="370"/>
      <c r="J24" s="361">
        <f>TRUNC(SUMIF(N20:N23, N19, J20:J23),0)</f>
        <v>0</v>
      </c>
      <c r="K24" s="370"/>
      <c r="L24" s="361">
        <f>F24+H24+J24</f>
        <v>3078</v>
      </c>
      <c r="M24" s="333" t="s">
        <v>378</v>
      </c>
      <c r="N24" s="329" t="s">
        <v>1197</v>
      </c>
      <c r="O24" s="329" t="s">
        <v>1197</v>
      </c>
      <c r="P24" s="329" t="s">
        <v>378</v>
      </c>
      <c r="Q24" s="329" t="s">
        <v>378</v>
      </c>
      <c r="R24" s="329" t="s">
        <v>378</v>
      </c>
      <c r="AV24" s="329" t="s">
        <v>378</v>
      </c>
      <c r="AW24" s="329" t="s">
        <v>378</v>
      </c>
      <c r="AX24" s="329" t="s">
        <v>378</v>
      </c>
      <c r="AY24" s="329" t="s">
        <v>378</v>
      </c>
    </row>
    <row r="25" spans="1:51" ht="30" customHeight="1">
      <c r="A25" s="334"/>
      <c r="B25" s="334"/>
      <c r="C25" s="334"/>
      <c r="D25" s="334"/>
      <c r="E25" s="370"/>
      <c r="F25" s="361"/>
      <c r="G25" s="370"/>
      <c r="H25" s="361"/>
      <c r="I25" s="370"/>
      <c r="J25" s="361"/>
      <c r="K25" s="370"/>
      <c r="L25" s="361"/>
      <c r="M25" s="334"/>
    </row>
    <row r="26" spans="1:51" ht="30" customHeight="1">
      <c r="A26" s="718" t="s">
        <v>2244</v>
      </c>
      <c r="B26" s="718"/>
      <c r="C26" s="718"/>
      <c r="D26" s="718"/>
      <c r="E26" s="719"/>
      <c r="F26" s="720"/>
      <c r="G26" s="719"/>
      <c r="H26" s="720"/>
      <c r="I26" s="719"/>
      <c r="J26" s="720"/>
      <c r="K26" s="719"/>
      <c r="L26" s="720"/>
      <c r="M26" s="718"/>
      <c r="N26" s="329" t="s">
        <v>1113</v>
      </c>
    </row>
    <row r="27" spans="1:51" ht="30" customHeight="1">
      <c r="A27" s="333" t="s">
        <v>2237</v>
      </c>
      <c r="B27" s="333" t="s">
        <v>2245</v>
      </c>
      <c r="C27" s="333" t="s">
        <v>300</v>
      </c>
      <c r="D27" s="334">
        <v>1.1000000000000001</v>
      </c>
      <c r="E27" s="370">
        <f>신규_단가대비표!O11</f>
        <v>696.83341000000007</v>
      </c>
      <c r="F27" s="361">
        <f>TRUNC(E27*D27,1)</f>
        <v>766.5</v>
      </c>
      <c r="G27" s="370">
        <f>신규_단가대비표!P11</f>
        <v>0</v>
      </c>
      <c r="H27" s="361">
        <f>TRUNC(G27*D27,1)</f>
        <v>0</v>
      </c>
      <c r="I27" s="370">
        <f>신규_단가대비표!V11</f>
        <v>0</v>
      </c>
      <c r="J27" s="361">
        <f>TRUNC(I27*D27,1)</f>
        <v>0</v>
      </c>
      <c r="K27" s="370">
        <f t="shared" ref="K27:L30" si="3">TRUNC(E27+G27+I27,1)</f>
        <v>696.8</v>
      </c>
      <c r="L27" s="361">
        <f t="shared" si="3"/>
        <v>766.5</v>
      </c>
      <c r="M27" s="333" t="s">
        <v>378</v>
      </c>
      <c r="N27" s="329" t="s">
        <v>1113</v>
      </c>
      <c r="O27" s="329" t="s">
        <v>2246</v>
      </c>
      <c r="P27" s="329" t="s">
        <v>1105</v>
      </c>
      <c r="Q27" s="329" t="s">
        <v>1105</v>
      </c>
      <c r="R27" s="329" t="s">
        <v>1104</v>
      </c>
      <c r="V27" s="330">
        <v>1</v>
      </c>
      <c r="AV27" s="329" t="s">
        <v>378</v>
      </c>
      <c r="AW27" s="329" t="s">
        <v>2247</v>
      </c>
      <c r="AX27" s="329" t="s">
        <v>378</v>
      </c>
      <c r="AY27" s="329" t="s">
        <v>378</v>
      </c>
    </row>
    <row r="28" spans="1:51" ht="30" customHeight="1">
      <c r="A28" s="333" t="s">
        <v>2213</v>
      </c>
      <c r="B28" s="333" t="s">
        <v>2214</v>
      </c>
      <c r="C28" s="333" t="s">
        <v>212</v>
      </c>
      <c r="D28" s="334">
        <v>1</v>
      </c>
      <c r="E28" s="370">
        <f>TRUNC(SUMIF(V27:V30, RIGHTB(O28, 1), F27:F30)*U28, 2)</f>
        <v>15.33</v>
      </c>
      <c r="F28" s="361">
        <f>TRUNC(E28*D28,1)</f>
        <v>15.3</v>
      </c>
      <c r="G28" s="370">
        <v>0</v>
      </c>
      <c r="H28" s="361">
        <f>TRUNC(G28*D28,1)</f>
        <v>0</v>
      </c>
      <c r="I28" s="370">
        <v>0</v>
      </c>
      <c r="J28" s="361">
        <f>TRUNC(I28*D28,1)</f>
        <v>0</v>
      </c>
      <c r="K28" s="370">
        <f t="shared" si="3"/>
        <v>15.3</v>
      </c>
      <c r="L28" s="361">
        <f t="shared" si="3"/>
        <v>15.3</v>
      </c>
      <c r="M28" s="333" t="s">
        <v>378</v>
      </c>
      <c r="N28" s="329" t="s">
        <v>1113</v>
      </c>
      <c r="O28" s="329" t="s">
        <v>2211</v>
      </c>
      <c r="P28" s="329" t="s">
        <v>1105</v>
      </c>
      <c r="Q28" s="329" t="s">
        <v>1105</v>
      </c>
      <c r="R28" s="329" t="s">
        <v>1105</v>
      </c>
      <c r="S28" s="330">
        <v>0</v>
      </c>
      <c r="T28" s="330">
        <v>0</v>
      </c>
      <c r="U28" s="330">
        <v>0.02</v>
      </c>
      <c r="W28" s="330">
        <v>2</v>
      </c>
      <c r="AV28" s="329" t="s">
        <v>378</v>
      </c>
      <c r="AW28" s="329" t="s">
        <v>2248</v>
      </c>
      <c r="AX28" s="329" t="s">
        <v>378</v>
      </c>
      <c r="AY28" s="329" t="s">
        <v>378</v>
      </c>
    </row>
    <row r="29" spans="1:51" ht="30" customHeight="1">
      <c r="A29" s="333" t="s">
        <v>1851</v>
      </c>
      <c r="B29" s="333" t="s">
        <v>2221</v>
      </c>
      <c r="C29" s="333" t="s">
        <v>1852</v>
      </c>
      <c r="D29" s="334">
        <f>신규_공량산출근거서_일위대가!K15</f>
        <v>6.0000000000000001E-3</v>
      </c>
      <c r="E29" s="370">
        <f>신규_단가대비표!O154</f>
        <v>0</v>
      </c>
      <c r="F29" s="361">
        <f>TRUNC(E29*D29,1)</f>
        <v>0</v>
      </c>
      <c r="G29" s="370">
        <f>신규_단가대비표!P154</f>
        <v>234998.43458</v>
      </c>
      <c r="H29" s="361">
        <f>TRUNC(G29*D29,1)</f>
        <v>1409.9</v>
      </c>
      <c r="I29" s="370">
        <f>신규_단가대비표!V154</f>
        <v>0</v>
      </c>
      <c r="J29" s="361">
        <f>TRUNC(I29*D29,1)</f>
        <v>0</v>
      </c>
      <c r="K29" s="370">
        <f t="shared" si="3"/>
        <v>234998.39999999999</v>
      </c>
      <c r="L29" s="361">
        <f t="shared" si="3"/>
        <v>1409.9</v>
      </c>
      <c r="M29" s="333" t="s">
        <v>378</v>
      </c>
      <c r="N29" s="329" t="s">
        <v>1113</v>
      </c>
      <c r="O29" s="329" t="s">
        <v>2222</v>
      </c>
      <c r="P29" s="329" t="s">
        <v>1105</v>
      </c>
      <c r="Q29" s="329" t="s">
        <v>1105</v>
      </c>
      <c r="R29" s="329" t="s">
        <v>1104</v>
      </c>
      <c r="W29" s="330">
        <v>2</v>
      </c>
      <c r="AV29" s="329" t="s">
        <v>378</v>
      </c>
      <c r="AW29" s="329" t="s">
        <v>2249</v>
      </c>
      <c r="AX29" s="329" t="s">
        <v>378</v>
      </c>
      <c r="AY29" s="329" t="s">
        <v>378</v>
      </c>
    </row>
    <row r="30" spans="1:51" ht="30" customHeight="1">
      <c r="A30" s="333" t="s">
        <v>2217</v>
      </c>
      <c r="B30" s="333" t="s">
        <v>2218</v>
      </c>
      <c r="C30" s="333" t="s">
        <v>212</v>
      </c>
      <c r="D30" s="334">
        <v>1</v>
      </c>
      <c r="E30" s="370">
        <f>TRUNC(SUMIF(W27:W30, RIGHTB(O30, 1), H27:H30)*U30, 2)</f>
        <v>42.29</v>
      </c>
      <c r="F30" s="361">
        <f>TRUNC(E30*D30,1)</f>
        <v>42.2</v>
      </c>
      <c r="G30" s="370">
        <v>0</v>
      </c>
      <c r="H30" s="361">
        <f>TRUNC(G30*D30,1)</f>
        <v>0</v>
      </c>
      <c r="I30" s="370">
        <v>0</v>
      </c>
      <c r="J30" s="361">
        <f>TRUNC(I30*D30,1)</f>
        <v>0</v>
      </c>
      <c r="K30" s="370">
        <f t="shared" si="3"/>
        <v>42.2</v>
      </c>
      <c r="L30" s="361">
        <f t="shared" si="3"/>
        <v>42.2</v>
      </c>
      <c r="M30" s="333" t="s">
        <v>378</v>
      </c>
      <c r="N30" s="329" t="s">
        <v>1113</v>
      </c>
      <c r="O30" s="329" t="s">
        <v>2215</v>
      </c>
      <c r="P30" s="329" t="s">
        <v>1105</v>
      </c>
      <c r="Q30" s="329" t="s">
        <v>1105</v>
      </c>
      <c r="R30" s="329" t="s">
        <v>1105</v>
      </c>
      <c r="S30" s="330">
        <v>1</v>
      </c>
      <c r="T30" s="330">
        <v>0</v>
      </c>
      <c r="U30" s="330">
        <v>0.03</v>
      </c>
      <c r="W30" s="330">
        <v>2</v>
      </c>
      <c r="AV30" s="329" t="s">
        <v>378</v>
      </c>
      <c r="AW30" s="329" t="s">
        <v>2250</v>
      </c>
      <c r="AX30" s="329" t="s">
        <v>378</v>
      </c>
      <c r="AY30" s="329" t="s">
        <v>378</v>
      </c>
    </row>
    <row r="31" spans="1:51" ht="30" customHeight="1">
      <c r="A31" s="333" t="s">
        <v>2224</v>
      </c>
      <c r="B31" s="333" t="s">
        <v>378</v>
      </c>
      <c r="C31" s="333" t="s">
        <v>378</v>
      </c>
      <c r="D31" s="334"/>
      <c r="E31" s="370"/>
      <c r="F31" s="361">
        <f>TRUNC(SUMIF(N27:N30, N26, F27:F30),0)</f>
        <v>824</v>
      </c>
      <c r="G31" s="370"/>
      <c r="H31" s="361">
        <f>TRUNC(SUMIF(N27:N30, N26, H27:H30),0)</f>
        <v>1409</v>
      </c>
      <c r="I31" s="370"/>
      <c r="J31" s="361">
        <f>TRUNC(SUMIF(N27:N30, N26, J27:J30),0)</f>
        <v>0</v>
      </c>
      <c r="K31" s="370"/>
      <c r="L31" s="361">
        <f>F31+H31+J31</f>
        <v>2233</v>
      </c>
      <c r="M31" s="333" t="s">
        <v>378</v>
      </c>
      <c r="N31" s="329" t="s">
        <v>1197</v>
      </c>
      <c r="O31" s="329" t="s">
        <v>1197</v>
      </c>
      <c r="P31" s="329" t="s">
        <v>378</v>
      </c>
      <c r="Q31" s="329" t="s">
        <v>378</v>
      </c>
      <c r="R31" s="329" t="s">
        <v>378</v>
      </c>
      <c r="AV31" s="329" t="s">
        <v>378</v>
      </c>
      <c r="AW31" s="329" t="s">
        <v>378</v>
      </c>
      <c r="AX31" s="329" t="s">
        <v>378</v>
      </c>
      <c r="AY31" s="329" t="s">
        <v>378</v>
      </c>
    </row>
    <row r="32" spans="1:51" ht="30" customHeight="1">
      <c r="A32" s="334"/>
      <c r="B32" s="334"/>
      <c r="C32" s="334"/>
      <c r="D32" s="334"/>
      <c r="E32" s="370"/>
      <c r="F32" s="361"/>
      <c r="G32" s="370"/>
      <c r="H32" s="361"/>
      <c r="I32" s="370"/>
      <c r="J32" s="361"/>
      <c r="K32" s="370"/>
      <c r="L32" s="361"/>
      <c r="M32" s="334"/>
    </row>
    <row r="33" spans="1:51" ht="30" customHeight="1">
      <c r="A33" s="718" t="s">
        <v>2251</v>
      </c>
      <c r="B33" s="718"/>
      <c r="C33" s="718"/>
      <c r="D33" s="718"/>
      <c r="E33" s="719"/>
      <c r="F33" s="720"/>
      <c r="G33" s="719"/>
      <c r="H33" s="720"/>
      <c r="I33" s="719"/>
      <c r="J33" s="720"/>
      <c r="K33" s="719"/>
      <c r="L33" s="720"/>
      <c r="M33" s="718"/>
      <c r="N33" s="329" t="s">
        <v>1116</v>
      </c>
    </row>
    <row r="34" spans="1:51" ht="30" customHeight="1">
      <c r="A34" s="333" t="s">
        <v>2237</v>
      </c>
      <c r="B34" s="333" t="s">
        <v>2252</v>
      </c>
      <c r="C34" s="333" t="s">
        <v>300</v>
      </c>
      <c r="D34" s="334">
        <v>1.1000000000000001</v>
      </c>
      <c r="E34" s="370">
        <f>신규_단가대비표!O12</f>
        <v>1684.0878600000001</v>
      </c>
      <c r="F34" s="361">
        <f>TRUNC(E34*D34,1)</f>
        <v>1852.4</v>
      </c>
      <c r="G34" s="370">
        <f>신규_단가대비표!P12</f>
        <v>0</v>
      </c>
      <c r="H34" s="361">
        <f>TRUNC(G34*D34,1)</f>
        <v>0</v>
      </c>
      <c r="I34" s="370">
        <f>신규_단가대비표!V12</f>
        <v>0</v>
      </c>
      <c r="J34" s="361">
        <f>TRUNC(I34*D34,1)</f>
        <v>0</v>
      </c>
      <c r="K34" s="370">
        <f t="shared" ref="K34:L37" si="4">TRUNC(E34+G34+I34,1)</f>
        <v>1684</v>
      </c>
      <c r="L34" s="361">
        <f t="shared" si="4"/>
        <v>1852.4</v>
      </c>
      <c r="M34" s="333" t="s">
        <v>378</v>
      </c>
      <c r="N34" s="329" t="s">
        <v>1116</v>
      </c>
      <c r="O34" s="329" t="s">
        <v>2253</v>
      </c>
      <c r="P34" s="329" t="s">
        <v>1105</v>
      </c>
      <c r="Q34" s="329" t="s">
        <v>1105</v>
      </c>
      <c r="R34" s="329" t="s">
        <v>1104</v>
      </c>
      <c r="V34" s="330">
        <v>1</v>
      </c>
      <c r="AV34" s="329" t="s">
        <v>378</v>
      </c>
      <c r="AW34" s="329" t="s">
        <v>2254</v>
      </c>
      <c r="AX34" s="329" t="s">
        <v>378</v>
      </c>
      <c r="AY34" s="329" t="s">
        <v>378</v>
      </c>
    </row>
    <row r="35" spans="1:51" ht="30" customHeight="1">
      <c r="A35" s="333" t="s">
        <v>2213</v>
      </c>
      <c r="B35" s="333" t="s">
        <v>2214</v>
      </c>
      <c r="C35" s="333" t="s">
        <v>212</v>
      </c>
      <c r="D35" s="334">
        <v>1</v>
      </c>
      <c r="E35" s="370">
        <f>TRUNC(SUMIF(V34:V37, RIGHTB(O35, 1), F34:F37)*U35, 2)</f>
        <v>37.04</v>
      </c>
      <c r="F35" s="361">
        <f>TRUNC(E35*D35,1)</f>
        <v>37</v>
      </c>
      <c r="G35" s="370">
        <v>0</v>
      </c>
      <c r="H35" s="361">
        <f>TRUNC(G35*D35,1)</f>
        <v>0</v>
      </c>
      <c r="I35" s="370">
        <v>0</v>
      </c>
      <c r="J35" s="361">
        <f>TRUNC(I35*D35,1)</f>
        <v>0</v>
      </c>
      <c r="K35" s="370">
        <f t="shared" si="4"/>
        <v>37</v>
      </c>
      <c r="L35" s="361">
        <f t="shared" si="4"/>
        <v>37</v>
      </c>
      <c r="M35" s="333" t="s">
        <v>378</v>
      </c>
      <c r="N35" s="329" t="s">
        <v>1116</v>
      </c>
      <c r="O35" s="329" t="s">
        <v>2211</v>
      </c>
      <c r="P35" s="329" t="s">
        <v>1105</v>
      </c>
      <c r="Q35" s="329" t="s">
        <v>1105</v>
      </c>
      <c r="R35" s="329" t="s">
        <v>1105</v>
      </c>
      <c r="S35" s="330">
        <v>0</v>
      </c>
      <c r="T35" s="330">
        <v>0</v>
      </c>
      <c r="U35" s="330">
        <v>0.02</v>
      </c>
      <c r="W35" s="330">
        <v>2</v>
      </c>
      <c r="AV35" s="329" t="s">
        <v>378</v>
      </c>
      <c r="AW35" s="329" t="s">
        <v>2255</v>
      </c>
      <c r="AX35" s="329" t="s">
        <v>378</v>
      </c>
      <c r="AY35" s="329" t="s">
        <v>378</v>
      </c>
    </row>
    <row r="36" spans="1:51" ht="30" customHeight="1">
      <c r="A36" s="333" t="s">
        <v>2217</v>
      </c>
      <c r="B36" s="333" t="s">
        <v>2218</v>
      </c>
      <c r="C36" s="333" t="s">
        <v>212</v>
      </c>
      <c r="D36" s="334">
        <v>1</v>
      </c>
      <c r="E36" s="370">
        <f>TRUNC(SUMIF(W34:W37, RIGHTB(O36, 1), H34:H37)*U36, 2)</f>
        <v>74.02</v>
      </c>
      <c r="F36" s="361">
        <f>TRUNC(E36*D36,1)</f>
        <v>74</v>
      </c>
      <c r="G36" s="370">
        <v>0</v>
      </c>
      <c r="H36" s="361">
        <f>TRUNC(G36*D36,1)</f>
        <v>0</v>
      </c>
      <c r="I36" s="370">
        <v>0</v>
      </c>
      <c r="J36" s="361">
        <f>TRUNC(I36*D36,1)</f>
        <v>0</v>
      </c>
      <c r="K36" s="370">
        <f t="shared" si="4"/>
        <v>74</v>
      </c>
      <c r="L36" s="361">
        <f t="shared" si="4"/>
        <v>74</v>
      </c>
      <c r="M36" s="333" t="s">
        <v>378</v>
      </c>
      <c r="N36" s="329" t="s">
        <v>1116</v>
      </c>
      <c r="O36" s="329" t="s">
        <v>2215</v>
      </c>
      <c r="P36" s="329" t="s">
        <v>1105</v>
      </c>
      <c r="Q36" s="329" t="s">
        <v>1105</v>
      </c>
      <c r="R36" s="329" t="s">
        <v>1105</v>
      </c>
      <c r="S36" s="330">
        <v>1</v>
      </c>
      <c r="T36" s="330">
        <v>0</v>
      </c>
      <c r="U36" s="330">
        <v>0.03</v>
      </c>
      <c r="W36" s="330">
        <v>2</v>
      </c>
      <c r="AV36" s="329" t="s">
        <v>378</v>
      </c>
      <c r="AW36" s="329" t="s">
        <v>2256</v>
      </c>
      <c r="AX36" s="329" t="s">
        <v>378</v>
      </c>
      <c r="AY36" s="329" t="s">
        <v>378</v>
      </c>
    </row>
    <row r="37" spans="1:51" ht="30" customHeight="1">
      <c r="A37" s="333" t="s">
        <v>1851</v>
      </c>
      <c r="B37" s="333" t="s">
        <v>2221</v>
      </c>
      <c r="C37" s="333" t="s">
        <v>1852</v>
      </c>
      <c r="D37" s="334">
        <f>신규_공량산출근거서_일위대가!K18</f>
        <v>1.0500000000000001E-2</v>
      </c>
      <c r="E37" s="370">
        <f>신규_단가대비표!O154</f>
        <v>0</v>
      </c>
      <c r="F37" s="361">
        <f>TRUNC(E37*D37,1)</f>
        <v>0</v>
      </c>
      <c r="G37" s="370">
        <f>신규_단가대비표!P154</f>
        <v>234998.43458</v>
      </c>
      <c r="H37" s="361">
        <f>TRUNC(G37*D37,1)</f>
        <v>2467.4</v>
      </c>
      <c r="I37" s="370">
        <f>신규_단가대비표!V154</f>
        <v>0</v>
      </c>
      <c r="J37" s="361">
        <f>TRUNC(I37*D37,1)</f>
        <v>0</v>
      </c>
      <c r="K37" s="370">
        <f t="shared" si="4"/>
        <v>234998.39999999999</v>
      </c>
      <c r="L37" s="361">
        <f t="shared" si="4"/>
        <v>2467.4</v>
      </c>
      <c r="M37" s="333" t="s">
        <v>378</v>
      </c>
      <c r="N37" s="329" t="s">
        <v>1116</v>
      </c>
      <c r="O37" s="329" t="s">
        <v>2222</v>
      </c>
      <c r="P37" s="329" t="s">
        <v>1105</v>
      </c>
      <c r="Q37" s="329" t="s">
        <v>1105</v>
      </c>
      <c r="R37" s="329" t="s">
        <v>1104</v>
      </c>
      <c r="W37" s="330">
        <v>2</v>
      </c>
      <c r="AV37" s="329" t="s">
        <v>378</v>
      </c>
      <c r="AW37" s="329" t="s">
        <v>2257</v>
      </c>
      <c r="AX37" s="329" t="s">
        <v>378</v>
      </c>
      <c r="AY37" s="329" t="s">
        <v>378</v>
      </c>
    </row>
    <row r="38" spans="1:51" ht="30" customHeight="1">
      <c r="A38" s="333" t="s">
        <v>2224</v>
      </c>
      <c r="B38" s="333" t="s">
        <v>378</v>
      </c>
      <c r="C38" s="333" t="s">
        <v>378</v>
      </c>
      <c r="D38" s="334"/>
      <c r="E38" s="370"/>
      <c r="F38" s="361">
        <f>TRUNC(SUMIF(N34:N37, N33, F34:F37),0)</f>
        <v>1963</v>
      </c>
      <c r="G38" s="370"/>
      <c r="H38" s="361">
        <f>TRUNC(SUMIF(N34:N37, N33, H34:H37),0)</f>
        <v>2467</v>
      </c>
      <c r="I38" s="370"/>
      <c r="J38" s="361">
        <f>TRUNC(SUMIF(N34:N37, N33, J34:J37),0)</f>
        <v>0</v>
      </c>
      <c r="K38" s="370"/>
      <c r="L38" s="361">
        <f>F38+H38+J38</f>
        <v>4430</v>
      </c>
      <c r="M38" s="333" t="s">
        <v>378</v>
      </c>
      <c r="N38" s="329" t="s">
        <v>1197</v>
      </c>
      <c r="O38" s="329" t="s">
        <v>1197</v>
      </c>
      <c r="P38" s="329" t="s">
        <v>378</v>
      </c>
      <c r="Q38" s="329" t="s">
        <v>378</v>
      </c>
      <c r="R38" s="329" t="s">
        <v>378</v>
      </c>
      <c r="AV38" s="329" t="s">
        <v>378</v>
      </c>
      <c r="AW38" s="329" t="s">
        <v>378</v>
      </c>
      <c r="AX38" s="329" t="s">
        <v>378</v>
      </c>
      <c r="AY38" s="329" t="s">
        <v>378</v>
      </c>
    </row>
    <row r="39" spans="1:51" ht="30" customHeight="1">
      <c r="A39" s="334"/>
      <c r="B39" s="334"/>
      <c r="C39" s="334"/>
      <c r="D39" s="334"/>
      <c r="E39" s="370"/>
      <c r="F39" s="361"/>
      <c r="G39" s="370"/>
      <c r="H39" s="361"/>
      <c r="I39" s="370"/>
      <c r="J39" s="361"/>
      <c r="K39" s="370"/>
      <c r="L39" s="361"/>
      <c r="M39" s="334"/>
    </row>
    <row r="40" spans="1:51" ht="30" customHeight="1">
      <c r="A40" s="718" t="s">
        <v>2258</v>
      </c>
      <c r="B40" s="718"/>
      <c r="C40" s="718"/>
      <c r="D40" s="718"/>
      <c r="E40" s="719"/>
      <c r="F40" s="720"/>
      <c r="G40" s="719"/>
      <c r="H40" s="720"/>
      <c r="I40" s="719"/>
      <c r="J40" s="720"/>
      <c r="K40" s="719"/>
      <c r="L40" s="720"/>
      <c r="M40" s="718"/>
      <c r="N40" s="329" t="s">
        <v>1119</v>
      </c>
    </row>
    <row r="41" spans="1:51" ht="30" customHeight="1">
      <c r="A41" s="333" t="s">
        <v>2237</v>
      </c>
      <c r="B41" s="333" t="s">
        <v>2259</v>
      </c>
      <c r="C41" s="333" t="s">
        <v>300</v>
      </c>
      <c r="D41" s="334">
        <v>1.1000000000000001</v>
      </c>
      <c r="E41" s="370">
        <f>신규_단가대비표!O15</f>
        <v>3346.9254000000001</v>
      </c>
      <c r="F41" s="361">
        <f>TRUNC(E41*D41,1)</f>
        <v>3681.6</v>
      </c>
      <c r="G41" s="370">
        <f>신규_단가대비표!P15</f>
        <v>0</v>
      </c>
      <c r="H41" s="361">
        <f>TRUNC(G41*D41,1)</f>
        <v>0</v>
      </c>
      <c r="I41" s="370">
        <f>신규_단가대비표!V15</f>
        <v>0</v>
      </c>
      <c r="J41" s="361">
        <f>TRUNC(I41*D41,1)</f>
        <v>0</v>
      </c>
      <c r="K41" s="370">
        <f t="shared" ref="K41:L44" si="5">TRUNC(E41+G41+I41,1)</f>
        <v>3346.9</v>
      </c>
      <c r="L41" s="361">
        <f t="shared" si="5"/>
        <v>3681.6</v>
      </c>
      <c r="M41" s="333" t="s">
        <v>378</v>
      </c>
      <c r="N41" s="329" t="s">
        <v>1119</v>
      </c>
      <c r="O41" s="329" t="s">
        <v>2260</v>
      </c>
      <c r="P41" s="329" t="s">
        <v>1105</v>
      </c>
      <c r="Q41" s="329" t="s">
        <v>1105</v>
      </c>
      <c r="R41" s="329" t="s">
        <v>1104</v>
      </c>
      <c r="V41" s="330">
        <v>1</v>
      </c>
      <c r="AV41" s="329" t="s">
        <v>378</v>
      </c>
      <c r="AW41" s="329" t="s">
        <v>2261</v>
      </c>
      <c r="AX41" s="329" t="s">
        <v>378</v>
      </c>
      <c r="AY41" s="329" t="s">
        <v>378</v>
      </c>
    </row>
    <row r="42" spans="1:51" ht="30" customHeight="1">
      <c r="A42" s="333" t="s">
        <v>2213</v>
      </c>
      <c r="B42" s="333" t="s">
        <v>2214</v>
      </c>
      <c r="C42" s="333" t="s">
        <v>212</v>
      </c>
      <c r="D42" s="334">
        <v>1</v>
      </c>
      <c r="E42" s="370">
        <f>TRUNC(SUMIF(V41:V44, RIGHTB(O42, 1), F41:F44)*U42, 2)</f>
        <v>73.63</v>
      </c>
      <c r="F42" s="361">
        <f>TRUNC(E42*D42,1)</f>
        <v>73.599999999999994</v>
      </c>
      <c r="G42" s="370">
        <v>0</v>
      </c>
      <c r="H42" s="361">
        <f>TRUNC(G42*D42,1)</f>
        <v>0</v>
      </c>
      <c r="I42" s="370">
        <v>0</v>
      </c>
      <c r="J42" s="361">
        <f>TRUNC(I42*D42,1)</f>
        <v>0</v>
      </c>
      <c r="K42" s="370">
        <f t="shared" si="5"/>
        <v>73.599999999999994</v>
      </c>
      <c r="L42" s="361">
        <f t="shared" si="5"/>
        <v>73.599999999999994</v>
      </c>
      <c r="M42" s="333" t="s">
        <v>378</v>
      </c>
      <c r="N42" s="329" t="s">
        <v>1119</v>
      </c>
      <c r="O42" s="329" t="s">
        <v>2211</v>
      </c>
      <c r="P42" s="329" t="s">
        <v>1105</v>
      </c>
      <c r="Q42" s="329" t="s">
        <v>1105</v>
      </c>
      <c r="R42" s="329" t="s">
        <v>1105</v>
      </c>
      <c r="S42" s="330">
        <v>0</v>
      </c>
      <c r="T42" s="330">
        <v>0</v>
      </c>
      <c r="U42" s="330">
        <v>0.02</v>
      </c>
      <c r="W42" s="330">
        <v>2</v>
      </c>
      <c r="AV42" s="329" t="s">
        <v>378</v>
      </c>
      <c r="AW42" s="329" t="s">
        <v>2262</v>
      </c>
      <c r="AX42" s="329" t="s">
        <v>378</v>
      </c>
      <c r="AY42" s="329" t="s">
        <v>378</v>
      </c>
    </row>
    <row r="43" spans="1:51" ht="30" customHeight="1">
      <c r="A43" s="333" t="s">
        <v>2217</v>
      </c>
      <c r="B43" s="333" t="s">
        <v>2218</v>
      </c>
      <c r="C43" s="333" t="s">
        <v>212</v>
      </c>
      <c r="D43" s="334">
        <v>1</v>
      </c>
      <c r="E43" s="370">
        <f>TRUNC(SUMIF(W41:W44, RIGHTB(O43, 1), H41:H44)*U43, 2)</f>
        <v>74.02</v>
      </c>
      <c r="F43" s="361">
        <f>TRUNC(E43*D43,1)</f>
        <v>74</v>
      </c>
      <c r="G43" s="370">
        <v>0</v>
      </c>
      <c r="H43" s="361">
        <f>TRUNC(G43*D43,1)</f>
        <v>0</v>
      </c>
      <c r="I43" s="370">
        <v>0</v>
      </c>
      <c r="J43" s="361">
        <f>TRUNC(I43*D43,1)</f>
        <v>0</v>
      </c>
      <c r="K43" s="370">
        <f t="shared" si="5"/>
        <v>74</v>
      </c>
      <c r="L43" s="361">
        <f t="shared" si="5"/>
        <v>74</v>
      </c>
      <c r="M43" s="333" t="s">
        <v>378</v>
      </c>
      <c r="N43" s="329" t="s">
        <v>1119</v>
      </c>
      <c r="O43" s="329" t="s">
        <v>2215</v>
      </c>
      <c r="P43" s="329" t="s">
        <v>1105</v>
      </c>
      <c r="Q43" s="329" t="s">
        <v>1105</v>
      </c>
      <c r="R43" s="329" t="s">
        <v>1105</v>
      </c>
      <c r="S43" s="330">
        <v>1</v>
      </c>
      <c r="T43" s="330">
        <v>0</v>
      </c>
      <c r="U43" s="330">
        <v>0.03</v>
      </c>
      <c r="W43" s="330">
        <v>2</v>
      </c>
      <c r="AV43" s="329" t="s">
        <v>378</v>
      </c>
      <c r="AW43" s="329" t="s">
        <v>2263</v>
      </c>
      <c r="AX43" s="329" t="s">
        <v>378</v>
      </c>
      <c r="AY43" s="329" t="s">
        <v>378</v>
      </c>
    </row>
    <row r="44" spans="1:51" ht="30" customHeight="1">
      <c r="A44" s="333" t="s">
        <v>1851</v>
      </c>
      <c r="B44" s="333" t="s">
        <v>2221</v>
      </c>
      <c r="C44" s="333" t="s">
        <v>1852</v>
      </c>
      <c r="D44" s="334">
        <f>신규_공량산출근거서_일위대가!K21</f>
        <v>1.0500000000000001E-2</v>
      </c>
      <c r="E44" s="370">
        <f>신규_단가대비표!O154</f>
        <v>0</v>
      </c>
      <c r="F44" s="361">
        <f>TRUNC(E44*D44,1)</f>
        <v>0</v>
      </c>
      <c r="G44" s="370">
        <f>신규_단가대비표!P154</f>
        <v>234998.43458</v>
      </c>
      <c r="H44" s="361">
        <f>TRUNC(G44*D44,1)</f>
        <v>2467.4</v>
      </c>
      <c r="I44" s="370">
        <f>신규_단가대비표!V154</f>
        <v>0</v>
      </c>
      <c r="J44" s="361">
        <f>TRUNC(I44*D44,1)</f>
        <v>0</v>
      </c>
      <c r="K44" s="370">
        <f t="shared" si="5"/>
        <v>234998.39999999999</v>
      </c>
      <c r="L44" s="361">
        <f t="shared" si="5"/>
        <v>2467.4</v>
      </c>
      <c r="M44" s="333" t="s">
        <v>378</v>
      </c>
      <c r="N44" s="329" t="s">
        <v>1119</v>
      </c>
      <c r="O44" s="329" t="s">
        <v>2222</v>
      </c>
      <c r="P44" s="329" t="s">
        <v>1105</v>
      </c>
      <c r="Q44" s="329" t="s">
        <v>1105</v>
      </c>
      <c r="R44" s="329" t="s">
        <v>1104</v>
      </c>
      <c r="W44" s="330">
        <v>2</v>
      </c>
      <c r="AV44" s="329" t="s">
        <v>378</v>
      </c>
      <c r="AW44" s="329" t="s">
        <v>2264</v>
      </c>
      <c r="AX44" s="329" t="s">
        <v>378</v>
      </c>
      <c r="AY44" s="329" t="s">
        <v>378</v>
      </c>
    </row>
    <row r="45" spans="1:51" ht="30" customHeight="1">
      <c r="A45" s="333" t="s">
        <v>2224</v>
      </c>
      <c r="B45" s="333" t="s">
        <v>378</v>
      </c>
      <c r="C45" s="333" t="s">
        <v>378</v>
      </c>
      <c r="D45" s="334"/>
      <c r="E45" s="370"/>
      <c r="F45" s="361">
        <f>TRUNC(SUMIF(N41:N44, N40, F41:F44),0)</f>
        <v>3829</v>
      </c>
      <c r="G45" s="370"/>
      <c r="H45" s="361">
        <f>TRUNC(SUMIF(N41:N44, N40, H41:H44),0)</f>
        <v>2467</v>
      </c>
      <c r="I45" s="370"/>
      <c r="J45" s="361">
        <f>TRUNC(SUMIF(N41:N44, N40, J41:J44),0)</f>
        <v>0</v>
      </c>
      <c r="K45" s="370"/>
      <c r="L45" s="361">
        <f>F45+H45+J45</f>
        <v>6296</v>
      </c>
      <c r="M45" s="333" t="s">
        <v>378</v>
      </c>
      <c r="N45" s="329" t="s">
        <v>1197</v>
      </c>
      <c r="O45" s="329" t="s">
        <v>1197</v>
      </c>
      <c r="P45" s="329" t="s">
        <v>378</v>
      </c>
      <c r="Q45" s="329" t="s">
        <v>378</v>
      </c>
      <c r="R45" s="329" t="s">
        <v>378</v>
      </c>
      <c r="AV45" s="329" t="s">
        <v>378</v>
      </c>
      <c r="AW45" s="329" t="s">
        <v>378</v>
      </c>
      <c r="AX45" s="329" t="s">
        <v>378</v>
      </c>
      <c r="AY45" s="329" t="s">
        <v>378</v>
      </c>
    </row>
    <row r="46" spans="1:51" ht="30" customHeight="1">
      <c r="A46" s="334"/>
      <c r="B46" s="334"/>
      <c r="C46" s="334"/>
      <c r="D46" s="334"/>
      <c r="E46" s="370"/>
      <c r="F46" s="361"/>
      <c r="G46" s="370"/>
      <c r="H46" s="361"/>
      <c r="I46" s="370"/>
      <c r="J46" s="361"/>
      <c r="K46" s="370"/>
      <c r="L46" s="361"/>
      <c r="M46" s="334"/>
    </row>
    <row r="47" spans="1:51" ht="30" customHeight="1">
      <c r="A47" s="718" t="s">
        <v>2265</v>
      </c>
      <c r="B47" s="718"/>
      <c r="C47" s="718"/>
      <c r="D47" s="718"/>
      <c r="E47" s="719"/>
      <c r="F47" s="720"/>
      <c r="G47" s="719"/>
      <c r="H47" s="720"/>
      <c r="I47" s="719"/>
      <c r="J47" s="720"/>
      <c r="K47" s="719"/>
      <c r="L47" s="720"/>
      <c r="M47" s="718"/>
      <c r="N47" s="329" t="s">
        <v>1122</v>
      </c>
    </row>
    <row r="48" spans="1:51" ht="30" customHeight="1">
      <c r="A48" s="333" t="s">
        <v>2237</v>
      </c>
      <c r="B48" s="333" t="s">
        <v>2266</v>
      </c>
      <c r="C48" s="333" t="s">
        <v>300</v>
      </c>
      <c r="D48" s="334">
        <v>1.1000000000000001</v>
      </c>
      <c r="E48" s="370">
        <f>신규_단가대비표!O14</f>
        <v>22972.481350000002</v>
      </c>
      <c r="F48" s="361">
        <f>TRUNC(E48*D48,1)</f>
        <v>25269.7</v>
      </c>
      <c r="G48" s="370">
        <f>신규_단가대비표!P14</f>
        <v>0</v>
      </c>
      <c r="H48" s="361">
        <f>TRUNC(G48*D48,1)</f>
        <v>0</v>
      </c>
      <c r="I48" s="370">
        <f>신규_단가대비표!V14</f>
        <v>0</v>
      </c>
      <c r="J48" s="361">
        <f>TRUNC(I48*D48,1)</f>
        <v>0</v>
      </c>
      <c r="K48" s="370">
        <f t="shared" ref="K48:L51" si="6">TRUNC(E48+G48+I48,1)</f>
        <v>22972.400000000001</v>
      </c>
      <c r="L48" s="361">
        <f t="shared" si="6"/>
        <v>25269.7</v>
      </c>
      <c r="M48" s="333" t="s">
        <v>378</v>
      </c>
      <c r="N48" s="329" t="s">
        <v>1122</v>
      </c>
      <c r="O48" s="329" t="s">
        <v>2267</v>
      </c>
      <c r="P48" s="329" t="s">
        <v>1105</v>
      </c>
      <c r="Q48" s="329" t="s">
        <v>1105</v>
      </c>
      <c r="R48" s="329" t="s">
        <v>1104</v>
      </c>
      <c r="V48" s="330">
        <v>1</v>
      </c>
      <c r="AV48" s="329" t="s">
        <v>378</v>
      </c>
      <c r="AW48" s="329" t="s">
        <v>2268</v>
      </c>
      <c r="AX48" s="329" t="s">
        <v>378</v>
      </c>
      <c r="AY48" s="329" t="s">
        <v>378</v>
      </c>
    </row>
    <row r="49" spans="1:51" ht="30" customHeight="1">
      <c r="A49" s="333" t="s">
        <v>2213</v>
      </c>
      <c r="B49" s="333" t="s">
        <v>2214</v>
      </c>
      <c r="C49" s="333" t="s">
        <v>212</v>
      </c>
      <c r="D49" s="334">
        <v>1</v>
      </c>
      <c r="E49" s="370">
        <f>TRUNC(SUMIF(V48:V51, RIGHTB(O49, 1), F48:F51)*U49, 2)</f>
        <v>505.39</v>
      </c>
      <c r="F49" s="361">
        <f>TRUNC(E49*D49,1)</f>
        <v>505.3</v>
      </c>
      <c r="G49" s="370">
        <v>0</v>
      </c>
      <c r="H49" s="361">
        <f>TRUNC(G49*D49,1)</f>
        <v>0</v>
      </c>
      <c r="I49" s="370">
        <v>0</v>
      </c>
      <c r="J49" s="361">
        <f>TRUNC(I49*D49,1)</f>
        <v>0</v>
      </c>
      <c r="K49" s="370">
        <f t="shared" si="6"/>
        <v>505.3</v>
      </c>
      <c r="L49" s="361">
        <f t="shared" si="6"/>
        <v>505.3</v>
      </c>
      <c r="M49" s="333" t="s">
        <v>378</v>
      </c>
      <c r="N49" s="329" t="s">
        <v>1122</v>
      </c>
      <c r="O49" s="329" t="s">
        <v>2211</v>
      </c>
      <c r="P49" s="329" t="s">
        <v>1105</v>
      </c>
      <c r="Q49" s="329" t="s">
        <v>1105</v>
      </c>
      <c r="R49" s="329" t="s">
        <v>1105</v>
      </c>
      <c r="S49" s="330">
        <v>0</v>
      </c>
      <c r="T49" s="330">
        <v>0</v>
      </c>
      <c r="U49" s="330">
        <v>0.02</v>
      </c>
      <c r="W49" s="330">
        <v>2</v>
      </c>
      <c r="AV49" s="329" t="s">
        <v>378</v>
      </c>
      <c r="AW49" s="329" t="s">
        <v>2269</v>
      </c>
      <c r="AX49" s="329" t="s">
        <v>378</v>
      </c>
      <c r="AY49" s="329" t="s">
        <v>378</v>
      </c>
    </row>
    <row r="50" spans="1:51" ht="30" customHeight="1">
      <c r="A50" s="333" t="s">
        <v>2217</v>
      </c>
      <c r="B50" s="333" t="s">
        <v>2218</v>
      </c>
      <c r="C50" s="333" t="s">
        <v>212</v>
      </c>
      <c r="D50" s="334">
        <v>1</v>
      </c>
      <c r="E50" s="370">
        <f>TRUNC(SUMIF(W48:W51, RIGHTB(O50, 1), H48:H51)*U50, 2)</f>
        <v>148.04</v>
      </c>
      <c r="F50" s="361">
        <f>TRUNC(E50*D50,1)</f>
        <v>148</v>
      </c>
      <c r="G50" s="370">
        <v>0</v>
      </c>
      <c r="H50" s="361">
        <f>TRUNC(G50*D50,1)</f>
        <v>0</v>
      </c>
      <c r="I50" s="370">
        <v>0</v>
      </c>
      <c r="J50" s="361">
        <f>TRUNC(I50*D50,1)</f>
        <v>0</v>
      </c>
      <c r="K50" s="370">
        <f t="shared" si="6"/>
        <v>148</v>
      </c>
      <c r="L50" s="361">
        <f t="shared" si="6"/>
        <v>148</v>
      </c>
      <c r="M50" s="333" t="s">
        <v>378</v>
      </c>
      <c r="N50" s="329" t="s">
        <v>1122</v>
      </c>
      <c r="O50" s="329" t="s">
        <v>2215</v>
      </c>
      <c r="P50" s="329" t="s">
        <v>1105</v>
      </c>
      <c r="Q50" s="329" t="s">
        <v>1105</v>
      </c>
      <c r="R50" s="329" t="s">
        <v>1105</v>
      </c>
      <c r="S50" s="330">
        <v>1</v>
      </c>
      <c r="T50" s="330">
        <v>0</v>
      </c>
      <c r="U50" s="330">
        <v>0.03</v>
      </c>
      <c r="W50" s="330">
        <v>2</v>
      </c>
      <c r="AV50" s="329" t="s">
        <v>378</v>
      </c>
      <c r="AW50" s="329" t="s">
        <v>2269</v>
      </c>
      <c r="AX50" s="329" t="s">
        <v>378</v>
      </c>
      <c r="AY50" s="329" t="s">
        <v>378</v>
      </c>
    </row>
    <row r="51" spans="1:51" ht="30" customHeight="1">
      <c r="A51" s="333" t="s">
        <v>1851</v>
      </c>
      <c r="B51" s="333" t="s">
        <v>2221</v>
      </c>
      <c r="C51" s="333" t="s">
        <v>1852</v>
      </c>
      <c r="D51" s="334">
        <f>신규_공량산출근거서_일위대가!K24</f>
        <v>2.1000000000000001E-2</v>
      </c>
      <c r="E51" s="370">
        <f>신규_단가대비표!O154</f>
        <v>0</v>
      </c>
      <c r="F51" s="361">
        <f>TRUNC(E51*D51,1)</f>
        <v>0</v>
      </c>
      <c r="G51" s="370">
        <f>신규_단가대비표!P154</f>
        <v>234998.43458</v>
      </c>
      <c r="H51" s="361">
        <f>TRUNC(G51*D51,1)</f>
        <v>4934.8999999999996</v>
      </c>
      <c r="I51" s="370">
        <f>신규_단가대비표!V154</f>
        <v>0</v>
      </c>
      <c r="J51" s="361">
        <f>TRUNC(I51*D51,1)</f>
        <v>0</v>
      </c>
      <c r="K51" s="370">
        <f t="shared" si="6"/>
        <v>234998.39999999999</v>
      </c>
      <c r="L51" s="361">
        <f t="shared" si="6"/>
        <v>4934.8999999999996</v>
      </c>
      <c r="M51" s="333" t="s">
        <v>378</v>
      </c>
      <c r="N51" s="329" t="s">
        <v>1122</v>
      </c>
      <c r="O51" s="329" t="s">
        <v>2222</v>
      </c>
      <c r="P51" s="329" t="s">
        <v>1105</v>
      </c>
      <c r="Q51" s="329" t="s">
        <v>1105</v>
      </c>
      <c r="R51" s="329" t="s">
        <v>1104</v>
      </c>
      <c r="W51" s="330">
        <v>2</v>
      </c>
      <c r="AV51" s="329" t="s">
        <v>378</v>
      </c>
      <c r="AW51" s="329" t="s">
        <v>2270</v>
      </c>
      <c r="AX51" s="329" t="s">
        <v>378</v>
      </c>
      <c r="AY51" s="329" t="s">
        <v>378</v>
      </c>
    </row>
    <row r="52" spans="1:51" ht="30" customHeight="1">
      <c r="A52" s="333" t="s">
        <v>2224</v>
      </c>
      <c r="B52" s="333" t="s">
        <v>378</v>
      </c>
      <c r="C52" s="333" t="s">
        <v>378</v>
      </c>
      <c r="D52" s="334"/>
      <c r="E52" s="370"/>
      <c r="F52" s="361">
        <f>TRUNC(SUMIF(N48:N51, N47, F48:F51),0)</f>
        <v>25923</v>
      </c>
      <c r="G52" s="370"/>
      <c r="H52" s="361">
        <f>TRUNC(SUMIF(N48:N51, N47, H48:H51),0)</f>
        <v>4934</v>
      </c>
      <c r="I52" s="370"/>
      <c r="J52" s="361">
        <f>TRUNC(SUMIF(N48:N51, N47, J48:J51),0)</f>
        <v>0</v>
      </c>
      <c r="K52" s="370"/>
      <c r="L52" s="361">
        <f>F52+H52+J52</f>
        <v>30857</v>
      </c>
      <c r="M52" s="333" t="s">
        <v>378</v>
      </c>
      <c r="N52" s="329" t="s">
        <v>1197</v>
      </c>
      <c r="O52" s="329" t="s">
        <v>1197</v>
      </c>
      <c r="P52" s="329" t="s">
        <v>378</v>
      </c>
      <c r="Q52" s="329" t="s">
        <v>378</v>
      </c>
      <c r="R52" s="329" t="s">
        <v>378</v>
      </c>
      <c r="AV52" s="329" t="s">
        <v>378</v>
      </c>
      <c r="AW52" s="329" t="s">
        <v>378</v>
      </c>
      <c r="AX52" s="329" t="s">
        <v>378</v>
      </c>
      <c r="AY52" s="329" t="s">
        <v>378</v>
      </c>
    </row>
    <row r="53" spans="1:51" ht="30" customHeight="1">
      <c r="A53" s="334"/>
      <c r="B53" s="334"/>
      <c r="C53" s="334"/>
      <c r="D53" s="334"/>
      <c r="E53" s="370"/>
      <c r="F53" s="361"/>
      <c r="G53" s="370"/>
      <c r="H53" s="361"/>
      <c r="I53" s="370"/>
      <c r="J53" s="361"/>
      <c r="K53" s="370"/>
      <c r="L53" s="361"/>
      <c r="M53" s="334"/>
    </row>
    <row r="54" spans="1:51" ht="30" customHeight="1">
      <c r="A54" s="718" t="s">
        <v>2271</v>
      </c>
      <c r="B54" s="718"/>
      <c r="C54" s="718"/>
      <c r="D54" s="718"/>
      <c r="E54" s="719"/>
      <c r="F54" s="720"/>
      <c r="G54" s="719"/>
      <c r="H54" s="720"/>
      <c r="I54" s="719"/>
      <c r="J54" s="720"/>
      <c r="K54" s="719"/>
      <c r="L54" s="720"/>
      <c r="M54" s="718"/>
      <c r="N54" s="329" t="s">
        <v>1125</v>
      </c>
    </row>
    <row r="55" spans="1:51" ht="30" customHeight="1">
      <c r="A55" s="333" t="s">
        <v>2272</v>
      </c>
      <c r="B55" s="333" t="s">
        <v>2273</v>
      </c>
      <c r="C55" s="333" t="s">
        <v>300</v>
      </c>
      <c r="D55" s="334">
        <v>1.05</v>
      </c>
      <c r="E55" s="370">
        <f>신규_단가대비표!O16</f>
        <v>6994.8970000000008</v>
      </c>
      <c r="F55" s="361">
        <f>TRUNC(E55*D55,1)</f>
        <v>7344.6</v>
      </c>
      <c r="G55" s="370">
        <f>신규_단가대비표!P16</f>
        <v>0</v>
      </c>
      <c r="H55" s="361">
        <f>TRUNC(G55*D55,1)</f>
        <v>0</v>
      </c>
      <c r="I55" s="370">
        <f>신규_단가대비표!V16</f>
        <v>0</v>
      </c>
      <c r="J55" s="361">
        <f>TRUNC(I55*D55,1)</f>
        <v>0</v>
      </c>
      <c r="K55" s="370">
        <f t="shared" ref="K55:L59" si="7">TRUNC(E55+G55+I55,1)</f>
        <v>6994.8</v>
      </c>
      <c r="L55" s="361">
        <f t="shared" si="7"/>
        <v>7344.6</v>
      </c>
      <c r="M55" s="333" t="s">
        <v>378</v>
      </c>
      <c r="N55" s="329" t="s">
        <v>1125</v>
      </c>
      <c r="O55" s="329" t="s">
        <v>2274</v>
      </c>
      <c r="P55" s="329" t="s">
        <v>1105</v>
      </c>
      <c r="Q55" s="329" t="s">
        <v>1105</v>
      </c>
      <c r="R55" s="329" t="s">
        <v>1104</v>
      </c>
      <c r="V55" s="330">
        <v>1</v>
      </c>
      <c r="AV55" s="329" t="s">
        <v>378</v>
      </c>
      <c r="AW55" s="329" t="s">
        <v>2275</v>
      </c>
      <c r="AX55" s="329" t="s">
        <v>378</v>
      </c>
      <c r="AY55" s="329" t="s">
        <v>378</v>
      </c>
    </row>
    <row r="56" spans="1:51" ht="30" customHeight="1">
      <c r="A56" s="333" t="s">
        <v>2213</v>
      </c>
      <c r="B56" s="333" t="s">
        <v>2214</v>
      </c>
      <c r="C56" s="333" t="s">
        <v>212</v>
      </c>
      <c r="D56" s="334">
        <v>1</v>
      </c>
      <c r="E56" s="370">
        <f>TRUNC(SUMIF(V55:V59, RIGHTB(O56, 1), F55:F59)*U56, 2)</f>
        <v>146.88999999999999</v>
      </c>
      <c r="F56" s="361">
        <f>TRUNC(E56*D56,1)</f>
        <v>146.80000000000001</v>
      </c>
      <c r="G56" s="370">
        <v>0</v>
      </c>
      <c r="H56" s="361">
        <f>TRUNC(G56*D56,1)</f>
        <v>0</v>
      </c>
      <c r="I56" s="370">
        <v>0</v>
      </c>
      <c r="J56" s="361">
        <f>TRUNC(I56*D56,1)</f>
        <v>0</v>
      </c>
      <c r="K56" s="370">
        <f t="shared" si="7"/>
        <v>146.80000000000001</v>
      </c>
      <c r="L56" s="361">
        <f t="shared" si="7"/>
        <v>146.80000000000001</v>
      </c>
      <c r="M56" s="333" t="s">
        <v>378</v>
      </c>
      <c r="N56" s="329" t="s">
        <v>1125</v>
      </c>
      <c r="O56" s="329" t="s">
        <v>2211</v>
      </c>
      <c r="P56" s="329" t="s">
        <v>1105</v>
      </c>
      <c r="Q56" s="329" t="s">
        <v>1105</v>
      </c>
      <c r="R56" s="329" t="s">
        <v>1105</v>
      </c>
      <c r="S56" s="330">
        <v>0</v>
      </c>
      <c r="T56" s="330">
        <v>0</v>
      </c>
      <c r="U56" s="330">
        <v>0.02</v>
      </c>
      <c r="W56" s="330">
        <v>2</v>
      </c>
      <c r="AV56" s="329" t="s">
        <v>378</v>
      </c>
      <c r="AW56" s="329" t="s">
        <v>2276</v>
      </c>
      <c r="AX56" s="329" t="s">
        <v>378</v>
      </c>
      <c r="AY56" s="329" t="s">
        <v>378</v>
      </c>
    </row>
    <row r="57" spans="1:51" ht="30" customHeight="1">
      <c r="A57" s="333" t="s">
        <v>2217</v>
      </c>
      <c r="B57" s="333" t="s">
        <v>2218</v>
      </c>
      <c r="C57" s="333" t="s">
        <v>212</v>
      </c>
      <c r="D57" s="334">
        <v>1</v>
      </c>
      <c r="E57" s="370">
        <f>TRUNC(SUMIF(W55:W59, RIGHTB(O57, 1), H55:H59)*U57, 2)</f>
        <v>73.36</v>
      </c>
      <c r="F57" s="361">
        <f>TRUNC(E57*D57,1)</f>
        <v>73.3</v>
      </c>
      <c r="G57" s="370">
        <v>0</v>
      </c>
      <c r="H57" s="361">
        <f>TRUNC(G57*D57,1)</f>
        <v>0</v>
      </c>
      <c r="I57" s="370">
        <v>0</v>
      </c>
      <c r="J57" s="361">
        <f>TRUNC(I57*D57,1)</f>
        <v>0</v>
      </c>
      <c r="K57" s="370">
        <f t="shared" si="7"/>
        <v>73.3</v>
      </c>
      <c r="L57" s="361">
        <f t="shared" si="7"/>
        <v>73.3</v>
      </c>
      <c r="M57" s="333" t="s">
        <v>378</v>
      </c>
      <c r="N57" s="329" t="s">
        <v>1125</v>
      </c>
      <c r="O57" s="329" t="s">
        <v>2215</v>
      </c>
      <c r="P57" s="329" t="s">
        <v>1105</v>
      </c>
      <c r="Q57" s="329" t="s">
        <v>1105</v>
      </c>
      <c r="R57" s="329" t="s">
        <v>1105</v>
      </c>
      <c r="S57" s="330">
        <v>1</v>
      </c>
      <c r="T57" s="330">
        <v>0</v>
      </c>
      <c r="U57" s="330">
        <v>0.03</v>
      </c>
      <c r="W57" s="330">
        <v>2</v>
      </c>
      <c r="AV57" s="329" t="s">
        <v>378</v>
      </c>
      <c r="AW57" s="329" t="s">
        <v>2276</v>
      </c>
      <c r="AX57" s="329" t="s">
        <v>378</v>
      </c>
      <c r="AY57" s="329" t="s">
        <v>378</v>
      </c>
    </row>
    <row r="58" spans="1:51" ht="30" customHeight="1">
      <c r="A58" s="333" t="s">
        <v>1889</v>
      </c>
      <c r="B58" s="333" t="s">
        <v>378</v>
      </c>
      <c r="C58" s="333" t="s">
        <v>1852</v>
      </c>
      <c r="D58" s="334">
        <f>신규_공량산출근거서_일위대가!K28</f>
        <v>6.1999999999999998E-3</v>
      </c>
      <c r="E58" s="370">
        <f>신규_단가대비표!O148</f>
        <v>0</v>
      </c>
      <c r="F58" s="361">
        <f>TRUNC(E58*D58,1)</f>
        <v>0</v>
      </c>
      <c r="G58" s="370">
        <f>신규_단가대비표!P148</f>
        <v>139072.71924000001</v>
      </c>
      <c r="H58" s="361">
        <f>TRUNC(G58*D58,1)</f>
        <v>862.2</v>
      </c>
      <c r="I58" s="370">
        <f>신규_단가대비표!V148</f>
        <v>0</v>
      </c>
      <c r="J58" s="361">
        <f>TRUNC(I58*D58,1)</f>
        <v>0</v>
      </c>
      <c r="K58" s="370">
        <f t="shared" si="7"/>
        <v>139072.70000000001</v>
      </c>
      <c r="L58" s="361">
        <f t="shared" si="7"/>
        <v>862.2</v>
      </c>
      <c r="M58" s="333" t="s">
        <v>378</v>
      </c>
      <c r="N58" s="329" t="s">
        <v>1125</v>
      </c>
      <c r="O58" s="329" t="s">
        <v>2277</v>
      </c>
      <c r="P58" s="329" t="s">
        <v>1105</v>
      </c>
      <c r="Q58" s="329" t="s">
        <v>1105</v>
      </c>
      <c r="R58" s="329" t="s">
        <v>1104</v>
      </c>
      <c r="W58" s="330">
        <v>2</v>
      </c>
      <c r="AV58" s="329" t="s">
        <v>378</v>
      </c>
      <c r="AW58" s="329" t="s">
        <v>2278</v>
      </c>
      <c r="AX58" s="329" t="s">
        <v>378</v>
      </c>
      <c r="AY58" s="329" t="s">
        <v>378</v>
      </c>
    </row>
    <row r="59" spans="1:51" ht="30" customHeight="1">
      <c r="A59" s="333" t="s">
        <v>1992</v>
      </c>
      <c r="B59" s="333" t="s">
        <v>2279</v>
      </c>
      <c r="C59" s="333" t="s">
        <v>1852</v>
      </c>
      <c r="D59" s="334">
        <f>신규_공량산출근거서_일위대가!K29</f>
        <v>6.1999999999999998E-3</v>
      </c>
      <c r="E59" s="370">
        <f>신규_단가대비표!O155</f>
        <v>0</v>
      </c>
      <c r="F59" s="361">
        <f>TRUNC(E59*D59,1)</f>
        <v>0</v>
      </c>
      <c r="G59" s="370">
        <f>신규_단가대비표!P155</f>
        <v>255395.20006</v>
      </c>
      <c r="H59" s="361">
        <f>TRUNC(G59*D59,1)</f>
        <v>1583.4</v>
      </c>
      <c r="I59" s="370">
        <f>신규_단가대비표!V155</f>
        <v>0</v>
      </c>
      <c r="J59" s="361">
        <f>TRUNC(I59*D59,1)</f>
        <v>0</v>
      </c>
      <c r="K59" s="370">
        <f t="shared" si="7"/>
        <v>255395.20000000001</v>
      </c>
      <c r="L59" s="361">
        <f t="shared" si="7"/>
        <v>1583.4</v>
      </c>
      <c r="M59" s="333" t="s">
        <v>378</v>
      </c>
      <c r="N59" s="329" t="s">
        <v>1125</v>
      </c>
      <c r="O59" s="329" t="s">
        <v>2280</v>
      </c>
      <c r="P59" s="329" t="s">
        <v>1105</v>
      </c>
      <c r="Q59" s="329" t="s">
        <v>1105</v>
      </c>
      <c r="R59" s="329" t="s">
        <v>1104</v>
      </c>
      <c r="W59" s="330">
        <v>2</v>
      </c>
      <c r="AV59" s="329" t="s">
        <v>378</v>
      </c>
      <c r="AW59" s="329" t="s">
        <v>2281</v>
      </c>
      <c r="AX59" s="329" t="s">
        <v>378</v>
      </c>
      <c r="AY59" s="329" t="s">
        <v>378</v>
      </c>
    </row>
    <row r="60" spans="1:51" ht="30" customHeight="1">
      <c r="A60" s="333" t="s">
        <v>2224</v>
      </c>
      <c r="B60" s="333" t="s">
        <v>378</v>
      </c>
      <c r="C60" s="333" t="s">
        <v>378</v>
      </c>
      <c r="D60" s="334"/>
      <c r="E60" s="370"/>
      <c r="F60" s="361">
        <f>TRUNC(SUMIF(N55:N59, N54, F55:F59),0)</f>
        <v>7564</v>
      </c>
      <c r="G60" s="370"/>
      <c r="H60" s="361">
        <f>TRUNC(SUMIF(N55:N59, N54, H55:H59),0)</f>
        <v>2445</v>
      </c>
      <c r="I60" s="370"/>
      <c r="J60" s="361">
        <f>TRUNC(SUMIF(N55:N59, N54, J55:J59),0)</f>
        <v>0</v>
      </c>
      <c r="K60" s="370"/>
      <c r="L60" s="361">
        <f>F60+H60+J60</f>
        <v>10009</v>
      </c>
      <c r="M60" s="333" t="s">
        <v>378</v>
      </c>
      <c r="N60" s="329" t="s">
        <v>1197</v>
      </c>
      <c r="O60" s="329" t="s">
        <v>1197</v>
      </c>
      <c r="P60" s="329" t="s">
        <v>378</v>
      </c>
      <c r="Q60" s="329" t="s">
        <v>378</v>
      </c>
      <c r="R60" s="329" t="s">
        <v>378</v>
      </c>
      <c r="AV60" s="329" t="s">
        <v>378</v>
      </c>
      <c r="AW60" s="329" t="s">
        <v>378</v>
      </c>
      <c r="AX60" s="329" t="s">
        <v>378</v>
      </c>
      <c r="AY60" s="329" t="s">
        <v>378</v>
      </c>
    </row>
    <row r="61" spans="1:51" ht="30" customHeight="1">
      <c r="A61" s="334"/>
      <c r="B61" s="334"/>
      <c r="C61" s="334"/>
      <c r="D61" s="334"/>
      <c r="E61" s="370"/>
      <c r="F61" s="361"/>
      <c r="G61" s="370"/>
      <c r="H61" s="361"/>
      <c r="I61" s="370"/>
      <c r="J61" s="361"/>
      <c r="K61" s="370"/>
      <c r="L61" s="361"/>
      <c r="M61" s="334"/>
    </row>
    <row r="62" spans="1:51" ht="30" customHeight="1">
      <c r="A62" s="718" t="s">
        <v>2282</v>
      </c>
      <c r="B62" s="718"/>
      <c r="C62" s="718"/>
      <c r="D62" s="718"/>
      <c r="E62" s="719"/>
      <c r="F62" s="720"/>
      <c r="G62" s="719"/>
      <c r="H62" s="720"/>
      <c r="I62" s="719"/>
      <c r="J62" s="720"/>
      <c r="K62" s="719"/>
      <c r="L62" s="720"/>
      <c r="M62" s="718"/>
      <c r="N62" s="329" t="s">
        <v>1128</v>
      </c>
    </row>
    <row r="63" spans="1:51" ht="30" customHeight="1">
      <c r="A63" s="333" t="s">
        <v>2272</v>
      </c>
      <c r="B63" s="333" t="s">
        <v>2283</v>
      </c>
      <c r="C63" s="333" t="s">
        <v>300</v>
      </c>
      <c r="D63" s="334">
        <v>1.05</v>
      </c>
      <c r="E63" s="370">
        <f>신규_단가대비표!O18</f>
        <v>26224.66574</v>
      </c>
      <c r="F63" s="361">
        <f>TRUNC(E63*D63,1)</f>
        <v>27535.8</v>
      </c>
      <c r="G63" s="370">
        <f>신규_단가대비표!P18</f>
        <v>0</v>
      </c>
      <c r="H63" s="361">
        <f>TRUNC(G63*D63,1)</f>
        <v>0</v>
      </c>
      <c r="I63" s="370">
        <f>신규_단가대비표!V18</f>
        <v>0</v>
      </c>
      <c r="J63" s="361">
        <f>TRUNC(I63*D63,1)</f>
        <v>0</v>
      </c>
      <c r="K63" s="370">
        <f t="shared" ref="K63:L67" si="8">TRUNC(E63+G63+I63,1)</f>
        <v>26224.6</v>
      </c>
      <c r="L63" s="361">
        <f t="shared" si="8"/>
        <v>27535.8</v>
      </c>
      <c r="M63" s="333" t="s">
        <v>378</v>
      </c>
      <c r="N63" s="329" t="s">
        <v>1128</v>
      </c>
      <c r="O63" s="329" t="s">
        <v>2284</v>
      </c>
      <c r="P63" s="329" t="s">
        <v>1105</v>
      </c>
      <c r="Q63" s="329" t="s">
        <v>1105</v>
      </c>
      <c r="R63" s="329" t="s">
        <v>1104</v>
      </c>
      <c r="V63" s="330">
        <v>1</v>
      </c>
      <c r="AV63" s="329" t="s">
        <v>378</v>
      </c>
      <c r="AW63" s="329" t="s">
        <v>2285</v>
      </c>
      <c r="AX63" s="329" t="s">
        <v>378</v>
      </c>
      <c r="AY63" s="329" t="s">
        <v>378</v>
      </c>
    </row>
    <row r="64" spans="1:51" ht="30" customHeight="1">
      <c r="A64" s="333" t="s">
        <v>2213</v>
      </c>
      <c r="B64" s="333" t="s">
        <v>2214</v>
      </c>
      <c r="C64" s="333" t="s">
        <v>212</v>
      </c>
      <c r="D64" s="334">
        <v>1</v>
      </c>
      <c r="E64" s="370">
        <f>TRUNC(SUMIF(V63:V67, RIGHTB(O64, 1), F63:F67)*U64, 2)</f>
        <v>550.71</v>
      </c>
      <c r="F64" s="361">
        <f>TRUNC(E64*D64,1)</f>
        <v>550.70000000000005</v>
      </c>
      <c r="G64" s="370">
        <v>0</v>
      </c>
      <c r="H64" s="361">
        <f>TRUNC(G64*D64,1)</f>
        <v>0</v>
      </c>
      <c r="I64" s="370">
        <v>0</v>
      </c>
      <c r="J64" s="361">
        <f>TRUNC(I64*D64,1)</f>
        <v>0</v>
      </c>
      <c r="K64" s="370">
        <f t="shared" si="8"/>
        <v>550.70000000000005</v>
      </c>
      <c r="L64" s="361">
        <f t="shared" si="8"/>
        <v>550.70000000000005</v>
      </c>
      <c r="M64" s="333" t="s">
        <v>378</v>
      </c>
      <c r="N64" s="329" t="s">
        <v>1128</v>
      </c>
      <c r="O64" s="329" t="s">
        <v>2211</v>
      </c>
      <c r="P64" s="329" t="s">
        <v>1105</v>
      </c>
      <c r="Q64" s="329" t="s">
        <v>1105</v>
      </c>
      <c r="R64" s="329" t="s">
        <v>1105</v>
      </c>
      <c r="S64" s="330">
        <v>0</v>
      </c>
      <c r="T64" s="330">
        <v>0</v>
      </c>
      <c r="U64" s="330">
        <v>0.02</v>
      </c>
      <c r="W64" s="330">
        <v>2</v>
      </c>
      <c r="AV64" s="329" t="s">
        <v>378</v>
      </c>
      <c r="AW64" s="329" t="s">
        <v>2286</v>
      </c>
      <c r="AX64" s="329" t="s">
        <v>378</v>
      </c>
      <c r="AY64" s="329" t="s">
        <v>378</v>
      </c>
    </row>
    <row r="65" spans="1:51" ht="30" customHeight="1">
      <c r="A65" s="333" t="s">
        <v>2217</v>
      </c>
      <c r="B65" s="333" t="s">
        <v>2218</v>
      </c>
      <c r="C65" s="333" t="s">
        <v>212</v>
      </c>
      <c r="D65" s="334">
        <v>1</v>
      </c>
      <c r="E65" s="370">
        <f>TRUNC(SUMIF(W63:W67, RIGHTB(O65, 1), H63:H67)*U65, 2)</f>
        <v>153.84</v>
      </c>
      <c r="F65" s="361">
        <f>TRUNC(E65*D65,1)</f>
        <v>153.80000000000001</v>
      </c>
      <c r="G65" s="370">
        <v>0</v>
      </c>
      <c r="H65" s="361">
        <f>TRUNC(G65*D65,1)</f>
        <v>0</v>
      </c>
      <c r="I65" s="370">
        <v>0</v>
      </c>
      <c r="J65" s="361">
        <f>TRUNC(I65*D65,1)</f>
        <v>0</v>
      </c>
      <c r="K65" s="370">
        <f t="shared" si="8"/>
        <v>153.80000000000001</v>
      </c>
      <c r="L65" s="361">
        <f t="shared" si="8"/>
        <v>153.80000000000001</v>
      </c>
      <c r="M65" s="333" t="s">
        <v>378</v>
      </c>
      <c r="N65" s="329" t="s">
        <v>1128</v>
      </c>
      <c r="O65" s="329" t="s">
        <v>2215</v>
      </c>
      <c r="P65" s="329" t="s">
        <v>1105</v>
      </c>
      <c r="Q65" s="329" t="s">
        <v>1105</v>
      </c>
      <c r="R65" s="329" t="s">
        <v>1105</v>
      </c>
      <c r="S65" s="330">
        <v>1</v>
      </c>
      <c r="T65" s="330">
        <v>0</v>
      </c>
      <c r="U65" s="330">
        <v>0.03</v>
      </c>
      <c r="W65" s="330">
        <v>2</v>
      </c>
      <c r="AV65" s="329" t="s">
        <v>378</v>
      </c>
      <c r="AW65" s="329" t="s">
        <v>2286</v>
      </c>
      <c r="AX65" s="329" t="s">
        <v>378</v>
      </c>
      <c r="AY65" s="329" t="s">
        <v>378</v>
      </c>
    </row>
    <row r="66" spans="1:51" ht="30" customHeight="1">
      <c r="A66" s="333" t="s">
        <v>1889</v>
      </c>
      <c r="B66" s="333" t="s">
        <v>378</v>
      </c>
      <c r="C66" s="333" t="s">
        <v>1852</v>
      </c>
      <c r="D66" s="334">
        <f>신규_공량산출근거서_일위대가!K33</f>
        <v>1.2999999999999999E-2</v>
      </c>
      <c r="E66" s="370">
        <f>신규_단가대비표!O148</f>
        <v>0</v>
      </c>
      <c r="F66" s="361">
        <f>TRUNC(E66*D66,1)</f>
        <v>0</v>
      </c>
      <c r="G66" s="370">
        <f>신규_단가대비표!P148</f>
        <v>139072.71924000001</v>
      </c>
      <c r="H66" s="361">
        <f>TRUNC(G66*D66,1)</f>
        <v>1807.9</v>
      </c>
      <c r="I66" s="370">
        <f>신규_단가대비표!V148</f>
        <v>0</v>
      </c>
      <c r="J66" s="361">
        <f>TRUNC(I66*D66,1)</f>
        <v>0</v>
      </c>
      <c r="K66" s="370">
        <f t="shared" si="8"/>
        <v>139072.70000000001</v>
      </c>
      <c r="L66" s="361">
        <f t="shared" si="8"/>
        <v>1807.9</v>
      </c>
      <c r="M66" s="333" t="s">
        <v>378</v>
      </c>
      <c r="N66" s="329" t="s">
        <v>1128</v>
      </c>
      <c r="O66" s="329" t="s">
        <v>2277</v>
      </c>
      <c r="P66" s="329" t="s">
        <v>1105</v>
      </c>
      <c r="Q66" s="329" t="s">
        <v>1105</v>
      </c>
      <c r="R66" s="329" t="s">
        <v>1104</v>
      </c>
      <c r="W66" s="330">
        <v>2</v>
      </c>
      <c r="AV66" s="329" t="s">
        <v>378</v>
      </c>
      <c r="AW66" s="329" t="s">
        <v>2287</v>
      </c>
      <c r="AX66" s="329" t="s">
        <v>378</v>
      </c>
      <c r="AY66" s="329" t="s">
        <v>378</v>
      </c>
    </row>
    <row r="67" spans="1:51" ht="30" customHeight="1">
      <c r="A67" s="333" t="s">
        <v>1992</v>
      </c>
      <c r="B67" s="333" t="s">
        <v>2279</v>
      </c>
      <c r="C67" s="333" t="s">
        <v>1852</v>
      </c>
      <c r="D67" s="334">
        <f>신규_공량산출근거서_일위대가!K34</f>
        <v>1.2999999999999999E-2</v>
      </c>
      <c r="E67" s="370">
        <f>신규_단가대비표!O155</f>
        <v>0</v>
      </c>
      <c r="F67" s="361">
        <f>TRUNC(E67*D67,1)</f>
        <v>0</v>
      </c>
      <c r="G67" s="370">
        <f>신규_단가대비표!P155</f>
        <v>255395.20006</v>
      </c>
      <c r="H67" s="361">
        <f>TRUNC(G67*D67,1)</f>
        <v>3320.1</v>
      </c>
      <c r="I67" s="370">
        <f>신규_단가대비표!V155</f>
        <v>0</v>
      </c>
      <c r="J67" s="361">
        <f>TRUNC(I67*D67,1)</f>
        <v>0</v>
      </c>
      <c r="K67" s="370">
        <f t="shared" si="8"/>
        <v>255395.20000000001</v>
      </c>
      <c r="L67" s="361">
        <f t="shared" si="8"/>
        <v>3320.1</v>
      </c>
      <c r="M67" s="333" t="s">
        <v>378</v>
      </c>
      <c r="N67" s="329" t="s">
        <v>1128</v>
      </c>
      <c r="O67" s="329" t="s">
        <v>2280</v>
      </c>
      <c r="P67" s="329" t="s">
        <v>1105</v>
      </c>
      <c r="Q67" s="329" t="s">
        <v>1105</v>
      </c>
      <c r="R67" s="329" t="s">
        <v>1104</v>
      </c>
      <c r="W67" s="330">
        <v>2</v>
      </c>
      <c r="AV67" s="329" t="s">
        <v>378</v>
      </c>
      <c r="AW67" s="329" t="s">
        <v>2288</v>
      </c>
      <c r="AX67" s="329" t="s">
        <v>378</v>
      </c>
      <c r="AY67" s="329" t="s">
        <v>378</v>
      </c>
    </row>
    <row r="68" spans="1:51" ht="30" customHeight="1">
      <c r="A68" s="333" t="s">
        <v>2224</v>
      </c>
      <c r="B68" s="333" t="s">
        <v>378</v>
      </c>
      <c r="C68" s="333" t="s">
        <v>378</v>
      </c>
      <c r="D68" s="334"/>
      <c r="E68" s="370"/>
      <c r="F68" s="361">
        <f>TRUNC(SUMIF(N63:N67, N62, F63:F67),0)</f>
        <v>28240</v>
      </c>
      <c r="G68" s="370"/>
      <c r="H68" s="361">
        <f>TRUNC(SUMIF(N63:N67, N62, H63:H67),0)</f>
        <v>5128</v>
      </c>
      <c r="I68" s="370"/>
      <c r="J68" s="361">
        <f>TRUNC(SUMIF(N63:N67, N62, J63:J67),0)</f>
        <v>0</v>
      </c>
      <c r="K68" s="370"/>
      <c r="L68" s="361">
        <f>F68+H68+J68</f>
        <v>33368</v>
      </c>
      <c r="M68" s="333" t="s">
        <v>378</v>
      </c>
      <c r="N68" s="329" t="s">
        <v>1197</v>
      </c>
      <c r="O68" s="329" t="s">
        <v>1197</v>
      </c>
      <c r="P68" s="329" t="s">
        <v>378</v>
      </c>
      <c r="Q68" s="329" t="s">
        <v>378</v>
      </c>
      <c r="R68" s="329" t="s">
        <v>378</v>
      </c>
      <c r="AV68" s="329" t="s">
        <v>378</v>
      </c>
      <c r="AW68" s="329" t="s">
        <v>378</v>
      </c>
      <c r="AX68" s="329" t="s">
        <v>378</v>
      </c>
      <c r="AY68" s="329" t="s">
        <v>378</v>
      </c>
    </row>
    <row r="69" spans="1:51" ht="30" customHeight="1">
      <c r="A69" s="334"/>
      <c r="B69" s="334"/>
      <c r="C69" s="334"/>
      <c r="D69" s="334"/>
      <c r="E69" s="370"/>
      <c r="F69" s="361"/>
      <c r="G69" s="370"/>
      <c r="H69" s="361"/>
      <c r="I69" s="370"/>
      <c r="J69" s="361"/>
      <c r="K69" s="370"/>
      <c r="L69" s="361"/>
      <c r="M69" s="334"/>
    </row>
    <row r="70" spans="1:51" ht="30" customHeight="1">
      <c r="A70" s="718" t="s">
        <v>2289</v>
      </c>
      <c r="B70" s="718"/>
      <c r="C70" s="718"/>
      <c r="D70" s="718"/>
      <c r="E70" s="719"/>
      <c r="F70" s="720"/>
      <c r="G70" s="719"/>
      <c r="H70" s="720"/>
      <c r="I70" s="719"/>
      <c r="J70" s="720"/>
      <c r="K70" s="719"/>
      <c r="L70" s="720"/>
      <c r="M70" s="718"/>
      <c r="N70" s="329" t="s">
        <v>1130</v>
      </c>
    </row>
    <row r="71" spans="1:51" ht="30" customHeight="1">
      <c r="A71" s="333" t="s">
        <v>2272</v>
      </c>
      <c r="B71" s="333" t="s">
        <v>2290</v>
      </c>
      <c r="C71" s="333" t="s">
        <v>300</v>
      </c>
      <c r="D71" s="334">
        <v>1.05</v>
      </c>
      <c r="E71" s="370">
        <f>신규_단가대비표!O19</f>
        <v>1452.1052000000002</v>
      </c>
      <c r="F71" s="361">
        <f>TRUNC(E71*D71,1)</f>
        <v>1524.7</v>
      </c>
      <c r="G71" s="370">
        <f>신규_단가대비표!P19</f>
        <v>0</v>
      </c>
      <c r="H71" s="361">
        <f>TRUNC(G71*D71,1)</f>
        <v>0</v>
      </c>
      <c r="I71" s="370">
        <f>신규_단가대비표!V19</f>
        <v>0</v>
      </c>
      <c r="J71" s="361">
        <f>TRUNC(I71*D71,1)</f>
        <v>0</v>
      </c>
      <c r="K71" s="370">
        <f t="shared" ref="K71:L74" si="9">TRUNC(E71+G71+I71,1)</f>
        <v>1452.1</v>
      </c>
      <c r="L71" s="361">
        <f t="shared" si="9"/>
        <v>1524.7</v>
      </c>
      <c r="M71" s="333" t="s">
        <v>378</v>
      </c>
      <c r="N71" s="329" t="s">
        <v>1130</v>
      </c>
      <c r="O71" s="329" t="s">
        <v>2291</v>
      </c>
      <c r="P71" s="329" t="s">
        <v>1105</v>
      </c>
      <c r="Q71" s="329" t="s">
        <v>1105</v>
      </c>
      <c r="R71" s="329" t="s">
        <v>1104</v>
      </c>
      <c r="V71" s="330">
        <v>1</v>
      </c>
      <c r="AV71" s="329" t="s">
        <v>378</v>
      </c>
      <c r="AW71" s="329" t="s">
        <v>2292</v>
      </c>
      <c r="AX71" s="329" t="s">
        <v>378</v>
      </c>
      <c r="AY71" s="329" t="s">
        <v>378</v>
      </c>
    </row>
    <row r="72" spans="1:51" ht="30" customHeight="1">
      <c r="A72" s="333" t="s">
        <v>2213</v>
      </c>
      <c r="B72" s="333" t="s">
        <v>2214</v>
      </c>
      <c r="C72" s="333" t="s">
        <v>212</v>
      </c>
      <c r="D72" s="334">
        <v>1</v>
      </c>
      <c r="E72" s="370">
        <f>TRUNC(SUMIF(V71:V74, RIGHTB(O72, 1), F71:F74)*U72, 2)</f>
        <v>30.49</v>
      </c>
      <c r="F72" s="361">
        <f>TRUNC(E72*D72,1)</f>
        <v>30.4</v>
      </c>
      <c r="G72" s="370">
        <v>0</v>
      </c>
      <c r="H72" s="361">
        <f>TRUNC(G72*D72,1)</f>
        <v>0</v>
      </c>
      <c r="I72" s="370">
        <v>0</v>
      </c>
      <c r="J72" s="361">
        <f>TRUNC(I72*D72,1)</f>
        <v>0</v>
      </c>
      <c r="K72" s="370">
        <f t="shared" si="9"/>
        <v>30.4</v>
      </c>
      <c r="L72" s="361">
        <f t="shared" si="9"/>
        <v>30.4</v>
      </c>
      <c r="M72" s="333" t="s">
        <v>378</v>
      </c>
      <c r="N72" s="329" t="s">
        <v>1130</v>
      </c>
      <c r="O72" s="329" t="s">
        <v>2211</v>
      </c>
      <c r="P72" s="329" t="s">
        <v>1105</v>
      </c>
      <c r="Q72" s="329" t="s">
        <v>1105</v>
      </c>
      <c r="R72" s="329" t="s">
        <v>1105</v>
      </c>
      <c r="S72" s="330">
        <v>0</v>
      </c>
      <c r="T72" s="330">
        <v>0</v>
      </c>
      <c r="U72" s="330">
        <v>0.02</v>
      </c>
      <c r="W72" s="330">
        <v>2</v>
      </c>
      <c r="AV72" s="329" t="s">
        <v>378</v>
      </c>
      <c r="AW72" s="329" t="s">
        <v>2293</v>
      </c>
      <c r="AX72" s="329" t="s">
        <v>378</v>
      </c>
      <c r="AY72" s="329" t="s">
        <v>378</v>
      </c>
    </row>
    <row r="73" spans="1:51" ht="30" customHeight="1">
      <c r="A73" s="333" t="s">
        <v>1992</v>
      </c>
      <c r="B73" s="333" t="s">
        <v>2279</v>
      </c>
      <c r="C73" s="333" t="s">
        <v>1852</v>
      </c>
      <c r="D73" s="334">
        <f>신규_공량산출근거서_일위대가!K37</f>
        <v>1.6E-2</v>
      </c>
      <c r="E73" s="370">
        <f>신규_단가대비표!O155</f>
        <v>0</v>
      </c>
      <c r="F73" s="361">
        <f>TRUNC(E73*D73,1)</f>
        <v>0</v>
      </c>
      <c r="G73" s="370">
        <f>신규_단가대비표!P155</f>
        <v>255395.20006</v>
      </c>
      <c r="H73" s="361">
        <f>TRUNC(G73*D73,1)</f>
        <v>4086.3</v>
      </c>
      <c r="I73" s="370">
        <f>신규_단가대비표!V155</f>
        <v>0</v>
      </c>
      <c r="J73" s="361">
        <f>TRUNC(I73*D73,1)</f>
        <v>0</v>
      </c>
      <c r="K73" s="370">
        <f t="shared" si="9"/>
        <v>255395.20000000001</v>
      </c>
      <c r="L73" s="361">
        <f t="shared" si="9"/>
        <v>4086.3</v>
      </c>
      <c r="M73" s="333" t="s">
        <v>378</v>
      </c>
      <c r="N73" s="329" t="s">
        <v>1130</v>
      </c>
      <c r="O73" s="329" t="s">
        <v>2280</v>
      </c>
      <c r="P73" s="329" t="s">
        <v>1105</v>
      </c>
      <c r="Q73" s="329" t="s">
        <v>1105</v>
      </c>
      <c r="R73" s="329" t="s">
        <v>1104</v>
      </c>
      <c r="W73" s="330">
        <v>2</v>
      </c>
      <c r="AV73" s="329" t="s">
        <v>378</v>
      </c>
      <c r="AW73" s="329" t="s">
        <v>2294</v>
      </c>
      <c r="AX73" s="329" t="s">
        <v>378</v>
      </c>
      <c r="AY73" s="329" t="s">
        <v>378</v>
      </c>
    </row>
    <row r="74" spans="1:51" ht="30" customHeight="1">
      <c r="A74" s="333" t="s">
        <v>2217</v>
      </c>
      <c r="B74" s="333" t="s">
        <v>2218</v>
      </c>
      <c r="C74" s="333" t="s">
        <v>212</v>
      </c>
      <c r="D74" s="334">
        <v>1</v>
      </c>
      <c r="E74" s="370">
        <f>TRUNC(SUMIF(W71:W74, RIGHTB(O74, 1), H71:H74)*U74, 2)</f>
        <v>122.58</v>
      </c>
      <c r="F74" s="361">
        <f>TRUNC(E74*D74,1)</f>
        <v>122.5</v>
      </c>
      <c r="G74" s="370">
        <v>0</v>
      </c>
      <c r="H74" s="361">
        <f>TRUNC(G74*D74,1)</f>
        <v>0</v>
      </c>
      <c r="I74" s="370">
        <v>0</v>
      </c>
      <c r="J74" s="361">
        <f>TRUNC(I74*D74,1)</f>
        <v>0</v>
      </c>
      <c r="K74" s="370">
        <f t="shared" si="9"/>
        <v>122.5</v>
      </c>
      <c r="L74" s="361">
        <f t="shared" si="9"/>
        <v>122.5</v>
      </c>
      <c r="M74" s="333" t="s">
        <v>378</v>
      </c>
      <c r="N74" s="329" t="s">
        <v>1130</v>
      </c>
      <c r="O74" s="329" t="s">
        <v>2215</v>
      </c>
      <c r="P74" s="329" t="s">
        <v>1105</v>
      </c>
      <c r="Q74" s="329" t="s">
        <v>1105</v>
      </c>
      <c r="R74" s="329" t="s">
        <v>1105</v>
      </c>
      <c r="S74" s="330">
        <v>1</v>
      </c>
      <c r="T74" s="330">
        <v>0</v>
      </c>
      <c r="U74" s="330">
        <v>0.03</v>
      </c>
      <c r="W74" s="330">
        <v>2</v>
      </c>
      <c r="AV74" s="329" t="s">
        <v>378</v>
      </c>
      <c r="AW74" s="329" t="s">
        <v>2295</v>
      </c>
      <c r="AX74" s="329" t="s">
        <v>378</v>
      </c>
      <c r="AY74" s="329" t="s">
        <v>378</v>
      </c>
    </row>
    <row r="75" spans="1:51" ht="30" customHeight="1">
      <c r="A75" s="333" t="s">
        <v>2224</v>
      </c>
      <c r="B75" s="333" t="s">
        <v>378</v>
      </c>
      <c r="C75" s="333" t="s">
        <v>378</v>
      </c>
      <c r="D75" s="334"/>
      <c r="E75" s="370"/>
      <c r="F75" s="361">
        <f>TRUNC(SUMIF(N71:N74, N70, F71:F74),0)</f>
        <v>1677</v>
      </c>
      <c r="G75" s="370"/>
      <c r="H75" s="361">
        <f>TRUNC(SUMIF(N71:N74, N70, H71:H74),0)</f>
        <v>4086</v>
      </c>
      <c r="I75" s="370"/>
      <c r="J75" s="361">
        <f>TRUNC(SUMIF(N71:N74, N70, J71:J74),0)</f>
        <v>0</v>
      </c>
      <c r="K75" s="370"/>
      <c r="L75" s="361">
        <f>F75+H75+J75</f>
        <v>5763</v>
      </c>
      <c r="M75" s="333" t="s">
        <v>378</v>
      </c>
      <c r="N75" s="329" t="s">
        <v>1197</v>
      </c>
      <c r="O75" s="329" t="s">
        <v>1197</v>
      </c>
      <c r="P75" s="329" t="s">
        <v>378</v>
      </c>
      <c r="Q75" s="329" t="s">
        <v>378</v>
      </c>
      <c r="R75" s="329" t="s">
        <v>378</v>
      </c>
      <c r="AV75" s="329" t="s">
        <v>378</v>
      </c>
      <c r="AW75" s="329" t="s">
        <v>378</v>
      </c>
      <c r="AX75" s="329" t="s">
        <v>378</v>
      </c>
      <c r="AY75" s="329" t="s">
        <v>378</v>
      </c>
    </row>
    <row r="76" spans="1:51" ht="30" customHeight="1">
      <c r="A76" s="334"/>
      <c r="B76" s="334"/>
      <c r="C76" s="334"/>
      <c r="D76" s="334"/>
      <c r="E76" s="370"/>
      <c r="F76" s="361"/>
      <c r="G76" s="370"/>
      <c r="H76" s="361"/>
      <c r="I76" s="370"/>
      <c r="J76" s="361"/>
      <c r="K76" s="370"/>
      <c r="L76" s="361"/>
      <c r="M76" s="334"/>
    </row>
    <row r="77" spans="1:51" ht="30" customHeight="1">
      <c r="A77" s="718" t="s">
        <v>2296</v>
      </c>
      <c r="B77" s="718"/>
      <c r="C77" s="718"/>
      <c r="D77" s="718"/>
      <c r="E77" s="719"/>
      <c r="F77" s="720"/>
      <c r="G77" s="719"/>
      <c r="H77" s="720"/>
      <c r="I77" s="719"/>
      <c r="J77" s="720"/>
      <c r="K77" s="719"/>
      <c r="L77" s="720"/>
      <c r="M77" s="718"/>
      <c r="N77" s="329" t="s">
        <v>1133</v>
      </c>
    </row>
    <row r="78" spans="1:51" ht="30" customHeight="1">
      <c r="A78" s="333" t="s">
        <v>2272</v>
      </c>
      <c r="B78" s="333" t="s">
        <v>2297</v>
      </c>
      <c r="C78" s="333" t="s">
        <v>300</v>
      </c>
      <c r="D78" s="334">
        <v>1.05</v>
      </c>
      <c r="E78" s="370">
        <f>신규_단가대비표!O22</f>
        <v>3352.2379800000003</v>
      </c>
      <c r="F78" s="361">
        <f>TRUNC(E78*D78,1)</f>
        <v>3519.8</v>
      </c>
      <c r="G78" s="370">
        <f>신규_단가대비표!P22</f>
        <v>0</v>
      </c>
      <c r="H78" s="361">
        <f>TRUNC(G78*D78,1)</f>
        <v>0</v>
      </c>
      <c r="I78" s="370">
        <f>신규_단가대비표!V22</f>
        <v>0</v>
      </c>
      <c r="J78" s="361">
        <f>TRUNC(I78*D78,1)</f>
        <v>0</v>
      </c>
      <c r="K78" s="370">
        <f t="shared" ref="K78:L81" si="10">TRUNC(E78+G78+I78,1)</f>
        <v>3352.2</v>
      </c>
      <c r="L78" s="361">
        <f t="shared" si="10"/>
        <v>3519.8</v>
      </c>
      <c r="M78" s="333" t="s">
        <v>378</v>
      </c>
      <c r="N78" s="329" t="s">
        <v>1133</v>
      </c>
      <c r="O78" s="329" t="s">
        <v>2298</v>
      </c>
      <c r="P78" s="329" t="s">
        <v>1105</v>
      </c>
      <c r="Q78" s="329" t="s">
        <v>1105</v>
      </c>
      <c r="R78" s="329" t="s">
        <v>1104</v>
      </c>
      <c r="V78" s="330">
        <v>1</v>
      </c>
      <c r="AV78" s="329" t="s">
        <v>378</v>
      </c>
      <c r="AW78" s="329" t="s">
        <v>2299</v>
      </c>
      <c r="AX78" s="329" t="s">
        <v>378</v>
      </c>
      <c r="AY78" s="329" t="s">
        <v>378</v>
      </c>
    </row>
    <row r="79" spans="1:51" ht="30" customHeight="1">
      <c r="A79" s="333" t="s">
        <v>2213</v>
      </c>
      <c r="B79" s="333" t="s">
        <v>2214</v>
      </c>
      <c r="C79" s="333" t="s">
        <v>212</v>
      </c>
      <c r="D79" s="334">
        <v>1</v>
      </c>
      <c r="E79" s="370">
        <f>TRUNC(SUMIF(V78:V81, RIGHTB(O79, 1), F78:F81)*U79, 2)</f>
        <v>70.39</v>
      </c>
      <c r="F79" s="361">
        <f>TRUNC(E79*D79,1)</f>
        <v>70.3</v>
      </c>
      <c r="G79" s="370">
        <v>0</v>
      </c>
      <c r="H79" s="361">
        <f>TRUNC(G79*D79,1)</f>
        <v>0</v>
      </c>
      <c r="I79" s="370">
        <v>0</v>
      </c>
      <c r="J79" s="361">
        <f>TRUNC(I79*D79,1)</f>
        <v>0</v>
      </c>
      <c r="K79" s="370">
        <f t="shared" si="10"/>
        <v>70.3</v>
      </c>
      <c r="L79" s="361">
        <f t="shared" si="10"/>
        <v>70.3</v>
      </c>
      <c r="M79" s="333" t="s">
        <v>378</v>
      </c>
      <c r="N79" s="329" t="s">
        <v>1133</v>
      </c>
      <c r="O79" s="329" t="s">
        <v>2211</v>
      </c>
      <c r="P79" s="329" t="s">
        <v>1105</v>
      </c>
      <c r="Q79" s="329" t="s">
        <v>1105</v>
      </c>
      <c r="R79" s="329" t="s">
        <v>1105</v>
      </c>
      <c r="S79" s="330">
        <v>0</v>
      </c>
      <c r="T79" s="330">
        <v>0</v>
      </c>
      <c r="U79" s="330">
        <v>0.02</v>
      </c>
      <c r="W79" s="330">
        <v>2</v>
      </c>
      <c r="AV79" s="329" t="s">
        <v>378</v>
      </c>
      <c r="AW79" s="329" t="s">
        <v>2300</v>
      </c>
      <c r="AX79" s="329" t="s">
        <v>378</v>
      </c>
      <c r="AY79" s="329" t="s">
        <v>378</v>
      </c>
    </row>
    <row r="80" spans="1:51" ht="30" customHeight="1">
      <c r="A80" s="333" t="s">
        <v>2217</v>
      </c>
      <c r="B80" s="333" t="s">
        <v>2218</v>
      </c>
      <c r="C80" s="333" t="s">
        <v>212</v>
      </c>
      <c r="D80" s="334">
        <v>1</v>
      </c>
      <c r="E80" s="370">
        <f>TRUNC(SUMIF(W78:W81, RIGHTB(O80, 1), H78:H81)*U80, 2)</f>
        <v>260.5</v>
      </c>
      <c r="F80" s="361">
        <f>TRUNC(E80*D80,1)</f>
        <v>260.5</v>
      </c>
      <c r="G80" s="370">
        <v>0</v>
      </c>
      <c r="H80" s="361">
        <f>TRUNC(G80*D80,1)</f>
        <v>0</v>
      </c>
      <c r="I80" s="370">
        <v>0</v>
      </c>
      <c r="J80" s="361">
        <f>TRUNC(I80*D80,1)</f>
        <v>0</v>
      </c>
      <c r="K80" s="370">
        <f t="shared" si="10"/>
        <v>260.5</v>
      </c>
      <c r="L80" s="361">
        <f t="shared" si="10"/>
        <v>260.5</v>
      </c>
      <c r="M80" s="333" t="s">
        <v>378</v>
      </c>
      <c r="N80" s="329" t="s">
        <v>1133</v>
      </c>
      <c r="O80" s="329" t="s">
        <v>2215</v>
      </c>
      <c r="P80" s="329" t="s">
        <v>1105</v>
      </c>
      <c r="Q80" s="329" t="s">
        <v>1105</v>
      </c>
      <c r="R80" s="329" t="s">
        <v>1105</v>
      </c>
      <c r="S80" s="330">
        <v>1</v>
      </c>
      <c r="T80" s="330">
        <v>0</v>
      </c>
      <c r="U80" s="330">
        <v>0.03</v>
      </c>
      <c r="W80" s="330">
        <v>2</v>
      </c>
      <c r="AV80" s="329" t="s">
        <v>378</v>
      </c>
      <c r="AW80" s="329" t="s">
        <v>2301</v>
      </c>
      <c r="AX80" s="329" t="s">
        <v>378</v>
      </c>
      <c r="AY80" s="329" t="s">
        <v>378</v>
      </c>
    </row>
    <row r="81" spans="1:51" ht="30" customHeight="1">
      <c r="A81" s="333" t="s">
        <v>1992</v>
      </c>
      <c r="B81" s="333" t="s">
        <v>2279</v>
      </c>
      <c r="C81" s="333" t="s">
        <v>1852</v>
      </c>
      <c r="D81" s="334">
        <f>신규_공량산출근거서_일위대가!K40</f>
        <v>3.4000000000000002E-2</v>
      </c>
      <c r="E81" s="370">
        <f>신규_단가대비표!O155</f>
        <v>0</v>
      </c>
      <c r="F81" s="361">
        <f>TRUNC(E81*D81,1)</f>
        <v>0</v>
      </c>
      <c r="G81" s="370">
        <f>신규_단가대비표!P155</f>
        <v>255395.20006</v>
      </c>
      <c r="H81" s="361">
        <f>TRUNC(G81*D81,1)</f>
        <v>8683.4</v>
      </c>
      <c r="I81" s="370">
        <f>신규_단가대비표!V155</f>
        <v>0</v>
      </c>
      <c r="J81" s="361">
        <f>TRUNC(I81*D81,1)</f>
        <v>0</v>
      </c>
      <c r="K81" s="370">
        <f t="shared" si="10"/>
        <v>255395.20000000001</v>
      </c>
      <c r="L81" s="361">
        <f t="shared" si="10"/>
        <v>8683.4</v>
      </c>
      <c r="M81" s="333" t="s">
        <v>378</v>
      </c>
      <c r="N81" s="329" t="s">
        <v>1133</v>
      </c>
      <c r="O81" s="329" t="s">
        <v>2280</v>
      </c>
      <c r="P81" s="329" t="s">
        <v>1105</v>
      </c>
      <c r="Q81" s="329" t="s">
        <v>1105</v>
      </c>
      <c r="R81" s="329" t="s">
        <v>1104</v>
      </c>
      <c r="W81" s="330">
        <v>2</v>
      </c>
      <c r="AV81" s="329" t="s">
        <v>378</v>
      </c>
      <c r="AW81" s="329" t="s">
        <v>2302</v>
      </c>
      <c r="AX81" s="329" t="s">
        <v>378</v>
      </c>
      <c r="AY81" s="329" t="s">
        <v>378</v>
      </c>
    </row>
    <row r="82" spans="1:51" ht="30" customHeight="1">
      <c r="A82" s="333" t="s">
        <v>2224</v>
      </c>
      <c r="B82" s="333" t="s">
        <v>378</v>
      </c>
      <c r="C82" s="333" t="s">
        <v>378</v>
      </c>
      <c r="D82" s="334"/>
      <c r="E82" s="370"/>
      <c r="F82" s="361">
        <f>TRUNC(SUMIF(N78:N81, N77, F78:F81),0)</f>
        <v>3850</v>
      </c>
      <c r="G82" s="370"/>
      <c r="H82" s="361">
        <f>TRUNC(SUMIF(N78:N81, N77, H78:H81),0)</f>
        <v>8683</v>
      </c>
      <c r="I82" s="370"/>
      <c r="J82" s="361">
        <f>TRUNC(SUMIF(N78:N81, N77, J78:J81),0)</f>
        <v>0</v>
      </c>
      <c r="K82" s="370"/>
      <c r="L82" s="361">
        <f>F82+H82+J82</f>
        <v>12533</v>
      </c>
      <c r="M82" s="333" t="s">
        <v>378</v>
      </c>
      <c r="N82" s="329" t="s">
        <v>1197</v>
      </c>
      <c r="O82" s="329" t="s">
        <v>1197</v>
      </c>
      <c r="P82" s="329" t="s">
        <v>378</v>
      </c>
      <c r="Q82" s="329" t="s">
        <v>378</v>
      </c>
      <c r="R82" s="329" t="s">
        <v>378</v>
      </c>
      <c r="AV82" s="329" t="s">
        <v>378</v>
      </c>
      <c r="AW82" s="329" t="s">
        <v>378</v>
      </c>
      <c r="AX82" s="329" t="s">
        <v>378</v>
      </c>
      <c r="AY82" s="329" t="s">
        <v>378</v>
      </c>
    </row>
    <row r="83" spans="1:51" ht="30" customHeight="1">
      <c r="A83" s="334"/>
      <c r="B83" s="334"/>
      <c r="C83" s="334"/>
      <c r="D83" s="334"/>
      <c r="E83" s="370"/>
      <c r="F83" s="361"/>
      <c r="G83" s="370"/>
      <c r="H83" s="361"/>
      <c r="I83" s="370"/>
      <c r="J83" s="361"/>
      <c r="K83" s="370"/>
      <c r="L83" s="361"/>
      <c r="M83" s="334"/>
    </row>
    <row r="84" spans="1:51" ht="30" customHeight="1">
      <c r="A84" s="718" t="s">
        <v>2303</v>
      </c>
      <c r="B84" s="718"/>
      <c r="C84" s="718"/>
      <c r="D84" s="718"/>
      <c r="E84" s="719"/>
      <c r="F84" s="720"/>
      <c r="G84" s="719"/>
      <c r="H84" s="720"/>
      <c r="I84" s="719"/>
      <c r="J84" s="720"/>
      <c r="K84" s="719"/>
      <c r="L84" s="720"/>
      <c r="M84" s="718"/>
      <c r="N84" s="329" t="s">
        <v>1136</v>
      </c>
    </row>
    <row r="85" spans="1:51" ht="30" customHeight="1">
      <c r="A85" s="333" t="s">
        <v>2272</v>
      </c>
      <c r="B85" s="333" t="s">
        <v>2304</v>
      </c>
      <c r="C85" s="333" t="s">
        <v>300</v>
      </c>
      <c r="D85" s="334">
        <v>1.05</v>
      </c>
      <c r="E85" s="370">
        <f>신규_단가대비표!O23</f>
        <v>9828.273000000001</v>
      </c>
      <c r="F85" s="361">
        <f>TRUNC(E85*D85,1)</f>
        <v>10319.6</v>
      </c>
      <c r="G85" s="370">
        <f>신규_단가대비표!P23</f>
        <v>0</v>
      </c>
      <c r="H85" s="361">
        <f>TRUNC(G85*D85,1)</f>
        <v>0</v>
      </c>
      <c r="I85" s="370">
        <f>신규_단가대비표!V23</f>
        <v>0</v>
      </c>
      <c r="J85" s="361">
        <f>TRUNC(I85*D85,1)</f>
        <v>0</v>
      </c>
      <c r="K85" s="370">
        <f t="shared" ref="K85:L88" si="11">TRUNC(E85+G85+I85,1)</f>
        <v>9828.2000000000007</v>
      </c>
      <c r="L85" s="361">
        <f t="shared" si="11"/>
        <v>10319.6</v>
      </c>
      <c r="M85" s="333" t="s">
        <v>378</v>
      </c>
      <c r="N85" s="329" t="s">
        <v>1136</v>
      </c>
      <c r="O85" s="329" t="s">
        <v>2305</v>
      </c>
      <c r="P85" s="329" t="s">
        <v>1105</v>
      </c>
      <c r="Q85" s="329" t="s">
        <v>1105</v>
      </c>
      <c r="R85" s="329" t="s">
        <v>1104</v>
      </c>
      <c r="V85" s="330">
        <v>1</v>
      </c>
      <c r="AV85" s="329" t="s">
        <v>378</v>
      </c>
      <c r="AW85" s="329" t="s">
        <v>2306</v>
      </c>
      <c r="AX85" s="329" t="s">
        <v>378</v>
      </c>
      <c r="AY85" s="329" t="s">
        <v>378</v>
      </c>
    </row>
    <row r="86" spans="1:51" ht="30" customHeight="1">
      <c r="A86" s="333" t="s">
        <v>2213</v>
      </c>
      <c r="B86" s="333" t="s">
        <v>2214</v>
      </c>
      <c r="C86" s="333" t="s">
        <v>212</v>
      </c>
      <c r="D86" s="334">
        <v>1</v>
      </c>
      <c r="E86" s="370">
        <f>TRUNC(SUMIF(V85:V88, RIGHTB(O86, 1), F85:F88)*U86, 2)</f>
        <v>206.39</v>
      </c>
      <c r="F86" s="361">
        <f>TRUNC(E86*D86,1)</f>
        <v>206.3</v>
      </c>
      <c r="G86" s="370">
        <v>0</v>
      </c>
      <c r="H86" s="361">
        <f>TRUNC(G86*D86,1)</f>
        <v>0</v>
      </c>
      <c r="I86" s="370">
        <v>0</v>
      </c>
      <c r="J86" s="361">
        <f>TRUNC(I86*D86,1)</f>
        <v>0</v>
      </c>
      <c r="K86" s="370">
        <f t="shared" si="11"/>
        <v>206.3</v>
      </c>
      <c r="L86" s="361">
        <f t="shared" si="11"/>
        <v>206.3</v>
      </c>
      <c r="M86" s="333" t="s">
        <v>378</v>
      </c>
      <c r="N86" s="329" t="s">
        <v>1136</v>
      </c>
      <c r="O86" s="329" t="s">
        <v>2211</v>
      </c>
      <c r="P86" s="329" t="s">
        <v>1105</v>
      </c>
      <c r="Q86" s="329" t="s">
        <v>1105</v>
      </c>
      <c r="R86" s="329" t="s">
        <v>1105</v>
      </c>
      <c r="S86" s="330">
        <v>0</v>
      </c>
      <c r="T86" s="330">
        <v>0</v>
      </c>
      <c r="U86" s="330">
        <v>0.02</v>
      </c>
      <c r="W86" s="330">
        <v>2</v>
      </c>
      <c r="AV86" s="329" t="s">
        <v>378</v>
      </c>
      <c r="AW86" s="329" t="s">
        <v>2307</v>
      </c>
      <c r="AX86" s="329" t="s">
        <v>378</v>
      </c>
      <c r="AY86" s="329" t="s">
        <v>378</v>
      </c>
    </row>
    <row r="87" spans="1:51" ht="30" customHeight="1">
      <c r="A87" s="333" t="s">
        <v>2217</v>
      </c>
      <c r="B87" s="333" t="s">
        <v>2218</v>
      </c>
      <c r="C87" s="333" t="s">
        <v>212</v>
      </c>
      <c r="D87" s="334">
        <v>1</v>
      </c>
      <c r="E87" s="370">
        <f>TRUNC(SUMIF(W85:W88, RIGHTB(O87, 1), H85:H88)*U87, 2)</f>
        <v>458.17</v>
      </c>
      <c r="F87" s="361">
        <f>TRUNC(E87*D87,1)</f>
        <v>458.1</v>
      </c>
      <c r="G87" s="370">
        <v>0</v>
      </c>
      <c r="H87" s="361">
        <f>TRUNC(G87*D87,1)</f>
        <v>0</v>
      </c>
      <c r="I87" s="370">
        <v>0</v>
      </c>
      <c r="J87" s="361">
        <f>TRUNC(I87*D87,1)</f>
        <v>0</v>
      </c>
      <c r="K87" s="370">
        <f t="shared" si="11"/>
        <v>458.1</v>
      </c>
      <c r="L87" s="361">
        <f t="shared" si="11"/>
        <v>458.1</v>
      </c>
      <c r="M87" s="333" t="s">
        <v>378</v>
      </c>
      <c r="N87" s="329" t="s">
        <v>1136</v>
      </c>
      <c r="O87" s="329" t="s">
        <v>2215</v>
      </c>
      <c r="P87" s="329" t="s">
        <v>1105</v>
      </c>
      <c r="Q87" s="329" t="s">
        <v>1105</v>
      </c>
      <c r="R87" s="329" t="s">
        <v>1105</v>
      </c>
      <c r="S87" s="330">
        <v>1</v>
      </c>
      <c r="T87" s="330">
        <v>0</v>
      </c>
      <c r="U87" s="330">
        <v>0.03</v>
      </c>
      <c r="W87" s="330">
        <v>2</v>
      </c>
      <c r="AV87" s="329" t="s">
        <v>378</v>
      </c>
      <c r="AW87" s="329" t="s">
        <v>2308</v>
      </c>
      <c r="AX87" s="329" t="s">
        <v>378</v>
      </c>
      <c r="AY87" s="329" t="s">
        <v>378</v>
      </c>
    </row>
    <row r="88" spans="1:51" ht="30" customHeight="1">
      <c r="A88" s="333" t="s">
        <v>1992</v>
      </c>
      <c r="B88" s="333" t="s">
        <v>2279</v>
      </c>
      <c r="C88" s="333" t="s">
        <v>1852</v>
      </c>
      <c r="D88" s="334">
        <f>신규_공량산출근거서_일위대가!K43</f>
        <v>5.9799999999999999E-2</v>
      </c>
      <c r="E88" s="370">
        <f>신규_단가대비표!O155</f>
        <v>0</v>
      </c>
      <c r="F88" s="361">
        <f>TRUNC(E88*D88,1)</f>
        <v>0</v>
      </c>
      <c r="G88" s="370">
        <f>신규_단가대비표!P155</f>
        <v>255395.20006</v>
      </c>
      <c r="H88" s="361">
        <f>TRUNC(G88*D88,1)</f>
        <v>15272.6</v>
      </c>
      <c r="I88" s="370">
        <f>신규_단가대비표!V155</f>
        <v>0</v>
      </c>
      <c r="J88" s="361">
        <f>TRUNC(I88*D88,1)</f>
        <v>0</v>
      </c>
      <c r="K88" s="370">
        <f t="shared" si="11"/>
        <v>255395.20000000001</v>
      </c>
      <c r="L88" s="361">
        <f t="shared" si="11"/>
        <v>15272.6</v>
      </c>
      <c r="M88" s="333" t="s">
        <v>378</v>
      </c>
      <c r="N88" s="329" t="s">
        <v>1136</v>
      </c>
      <c r="O88" s="329" t="s">
        <v>2280</v>
      </c>
      <c r="P88" s="329" t="s">
        <v>1105</v>
      </c>
      <c r="Q88" s="329" t="s">
        <v>1105</v>
      </c>
      <c r="R88" s="329" t="s">
        <v>1104</v>
      </c>
      <c r="W88" s="330">
        <v>2</v>
      </c>
      <c r="AV88" s="329" t="s">
        <v>378</v>
      </c>
      <c r="AW88" s="329" t="s">
        <v>2309</v>
      </c>
      <c r="AX88" s="329" t="s">
        <v>378</v>
      </c>
      <c r="AY88" s="329" t="s">
        <v>378</v>
      </c>
    </row>
    <row r="89" spans="1:51" ht="30" customHeight="1">
      <c r="A89" s="333" t="s">
        <v>2224</v>
      </c>
      <c r="B89" s="333" t="s">
        <v>378</v>
      </c>
      <c r="C89" s="333" t="s">
        <v>378</v>
      </c>
      <c r="D89" s="334"/>
      <c r="E89" s="370"/>
      <c r="F89" s="361">
        <f>TRUNC(SUMIF(N85:N88, N84, F85:F88),0)</f>
        <v>10984</v>
      </c>
      <c r="G89" s="370"/>
      <c r="H89" s="361">
        <f>TRUNC(SUMIF(N85:N88, N84, H85:H88),0)</f>
        <v>15272</v>
      </c>
      <c r="I89" s="370"/>
      <c r="J89" s="361">
        <f>TRUNC(SUMIF(N85:N88, N84, J85:J88),0)</f>
        <v>0</v>
      </c>
      <c r="K89" s="370"/>
      <c r="L89" s="361">
        <f>F89+H89+J89</f>
        <v>26256</v>
      </c>
      <c r="M89" s="333" t="s">
        <v>378</v>
      </c>
      <c r="N89" s="329" t="s">
        <v>1197</v>
      </c>
      <c r="O89" s="329" t="s">
        <v>1197</v>
      </c>
      <c r="P89" s="329" t="s">
        <v>378</v>
      </c>
      <c r="Q89" s="329" t="s">
        <v>378</v>
      </c>
      <c r="R89" s="329" t="s">
        <v>378</v>
      </c>
      <c r="AV89" s="329" t="s">
        <v>378</v>
      </c>
      <c r="AW89" s="329" t="s">
        <v>378</v>
      </c>
      <c r="AX89" s="329" t="s">
        <v>378</v>
      </c>
      <c r="AY89" s="329" t="s">
        <v>378</v>
      </c>
    </row>
    <row r="90" spans="1:51" ht="30" customHeight="1">
      <c r="A90" s="334"/>
      <c r="B90" s="334"/>
      <c r="C90" s="334"/>
      <c r="D90" s="334"/>
      <c r="E90" s="370"/>
      <c r="F90" s="361"/>
      <c r="G90" s="370"/>
      <c r="H90" s="361"/>
      <c r="I90" s="370"/>
      <c r="J90" s="361"/>
      <c r="K90" s="370"/>
      <c r="L90" s="361"/>
      <c r="M90" s="334"/>
    </row>
    <row r="91" spans="1:51" ht="30" customHeight="1">
      <c r="A91" s="718" t="s">
        <v>2310</v>
      </c>
      <c r="B91" s="718"/>
      <c r="C91" s="718"/>
      <c r="D91" s="718"/>
      <c r="E91" s="719"/>
      <c r="F91" s="720"/>
      <c r="G91" s="719"/>
      <c r="H91" s="720"/>
      <c r="I91" s="719"/>
      <c r="J91" s="720"/>
      <c r="K91" s="719"/>
      <c r="L91" s="720"/>
      <c r="M91" s="718"/>
      <c r="N91" s="329" t="s">
        <v>1138</v>
      </c>
    </row>
    <row r="92" spans="1:51" ht="30" customHeight="1">
      <c r="A92" s="333" t="s">
        <v>2311</v>
      </c>
      <c r="B92" s="333" t="s">
        <v>2312</v>
      </c>
      <c r="C92" s="333" t="s">
        <v>265</v>
      </c>
      <c r="D92" s="334">
        <v>1</v>
      </c>
      <c r="E92" s="370">
        <f>신규_단가대비표!O108</f>
        <v>262.97271000000001</v>
      </c>
      <c r="F92" s="361">
        <f>TRUNC(E92*D92,1)</f>
        <v>262.89999999999998</v>
      </c>
      <c r="G92" s="370">
        <f>신규_단가대비표!P108</f>
        <v>0</v>
      </c>
      <c r="H92" s="361">
        <f>TRUNC(G92*D92,1)</f>
        <v>0</v>
      </c>
      <c r="I92" s="370">
        <f>신규_단가대비표!V108</f>
        <v>0</v>
      </c>
      <c r="J92" s="361">
        <f>TRUNC(I92*D92,1)</f>
        <v>0</v>
      </c>
      <c r="K92" s="370">
        <f t="shared" ref="K92:L95" si="12">TRUNC(E92+G92+I92,1)</f>
        <v>262.89999999999998</v>
      </c>
      <c r="L92" s="361">
        <f t="shared" si="12"/>
        <v>262.89999999999998</v>
      </c>
      <c r="M92" s="333" t="s">
        <v>378</v>
      </c>
      <c r="N92" s="329" t="s">
        <v>1138</v>
      </c>
      <c r="O92" s="329" t="s">
        <v>2313</v>
      </c>
      <c r="P92" s="329" t="s">
        <v>1105</v>
      </c>
      <c r="Q92" s="329" t="s">
        <v>1105</v>
      </c>
      <c r="R92" s="329" t="s">
        <v>1104</v>
      </c>
      <c r="AV92" s="329" t="s">
        <v>378</v>
      </c>
      <c r="AW92" s="329" t="s">
        <v>2314</v>
      </c>
      <c r="AX92" s="329" t="s">
        <v>378</v>
      </c>
      <c r="AY92" s="329" t="s">
        <v>378</v>
      </c>
    </row>
    <row r="93" spans="1:51" ht="30" customHeight="1">
      <c r="A93" s="333" t="s">
        <v>1889</v>
      </c>
      <c r="B93" s="333" t="s">
        <v>378</v>
      </c>
      <c r="C93" s="333" t="s">
        <v>1852</v>
      </c>
      <c r="D93" s="334">
        <f>신규_공량산출근거서_일위대가!K47</f>
        <v>1E-3</v>
      </c>
      <c r="E93" s="370">
        <f>신규_단가대비표!O148</f>
        <v>0</v>
      </c>
      <c r="F93" s="361">
        <f>TRUNC(E93*D93,1)</f>
        <v>0</v>
      </c>
      <c r="G93" s="370">
        <f>신규_단가대비표!P148</f>
        <v>139072.71924000001</v>
      </c>
      <c r="H93" s="361">
        <f>TRUNC(G93*D93,1)</f>
        <v>139</v>
      </c>
      <c r="I93" s="370">
        <f>신규_단가대비표!V148</f>
        <v>0</v>
      </c>
      <c r="J93" s="361">
        <f>TRUNC(I93*D93,1)</f>
        <v>0</v>
      </c>
      <c r="K93" s="370">
        <f t="shared" si="12"/>
        <v>139072.70000000001</v>
      </c>
      <c r="L93" s="361">
        <f t="shared" si="12"/>
        <v>139</v>
      </c>
      <c r="M93" s="333" t="s">
        <v>378</v>
      </c>
      <c r="N93" s="329" t="s">
        <v>1138</v>
      </c>
      <c r="O93" s="329" t="s">
        <v>2277</v>
      </c>
      <c r="P93" s="329" t="s">
        <v>1105</v>
      </c>
      <c r="Q93" s="329" t="s">
        <v>1105</v>
      </c>
      <c r="R93" s="329" t="s">
        <v>1104</v>
      </c>
      <c r="V93" s="330">
        <v>1</v>
      </c>
      <c r="AV93" s="329" t="s">
        <v>378</v>
      </c>
      <c r="AW93" s="329" t="s">
        <v>2315</v>
      </c>
      <c r="AX93" s="329" t="s">
        <v>378</v>
      </c>
      <c r="AY93" s="329" t="s">
        <v>378</v>
      </c>
    </row>
    <row r="94" spans="1:51" ht="30" customHeight="1">
      <c r="A94" s="333" t="s">
        <v>1992</v>
      </c>
      <c r="B94" s="333" t="s">
        <v>2279</v>
      </c>
      <c r="C94" s="333" t="s">
        <v>1852</v>
      </c>
      <c r="D94" s="334">
        <f>신규_공량산출근거서_일위대가!K48</f>
        <v>5.0000000000000001E-4</v>
      </c>
      <c r="E94" s="370">
        <f>신규_단가대비표!O155</f>
        <v>0</v>
      </c>
      <c r="F94" s="361">
        <f>TRUNC(E94*D94,1)</f>
        <v>0</v>
      </c>
      <c r="G94" s="370">
        <f>신규_단가대비표!P155</f>
        <v>255395.20006</v>
      </c>
      <c r="H94" s="361">
        <f>TRUNC(G94*D94,1)</f>
        <v>127.6</v>
      </c>
      <c r="I94" s="370">
        <f>신규_단가대비표!V155</f>
        <v>0</v>
      </c>
      <c r="J94" s="361">
        <f>TRUNC(I94*D94,1)</f>
        <v>0</v>
      </c>
      <c r="K94" s="370">
        <f t="shared" si="12"/>
        <v>255395.20000000001</v>
      </c>
      <c r="L94" s="361">
        <f t="shared" si="12"/>
        <v>127.6</v>
      </c>
      <c r="M94" s="333" t="s">
        <v>378</v>
      </c>
      <c r="N94" s="329" t="s">
        <v>1138</v>
      </c>
      <c r="O94" s="329" t="s">
        <v>2280</v>
      </c>
      <c r="P94" s="329" t="s">
        <v>1105</v>
      </c>
      <c r="Q94" s="329" t="s">
        <v>1105</v>
      </c>
      <c r="R94" s="329" t="s">
        <v>1104</v>
      </c>
      <c r="V94" s="330">
        <v>1</v>
      </c>
      <c r="AV94" s="329" t="s">
        <v>378</v>
      </c>
      <c r="AW94" s="329" t="s">
        <v>2316</v>
      </c>
      <c r="AX94" s="329" t="s">
        <v>378</v>
      </c>
      <c r="AY94" s="329" t="s">
        <v>378</v>
      </c>
    </row>
    <row r="95" spans="1:51" ht="30" customHeight="1">
      <c r="A95" s="333" t="s">
        <v>2217</v>
      </c>
      <c r="B95" s="333" t="s">
        <v>2218</v>
      </c>
      <c r="C95" s="333" t="s">
        <v>212</v>
      </c>
      <c r="D95" s="334">
        <v>1</v>
      </c>
      <c r="E95" s="370">
        <f>TRUNC(SUMIF(V92:V95, RIGHTB(O95, 1), H92:H95)*U95, 2)</f>
        <v>7.99</v>
      </c>
      <c r="F95" s="361">
        <f>TRUNC(E95*D95,1)</f>
        <v>7.9</v>
      </c>
      <c r="G95" s="370">
        <v>0</v>
      </c>
      <c r="H95" s="361">
        <f>TRUNC(G95*D95,1)</f>
        <v>0</v>
      </c>
      <c r="I95" s="370">
        <v>0</v>
      </c>
      <c r="J95" s="361">
        <f>TRUNC(I95*D95,1)</f>
        <v>0</v>
      </c>
      <c r="K95" s="370">
        <f t="shared" si="12"/>
        <v>7.9</v>
      </c>
      <c r="L95" s="361">
        <f t="shared" si="12"/>
        <v>7.9</v>
      </c>
      <c r="M95" s="333" t="s">
        <v>378</v>
      </c>
      <c r="N95" s="329" t="s">
        <v>1138</v>
      </c>
      <c r="O95" s="329" t="s">
        <v>2211</v>
      </c>
      <c r="P95" s="329" t="s">
        <v>1105</v>
      </c>
      <c r="Q95" s="329" t="s">
        <v>1105</v>
      </c>
      <c r="R95" s="329" t="s">
        <v>1105</v>
      </c>
      <c r="S95" s="330">
        <v>1</v>
      </c>
      <c r="T95" s="330">
        <v>0</v>
      </c>
      <c r="U95" s="330">
        <v>0.03</v>
      </c>
      <c r="AV95" s="329" t="s">
        <v>378</v>
      </c>
      <c r="AW95" s="329" t="s">
        <v>2317</v>
      </c>
      <c r="AX95" s="329" t="s">
        <v>378</v>
      </c>
      <c r="AY95" s="329" t="s">
        <v>378</v>
      </c>
    </row>
    <row r="96" spans="1:51" ht="30" customHeight="1">
      <c r="A96" s="333" t="s">
        <v>2224</v>
      </c>
      <c r="B96" s="333" t="s">
        <v>378</v>
      </c>
      <c r="C96" s="333" t="s">
        <v>378</v>
      </c>
      <c r="D96" s="334"/>
      <c r="E96" s="370"/>
      <c r="F96" s="361">
        <f>TRUNC(SUMIF(N92:N95, N91, F92:F95),0)</f>
        <v>270</v>
      </c>
      <c r="G96" s="370"/>
      <c r="H96" s="361">
        <f>TRUNC(SUMIF(N92:N95, N91, H92:H95),0)</f>
        <v>266</v>
      </c>
      <c r="I96" s="370"/>
      <c r="J96" s="361">
        <f>TRUNC(SUMIF(N92:N95, N91, J92:J95),0)</f>
        <v>0</v>
      </c>
      <c r="K96" s="370"/>
      <c r="L96" s="361">
        <f>F96+H96+J96</f>
        <v>536</v>
      </c>
      <c r="M96" s="333" t="s">
        <v>378</v>
      </c>
      <c r="N96" s="329" t="s">
        <v>1197</v>
      </c>
      <c r="O96" s="329" t="s">
        <v>1197</v>
      </c>
      <c r="P96" s="329" t="s">
        <v>378</v>
      </c>
      <c r="Q96" s="329" t="s">
        <v>378</v>
      </c>
      <c r="R96" s="329" t="s">
        <v>378</v>
      </c>
      <c r="AV96" s="329" t="s">
        <v>378</v>
      </c>
      <c r="AW96" s="329" t="s">
        <v>378</v>
      </c>
      <c r="AX96" s="329" t="s">
        <v>378</v>
      </c>
      <c r="AY96" s="329" t="s">
        <v>378</v>
      </c>
    </row>
    <row r="97" spans="1:51" ht="30" customHeight="1">
      <c r="A97" s="334"/>
      <c r="B97" s="334"/>
      <c r="C97" s="334"/>
      <c r="D97" s="334"/>
      <c r="E97" s="370"/>
      <c r="F97" s="361"/>
      <c r="G97" s="370"/>
      <c r="H97" s="361"/>
      <c r="I97" s="370"/>
      <c r="J97" s="361"/>
      <c r="K97" s="370"/>
      <c r="L97" s="361"/>
      <c r="M97" s="334"/>
    </row>
    <row r="98" spans="1:51" ht="30" customHeight="1">
      <c r="A98" s="718" t="s">
        <v>2318</v>
      </c>
      <c r="B98" s="718"/>
      <c r="C98" s="718"/>
      <c r="D98" s="718"/>
      <c r="E98" s="719"/>
      <c r="F98" s="720"/>
      <c r="G98" s="719"/>
      <c r="H98" s="720"/>
      <c r="I98" s="719"/>
      <c r="J98" s="720"/>
      <c r="K98" s="719"/>
      <c r="L98" s="720"/>
      <c r="M98" s="718"/>
      <c r="N98" s="329" t="s">
        <v>1141</v>
      </c>
    </row>
    <row r="99" spans="1:51" ht="30" customHeight="1">
      <c r="A99" s="333" t="s">
        <v>370</v>
      </c>
      <c r="B99" s="333" t="s">
        <v>2319</v>
      </c>
      <c r="C99" s="333" t="s">
        <v>265</v>
      </c>
      <c r="D99" s="334">
        <v>1</v>
      </c>
      <c r="E99" s="370">
        <f>신규_단가대비표!O95</f>
        <v>203.6489</v>
      </c>
      <c r="F99" s="361">
        <f>TRUNC(E99*D99,1)</f>
        <v>203.6</v>
      </c>
      <c r="G99" s="370">
        <f>신규_단가대비표!P95</f>
        <v>0</v>
      </c>
      <c r="H99" s="361">
        <f>TRUNC(G99*D99,1)</f>
        <v>0</v>
      </c>
      <c r="I99" s="370">
        <f>신규_단가대비표!V95</f>
        <v>0</v>
      </c>
      <c r="J99" s="361">
        <f>TRUNC(I99*D99,1)</f>
        <v>0</v>
      </c>
      <c r="K99" s="370">
        <f t="shared" ref="K99:L101" si="13">TRUNC(E99+G99+I99,1)</f>
        <v>203.6</v>
      </c>
      <c r="L99" s="361">
        <f t="shared" si="13"/>
        <v>203.6</v>
      </c>
      <c r="M99" s="333" t="s">
        <v>378</v>
      </c>
      <c r="N99" s="329" t="s">
        <v>1141</v>
      </c>
      <c r="O99" s="329" t="s">
        <v>2320</v>
      </c>
      <c r="P99" s="329" t="s">
        <v>1105</v>
      </c>
      <c r="Q99" s="329" t="s">
        <v>1105</v>
      </c>
      <c r="R99" s="329" t="s">
        <v>1104</v>
      </c>
      <c r="AV99" s="329" t="s">
        <v>378</v>
      </c>
      <c r="AW99" s="329" t="s">
        <v>2321</v>
      </c>
      <c r="AX99" s="329" t="s">
        <v>378</v>
      </c>
      <c r="AY99" s="329" t="s">
        <v>378</v>
      </c>
    </row>
    <row r="100" spans="1:51" ht="30" customHeight="1">
      <c r="A100" s="333" t="s">
        <v>1992</v>
      </c>
      <c r="B100" s="333" t="s">
        <v>2279</v>
      </c>
      <c r="C100" s="333" t="s">
        <v>1852</v>
      </c>
      <c r="D100" s="334">
        <f>신규_공량산출근거서_일위대가!K51</f>
        <v>8.1000000000000003E-2</v>
      </c>
      <c r="E100" s="370">
        <f>신규_단가대비표!O155</f>
        <v>0</v>
      </c>
      <c r="F100" s="361">
        <f>TRUNC(E100*D100,1)</f>
        <v>0</v>
      </c>
      <c r="G100" s="370">
        <f>신규_단가대비표!P155</f>
        <v>255395.20006</v>
      </c>
      <c r="H100" s="361">
        <f>TRUNC(G100*D100,1)</f>
        <v>20687</v>
      </c>
      <c r="I100" s="370">
        <f>신규_단가대비표!V155</f>
        <v>0</v>
      </c>
      <c r="J100" s="361">
        <f>TRUNC(I100*D100,1)</f>
        <v>0</v>
      </c>
      <c r="K100" s="370">
        <f t="shared" si="13"/>
        <v>255395.20000000001</v>
      </c>
      <c r="L100" s="361">
        <f t="shared" si="13"/>
        <v>20687</v>
      </c>
      <c r="M100" s="333" t="s">
        <v>378</v>
      </c>
      <c r="N100" s="329" t="s">
        <v>1141</v>
      </c>
      <c r="O100" s="329" t="s">
        <v>2280</v>
      </c>
      <c r="P100" s="329" t="s">
        <v>1105</v>
      </c>
      <c r="Q100" s="329" t="s">
        <v>1105</v>
      </c>
      <c r="R100" s="329" t="s">
        <v>1104</v>
      </c>
      <c r="V100" s="330">
        <v>1</v>
      </c>
      <c r="AV100" s="329" t="s">
        <v>378</v>
      </c>
      <c r="AW100" s="329" t="s">
        <v>2322</v>
      </c>
      <c r="AX100" s="329" t="s">
        <v>378</v>
      </c>
      <c r="AY100" s="329" t="s">
        <v>378</v>
      </c>
    </row>
    <row r="101" spans="1:51" ht="30" customHeight="1">
      <c r="A101" s="333" t="s">
        <v>2217</v>
      </c>
      <c r="B101" s="333" t="s">
        <v>2218</v>
      </c>
      <c r="C101" s="333" t="s">
        <v>212</v>
      </c>
      <c r="D101" s="334">
        <v>1</v>
      </c>
      <c r="E101" s="370">
        <f>TRUNC(SUMIF(V99:V101, RIGHTB(O101, 1), H99:H101)*U101, 2)</f>
        <v>620.61</v>
      </c>
      <c r="F101" s="361">
        <f>TRUNC(E101*D101,1)</f>
        <v>620.6</v>
      </c>
      <c r="G101" s="370">
        <v>0</v>
      </c>
      <c r="H101" s="361">
        <f>TRUNC(G101*D101,1)</f>
        <v>0</v>
      </c>
      <c r="I101" s="370">
        <v>0</v>
      </c>
      <c r="J101" s="361">
        <f>TRUNC(I101*D101,1)</f>
        <v>0</v>
      </c>
      <c r="K101" s="370">
        <f t="shared" si="13"/>
        <v>620.6</v>
      </c>
      <c r="L101" s="361">
        <f t="shared" si="13"/>
        <v>620.6</v>
      </c>
      <c r="M101" s="333" t="s">
        <v>378</v>
      </c>
      <c r="N101" s="329" t="s">
        <v>1141</v>
      </c>
      <c r="O101" s="329" t="s">
        <v>2211</v>
      </c>
      <c r="P101" s="329" t="s">
        <v>1105</v>
      </c>
      <c r="Q101" s="329" t="s">
        <v>1105</v>
      </c>
      <c r="R101" s="329" t="s">
        <v>1105</v>
      </c>
      <c r="S101" s="330">
        <v>1</v>
      </c>
      <c r="T101" s="330">
        <v>0</v>
      </c>
      <c r="U101" s="330">
        <v>0.03</v>
      </c>
      <c r="AV101" s="329" t="s">
        <v>378</v>
      </c>
      <c r="AW101" s="329" t="s">
        <v>2323</v>
      </c>
      <c r="AX101" s="329" t="s">
        <v>378</v>
      </c>
      <c r="AY101" s="329" t="s">
        <v>378</v>
      </c>
    </row>
    <row r="102" spans="1:51" ht="30" customHeight="1">
      <c r="A102" s="333" t="s">
        <v>2224</v>
      </c>
      <c r="B102" s="333" t="s">
        <v>378</v>
      </c>
      <c r="C102" s="333" t="s">
        <v>378</v>
      </c>
      <c r="D102" s="334"/>
      <c r="E102" s="370"/>
      <c r="F102" s="361">
        <f>TRUNC(SUMIF(N99:N101, N98, F99:F101),0)</f>
        <v>824</v>
      </c>
      <c r="G102" s="370"/>
      <c r="H102" s="361">
        <f>TRUNC(SUMIF(N99:N101, N98, H99:H101),0)</f>
        <v>20687</v>
      </c>
      <c r="I102" s="370"/>
      <c r="J102" s="361">
        <f>TRUNC(SUMIF(N99:N101, N98, J99:J101),0)</f>
        <v>0</v>
      </c>
      <c r="K102" s="370"/>
      <c r="L102" s="361">
        <f>F102+H102+J102</f>
        <v>21511</v>
      </c>
      <c r="M102" s="333" t="s">
        <v>378</v>
      </c>
      <c r="N102" s="329" t="s">
        <v>1197</v>
      </c>
      <c r="O102" s="329" t="s">
        <v>1197</v>
      </c>
      <c r="P102" s="329" t="s">
        <v>378</v>
      </c>
      <c r="Q102" s="329" t="s">
        <v>378</v>
      </c>
      <c r="R102" s="329" t="s">
        <v>378</v>
      </c>
      <c r="AV102" s="329" t="s">
        <v>378</v>
      </c>
      <c r="AW102" s="329" t="s">
        <v>378</v>
      </c>
      <c r="AX102" s="329" t="s">
        <v>378</v>
      </c>
      <c r="AY102" s="329" t="s">
        <v>378</v>
      </c>
    </row>
    <row r="103" spans="1:51" ht="30" customHeight="1">
      <c r="A103" s="334"/>
      <c r="B103" s="334"/>
      <c r="C103" s="334"/>
      <c r="D103" s="334"/>
      <c r="E103" s="370"/>
      <c r="F103" s="361"/>
      <c r="G103" s="370"/>
      <c r="H103" s="361"/>
      <c r="I103" s="370"/>
      <c r="J103" s="361"/>
      <c r="K103" s="370"/>
      <c r="L103" s="361"/>
      <c r="M103" s="334"/>
    </row>
    <row r="104" spans="1:51" ht="30" customHeight="1">
      <c r="A104" s="718" t="s">
        <v>2324</v>
      </c>
      <c r="B104" s="718"/>
      <c r="C104" s="718"/>
      <c r="D104" s="718"/>
      <c r="E104" s="719"/>
      <c r="F104" s="720"/>
      <c r="G104" s="719"/>
      <c r="H104" s="720"/>
      <c r="I104" s="719"/>
      <c r="J104" s="720"/>
      <c r="K104" s="719"/>
      <c r="L104" s="720"/>
      <c r="M104" s="718"/>
      <c r="N104" s="329" t="s">
        <v>1144</v>
      </c>
    </row>
    <row r="105" spans="1:51" ht="30" customHeight="1">
      <c r="A105" s="333" t="s">
        <v>370</v>
      </c>
      <c r="B105" s="333" t="s">
        <v>2325</v>
      </c>
      <c r="C105" s="333" t="s">
        <v>265</v>
      </c>
      <c r="D105" s="334">
        <v>1</v>
      </c>
      <c r="E105" s="370">
        <f>신규_단가대비표!O96</f>
        <v>301.0462</v>
      </c>
      <c r="F105" s="361">
        <f>TRUNC(E105*D105,1)</f>
        <v>301</v>
      </c>
      <c r="G105" s="370">
        <f>신규_단가대비표!P96</f>
        <v>0</v>
      </c>
      <c r="H105" s="361">
        <f>TRUNC(G105*D105,1)</f>
        <v>0</v>
      </c>
      <c r="I105" s="370">
        <f>신규_단가대비표!V96</f>
        <v>0</v>
      </c>
      <c r="J105" s="361">
        <f>TRUNC(I105*D105,1)</f>
        <v>0</v>
      </c>
      <c r="K105" s="370">
        <f t="shared" ref="K105:L107" si="14">TRUNC(E105+G105+I105,1)</f>
        <v>301</v>
      </c>
      <c r="L105" s="361">
        <f t="shared" si="14"/>
        <v>301</v>
      </c>
      <c r="M105" s="333" t="s">
        <v>378</v>
      </c>
      <c r="N105" s="329" t="s">
        <v>1144</v>
      </c>
      <c r="O105" s="329" t="s">
        <v>2326</v>
      </c>
      <c r="P105" s="329" t="s">
        <v>1105</v>
      </c>
      <c r="Q105" s="329" t="s">
        <v>1105</v>
      </c>
      <c r="R105" s="329" t="s">
        <v>1104</v>
      </c>
      <c r="AV105" s="329" t="s">
        <v>378</v>
      </c>
      <c r="AW105" s="329" t="s">
        <v>2327</v>
      </c>
      <c r="AX105" s="329" t="s">
        <v>378</v>
      </c>
      <c r="AY105" s="329" t="s">
        <v>378</v>
      </c>
    </row>
    <row r="106" spans="1:51" ht="30" customHeight="1">
      <c r="A106" s="333" t="s">
        <v>2217</v>
      </c>
      <c r="B106" s="333" t="s">
        <v>2218</v>
      </c>
      <c r="C106" s="333" t="s">
        <v>212</v>
      </c>
      <c r="D106" s="334">
        <v>1</v>
      </c>
      <c r="E106" s="370">
        <f>TRUNC(SUMIF(V105:V107, RIGHTB(O106, 1), H105:H107)*U106, 2)</f>
        <v>459.71</v>
      </c>
      <c r="F106" s="361">
        <f>TRUNC(E106*D106,1)</f>
        <v>459.7</v>
      </c>
      <c r="G106" s="370">
        <v>0</v>
      </c>
      <c r="H106" s="361">
        <f>TRUNC(G106*D106,1)</f>
        <v>0</v>
      </c>
      <c r="I106" s="370">
        <v>0</v>
      </c>
      <c r="J106" s="361">
        <f>TRUNC(I106*D106,1)</f>
        <v>0</v>
      </c>
      <c r="K106" s="370">
        <f t="shared" si="14"/>
        <v>459.7</v>
      </c>
      <c r="L106" s="361">
        <f t="shared" si="14"/>
        <v>459.7</v>
      </c>
      <c r="M106" s="333" t="s">
        <v>378</v>
      </c>
      <c r="N106" s="329" t="s">
        <v>1144</v>
      </c>
      <c r="O106" s="329" t="s">
        <v>2211</v>
      </c>
      <c r="P106" s="329" t="s">
        <v>1105</v>
      </c>
      <c r="Q106" s="329" t="s">
        <v>1105</v>
      </c>
      <c r="R106" s="329" t="s">
        <v>1105</v>
      </c>
      <c r="S106" s="330">
        <v>1</v>
      </c>
      <c r="T106" s="330">
        <v>0</v>
      </c>
      <c r="U106" s="330">
        <v>0.03</v>
      </c>
      <c r="V106" s="330">
        <v>1</v>
      </c>
      <c r="AV106" s="329" t="s">
        <v>378</v>
      </c>
      <c r="AW106" s="329" t="s">
        <v>2328</v>
      </c>
      <c r="AX106" s="329" t="s">
        <v>378</v>
      </c>
      <c r="AY106" s="329" t="s">
        <v>378</v>
      </c>
    </row>
    <row r="107" spans="1:51" ht="30" customHeight="1">
      <c r="A107" s="333" t="s">
        <v>1992</v>
      </c>
      <c r="B107" s="333" t="s">
        <v>2279</v>
      </c>
      <c r="C107" s="333" t="s">
        <v>1852</v>
      </c>
      <c r="D107" s="334">
        <f>신규_공량산출근거서_일위대가!K54</f>
        <v>0.06</v>
      </c>
      <c r="E107" s="370">
        <f>신규_단가대비표!O155</f>
        <v>0</v>
      </c>
      <c r="F107" s="361">
        <f>TRUNC(E107*D107,1)</f>
        <v>0</v>
      </c>
      <c r="G107" s="370">
        <f>신규_단가대비표!P155</f>
        <v>255395.20006</v>
      </c>
      <c r="H107" s="361">
        <f>TRUNC(G107*D107,1)</f>
        <v>15323.7</v>
      </c>
      <c r="I107" s="370">
        <f>신규_단가대비표!V155</f>
        <v>0</v>
      </c>
      <c r="J107" s="361">
        <f>TRUNC(I107*D107,1)</f>
        <v>0</v>
      </c>
      <c r="K107" s="370">
        <f t="shared" si="14"/>
        <v>255395.20000000001</v>
      </c>
      <c r="L107" s="361">
        <f t="shared" si="14"/>
        <v>15323.7</v>
      </c>
      <c r="M107" s="333" t="s">
        <v>378</v>
      </c>
      <c r="N107" s="329" t="s">
        <v>1144</v>
      </c>
      <c r="O107" s="329" t="s">
        <v>2280</v>
      </c>
      <c r="P107" s="329" t="s">
        <v>1105</v>
      </c>
      <c r="Q107" s="329" t="s">
        <v>1105</v>
      </c>
      <c r="R107" s="329" t="s">
        <v>1104</v>
      </c>
      <c r="V107" s="330">
        <v>1</v>
      </c>
      <c r="AV107" s="329" t="s">
        <v>378</v>
      </c>
      <c r="AW107" s="329" t="s">
        <v>2329</v>
      </c>
      <c r="AX107" s="329" t="s">
        <v>378</v>
      </c>
      <c r="AY107" s="329" t="s">
        <v>378</v>
      </c>
    </row>
    <row r="108" spans="1:51" ht="30" customHeight="1">
      <c r="A108" s="333" t="s">
        <v>2224</v>
      </c>
      <c r="B108" s="333" t="s">
        <v>378</v>
      </c>
      <c r="C108" s="333" t="s">
        <v>378</v>
      </c>
      <c r="D108" s="334"/>
      <c r="E108" s="370"/>
      <c r="F108" s="361">
        <f>TRUNC(SUMIF(N105:N107, N104, F105:F107),0)</f>
        <v>760</v>
      </c>
      <c r="G108" s="370"/>
      <c r="H108" s="361">
        <f>TRUNC(SUMIF(N105:N107, N104, H105:H107),0)</f>
        <v>15323</v>
      </c>
      <c r="I108" s="370"/>
      <c r="J108" s="361">
        <f>TRUNC(SUMIF(N105:N107, N104, J105:J107),0)</f>
        <v>0</v>
      </c>
      <c r="K108" s="370"/>
      <c r="L108" s="361">
        <f>F108+H108+J108</f>
        <v>16083</v>
      </c>
      <c r="M108" s="333" t="s">
        <v>378</v>
      </c>
      <c r="N108" s="329" t="s">
        <v>1197</v>
      </c>
      <c r="O108" s="329" t="s">
        <v>1197</v>
      </c>
      <c r="P108" s="329" t="s">
        <v>378</v>
      </c>
      <c r="Q108" s="329" t="s">
        <v>378</v>
      </c>
      <c r="R108" s="329" t="s">
        <v>378</v>
      </c>
      <c r="AV108" s="329" t="s">
        <v>378</v>
      </c>
      <c r="AW108" s="329" t="s">
        <v>378</v>
      </c>
      <c r="AX108" s="329" t="s">
        <v>378</v>
      </c>
      <c r="AY108" s="329" t="s">
        <v>378</v>
      </c>
    </row>
    <row r="109" spans="1:51" ht="30" customHeight="1">
      <c r="A109" s="334"/>
      <c r="B109" s="334"/>
      <c r="C109" s="334"/>
      <c r="D109" s="334"/>
      <c r="E109" s="370"/>
      <c r="F109" s="361"/>
      <c r="G109" s="370"/>
      <c r="H109" s="361"/>
      <c r="I109" s="370"/>
      <c r="J109" s="361"/>
      <c r="K109" s="370"/>
      <c r="L109" s="361"/>
      <c r="M109" s="334"/>
    </row>
    <row r="110" spans="1:51" ht="30" customHeight="1">
      <c r="A110" s="718" t="s">
        <v>2330</v>
      </c>
      <c r="B110" s="718"/>
      <c r="C110" s="718"/>
      <c r="D110" s="718"/>
      <c r="E110" s="719"/>
      <c r="F110" s="720"/>
      <c r="G110" s="719"/>
      <c r="H110" s="720"/>
      <c r="I110" s="719"/>
      <c r="J110" s="720"/>
      <c r="K110" s="719"/>
      <c r="L110" s="720"/>
      <c r="M110" s="718"/>
      <c r="N110" s="329" t="s">
        <v>1147</v>
      </c>
    </row>
    <row r="111" spans="1:51" ht="30" customHeight="1">
      <c r="A111" s="333" t="s">
        <v>370</v>
      </c>
      <c r="B111" s="333" t="s">
        <v>2331</v>
      </c>
      <c r="C111" s="333" t="s">
        <v>265</v>
      </c>
      <c r="D111" s="334">
        <v>1</v>
      </c>
      <c r="E111" s="370">
        <f>신규_단가대비표!O97</f>
        <v>610.94670000000008</v>
      </c>
      <c r="F111" s="361">
        <f>TRUNC(E111*D111,1)</f>
        <v>610.9</v>
      </c>
      <c r="G111" s="370">
        <f>신규_단가대비표!P97</f>
        <v>0</v>
      </c>
      <c r="H111" s="361">
        <f>TRUNC(G111*D111,1)</f>
        <v>0</v>
      </c>
      <c r="I111" s="370">
        <f>신규_단가대비표!V97</f>
        <v>0</v>
      </c>
      <c r="J111" s="361">
        <f>TRUNC(I111*D111,1)</f>
        <v>0</v>
      </c>
      <c r="K111" s="370">
        <f t="shared" ref="K111:L113" si="15">TRUNC(E111+G111+I111,1)</f>
        <v>610.9</v>
      </c>
      <c r="L111" s="361">
        <f t="shared" si="15"/>
        <v>610.9</v>
      </c>
      <c r="M111" s="333" t="s">
        <v>378</v>
      </c>
      <c r="N111" s="329" t="s">
        <v>1147</v>
      </c>
      <c r="O111" s="329" t="s">
        <v>2332</v>
      </c>
      <c r="P111" s="329" t="s">
        <v>1105</v>
      </c>
      <c r="Q111" s="329" t="s">
        <v>1105</v>
      </c>
      <c r="R111" s="329" t="s">
        <v>1104</v>
      </c>
      <c r="AV111" s="329" t="s">
        <v>378</v>
      </c>
      <c r="AW111" s="329" t="s">
        <v>2333</v>
      </c>
      <c r="AX111" s="329" t="s">
        <v>378</v>
      </c>
      <c r="AY111" s="329" t="s">
        <v>378</v>
      </c>
    </row>
    <row r="112" spans="1:51" ht="30" customHeight="1">
      <c r="A112" s="333" t="s">
        <v>1992</v>
      </c>
      <c r="B112" s="333" t="s">
        <v>2279</v>
      </c>
      <c r="C112" s="333" t="s">
        <v>1852</v>
      </c>
      <c r="D112" s="334">
        <f>신규_공량산출근거서_일위대가!K57</f>
        <v>0.12</v>
      </c>
      <c r="E112" s="370">
        <f>신규_단가대비표!O155</f>
        <v>0</v>
      </c>
      <c r="F112" s="361">
        <f>TRUNC(E112*D112,1)</f>
        <v>0</v>
      </c>
      <c r="G112" s="370">
        <f>신규_단가대비표!P155</f>
        <v>255395.20006</v>
      </c>
      <c r="H112" s="361">
        <f>TRUNC(G112*D112,1)</f>
        <v>30647.4</v>
      </c>
      <c r="I112" s="370">
        <f>신규_단가대비표!V155</f>
        <v>0</v>
      </c>
      <c r="J112" s="361">
        <f>TRUNC(I112*D112,1)</f>
        <v>0</v>
      </c>
      <c r="K112" s="370">
        <f t="shared" si="15"/>
        <v>255395.20000000001</v>
      </c>
      <c r="L112" s="361">
        <f t="shared" si="15"/>
        <v>30647.4</v>
      </c>
      <c r="M112" s="333" t="s">
        <v>378</v>
      </c>
      <c r="N112" s="329" t="s">
        <v>1147</v>
      </c>
      <c r="O112" s="329" t="s">
        <v>2280</v>
      </c>
      <c r="P112" s="329" t="s">
        <v>1105</v>
      </c>
      <c r="Q112" s="329" t="s">
        <v>1105</v>
      </c>
      <c r="R112" s="329" t="s">
        <v>1104</v>
      </c>
      <c r="V112" s="330">
        <v>1</v>
      </c>
      <c r="AV112" s="329" t="s">
        <v>378</v>
      </c>
      <c r="AW112" s="329" t="s">
        <v>2334</v>
      </c>
      <c r="AX112" s="329" t="s">
        <v>378</v>
      </c>
      <c r="AY112" s="329" t="s">
        <v>378</v>
      </c>
    </row>
    <row r="113" spans="1:51" ht="30" customHeight="1">
      <c r="A113" s="333" t="s">
        <v>2217</v>
      </c>
      <c r="B113" s="333" t="s">
        <v>2218</v>
      </c>
      <c r="C113" s="333" t="s">
        <v>212</v>
      </c>
      <c r="D113" s="334">
        <v>1</v>
      </c>
      <c r="E113" s="370">
        <f>TRUNC(SUMIF(V111:V113, RIGHTB(O113, 1), H111:H113)*U113, 2)</f>
        <v>919.42</v>
      </c>
      <c r="F113" s="361">
        <f>TRUNC(E113*D113,1)</f>
        <v>919.4</v>
      </c>
      <c r="G113" s="370">
        <v>0</v>
      </c>
      <c r="H113" s="361">
        <f>TRUNC(G113*D113,1)</f>
        <v>0</v>
      </c>
      <c r="I113" s="370">
        <v>0</v>
      </c>
      <c r="J113" s="361">
        <f>TRUNC(I113*D113,1)</f>
        <v>0</v>
      </c>
      <c r="K113" s="370">
        <f t="shared" si="15"/>
        <v>919.4</v>
      </c>
      <c r="L113" s="361">
        <f t="shared" si="15"/>
        <v>919.4</v>
      </c>
      <c r="M113" s="333" t="s">
        <v>378</v>
      </c>
      <c r="N113" s="329" t="s">
        <v>1147</v>
      </c>
      <c r="O113" s="329" t="s">
        <v>2211</v>
      </c>
      <c r="P113" s="329" t="s">
        <v>1105</v>
      </c>
      <c r="Q113" s="329" t="s">
        <v>1105</v>
      </c>
      <c r="R113" s="329" t="s">
        <v>1105</v>
      </c>
      <c r="S113" s="330">
        <v>1</v>
      </c>
      <c r="T113" s="330">
        <v>0</v>
      </c>
      <c r="U113" s="330">
        <v>0.03</v>
      </c>
      <c r="AV113" s="329" t="s">
        <v>378</v>
      </c>
      <c r="AW113" s="329" t="s">
        <v>2335</v>
      </c>
      <c r="AX113" s="329" t="s">
        <v>378</v>
      </c>
      <c r="AY113" s="329" t="s">
        <v>378</v>
      </c>
    </row>
    <row r="114" spans="1:51" ht="30" customHeight="1">
      <c r="A114" s="333" t="s">
        <v>2224</v>
      </c>
      <c r="B114" s="333" t="s">
        <v>378</v>
      </c>
      <c r="C114" s="333" t="s">
        <v>378</v>
      </c>
      <c r="D114" s="334"/>
      <c r="E114" s="370"/>
      <c r="F114" s="361">
        <f>TRUNC(SUMIF(N111:N113, N110, F111:F113),0)</f>
        <v>1530</v>
      </c>
      <c r="G114" s="370"/>
      <c r="H114" s="361">
        <f>TRUNC(SUMIF(N111:N113, N110, H111:H113),0)</f>
        <v>30647</v>
      </c>
      <c r="I114" s="370"/>
      <c r="J114" s="361">
        <f>TRUNC(SUMIF(N111:N113, N110, J111:J113),0)</f>
        <v>0</v>
      </c>
      <c r="K114" s="370"/>
      <c r="L114" s="361">
        <f>F114+H114+J114</f>
        <v>32177</v>
      </c>
      <c r="M114" s="333" t="s">
        <v>378</v>
      </c>
      <c r="N114" s="329" t="s">
        <v>1197</v>
      </c>
      <c r="O114" s="329" t="s">
        <v>1197</v>
      </c>
      <c r="P114" s="329" t="s">
        <v>378</v>
      </c>
      <c r="Q114" s="329" t="s">
        <v>378</v>
      </c>
      <c r="R114" s="329" t="s">
        <v>378</v>
      </c>
      <c r="AV114" s="329" t="s">
        <v>378</v>
      </c>
      <c r="AW114" s="329" t="s">
        <v>378</v>
      </c>
      <c r="AX114" s="329" t="s">
        <v>378</v>
      </c>
      <c r="AY114" s="329" t="s">
        <v>378</v>
      </c>
    </row>
    <row r="115" spans="1:51" ht="30" customHeight="1">
      <c r="A115" s="334"/>
      <c r="B115" s="334"/>
      <c r="C115" s="334"/>
      <c r="D115" s="334"/>
      <c r="E115" s="370"/>
      <c r="F115" s="361"/>
      <c r="G115" s="370"/>
      <c r="H115" s="361"/>
      <c r="I115" s="370"/>
      <c r="J115" s="361"/>
      <c r="K115" s="370"/>
      <c r="L115" s="361"/>
      <c r="M115" s="334"/>
    </row>
    <row r="116" spans="1:51" ht="30" customHeight="1">
      <c r="A116" s="718" t="s">
        <v>2336</v>
      </c>
      <c r="B116" s="718"/>
      <c r="C116" s="718"/>
      <c r="D116" s="718"/>
      <c r="E116" s="719"/>
      <c r="F116" s="720"/>
      <c r="G116" s="719"/>
      <c r="H116" s="720"/>
      <c r="I116" s="719"/>
      <c r="J116" s="720"/>
      <c r="K116" s="719"/>
      <c r="L116" s="720"/>
      <c r="M116" s="718"/>
      <c r="N116" s="329" t="s">
        <v>1150</v>
      </c>
    </row>
    <row r="117" spans="1:51" ht="30" customHeight="1">
      <c r="A117" s="333" t="s">
        <v>370</v>
      </c>
      <c r="B117" s="333" t="s">
        <v>2337</v>
      </c>
      <c r="C117" s="333" t="s">
        <v>265</v>
      </c>
      <c r="D117" s="334">
        <v>1</v>
      </c>
      <c r="E117" s="370">
        <f>신규_단가대비표!O100</f>
        <v>5011.5338000000002</v>
      </c>
      <c r="F117" s="361">
        <f>TRUNC(E117*D117,1)</f>
        <v>5011.5</v>
      </c>
      <c r="G117" s="370">
        <f>신규_단가대비표!P100</f>
        <v>0</v>
      </c>
      <c r="H117" s="361">
        <f>TRUNC(G117*D117,1)</f>
        <v>0</v>
      </c>
      <c r="I117" s="370">
        <f>신규_단가대비표!V100</f>
        <v>0</v>
      </c>
      <c r="J117" s="361">
        <f>TRUNC(I117*D117,1)</f>
        <v>0</v>
      </c>
      <c r="K117" s="370">
        <f t="shared" ref="K117:L119" si="16">TRUNC(E117+G117+I117,1)</f>
        <v>5011.5</v>
      </c>
      <c r="L117" s="361">
        <f t="shared" si="16"/>
        <v>5011.5</v>
      </c>
      <c r="M117" s="333" t="s">
        <v>378</v>
      </c>
      <c r="N117" s="329" t="s">
        <v>1150</v>
      </c>
      <c r="O117" s="329" t="s">
        <v>2338</v>
      </c>
      <c r="P117" s="329" t="s">
        <v>1105</v>
      </c>
      <c r="Q117" s="329" t="s">
        <v>1105</v>
      </c>
      <c r="R117" s="329" t="s">
        <v>1104</v>
      </c>
      <c r="AV117" s="329" t="s">
        <v>378</v>
      </c>
      <c r="AW117" s="329" t="s">
        <v>2339</v>
      </c>
      <c r="AX117" s="329" t="s">
        <v>378</v>
      </c>
      <c r="AY117" s="329" t="s">
        <v>378</v>
      </c>
    </row>
    <row r="118" spans="1:51" ht="30" customHeight="1">
      <c r="A118" s="333" t="s">
        <v>1992</v>
      </c>
      <c r="B118" s="333" t="s">
        <v>2279</v>
      </c>
      <c r="C118" s="333" t="s">
        <v>1852</v>
      </c>
      <c r="D118" s="334">
        <f>신규_공량산출근거서_일위대가!K60</f>
        <v>0.20399999999999999</v>
      </c>
      <c r="E118" s="370">
        <f>신규_단가대비표!O155</f>
        <v>0</v>
      </c>
      <c r="F118" s="361">
        <f>TRUNC(E118*D118,1)</f>
        <v>0</v>
      </c>
      <c r="G118" s="370">
        <f>신규_단가대비표!P155</f>
        <v>255395.20006</v>
      </c>
      <c r="H118" s="361">
        <f>TRUNC(G118*D118,1)</f>
        <v>52100.6</v>
      </c>
      <c r="I118" s="370">
        <f>신규_단가대비표!V155</f>
        <v>0</v>
      </c>
      <c r="J118" s="361">
        <f>TRUNC(I118*D118,1)</f>
        <v>0</v>
      </c>
      <c r="K118" s="370">
        <f t="shared" si="16"/>
        <v>255395.20000000001</v>
      </c>
      <c r="L118" s="361">
        <f t="shared" si="16"/>
        <v>52100.6</v>
      </c>
      <c r="M118" s="333" t="s">
        <v>378</v>
      </c>
      <c r="N118" s="329" t="s">
        <v>1150</v>
      </c>
      <c r="O118" s="329" t="s">
        <v>2280</v>
      </c>
      <c r="P118" s="329" t="s">
        <v>1105</v>
      </c>
      <c r="Q118" s="329" t="s">
        <v>1105</v>
      </c>
      <c r="R118" s="329" t="s">
        <v>1104</v>
      </c>
      <c r="V118" s="330">
        <v>1</v>
      </c>
      <c r="AV118" s="329" t="s">
        <v>378</v>
      </c>
      <c r="AW118" s="329" t="s">
        <v>2340</v>
      </c>
      <c r="AX118" s="329" t="s">
        <v>378</v>
      </c>
      <c r="AY118" s="329" t="s">
        <v>378</v>
      </c>
    </row>
    <row r="119" spans="1:51" ht="30" customHeight="1">
      <c r="A119" s="333" t="s">
        <v>2217</v>
      </c>
      <c r="B119" s="333" t="s">
        <v>2218</v>
      </c>
      <c r="C119" s="333" t="s">
        <v>212</v>
      </c>
      <c r="D119" s="334">
        <v>1</v>
      </c>
      <c r="E119" s="370">
        <f>TRUNC(SUMIF(V117:V119, RIGHTB(O119, 1), H117:H119)*U119, 2)</f>
        <v>1563.01</v>
      </c>
      <c r="F119" s="361">
        <f>TRUNC(E119*D119,1)</f>
        <v>1563</v>
      </c>
      <c r="G119" s="370">
        <v>0</v>
      </c>
      <c r="H119" s="361">
        <f>TRUNC(G119*D119,1)</f>
        <v>0</v>
      </c>
      <c r="I119" s="370">
        <v>0</v>
      </c>
      <c r="J119" s="361">
        <f>TRUNC(I119*D119,1)</f>
        <v>0</v>
      </c>
      <c r="K119" s="370">
        <f t="shared" si="16"/>
        <v>1563</v>
      </c>
      <c r="L119" s="361">
        <f t="shared" si="16"/>
        <v>1563</v>
      </c>
      <c r="M119" s="333" t="s">
        <v>378</v>
      </c>
      <c r="N119" s="329" t="s">
        <v>1150</v>
      </c>
      <c r="O119" s="329" t="s">
        <v>2211</v>
      </c>
      <c r="P119" s="329" t="s">
        <v>1105</v>
      </c>
      <c r="Q119" s="329" t="s">
        <v>1105</v>
      </c>
      <c r="R119" s="329" t="s">
        <v>1105</v>
      </c>
      <c r="S119" s="330">
        <v>1</v>
      </c>
      <c r="T119" s="330">
        <v>0</v>
      </c>
      <c r="U119" s="330">
        <v>0.03</v>
      </c>
      <c r="V119" s="330">
        <v>1</v>
      </c>
      <c r="AV119" s="329" t="s">
        <v>378</v>
      </c>
      <c r="AW119" s="329" t="s">
        <v>2341</v>
      </c>
      <c r="AX119" s="329" t="s">
        <v>378</v>
      </c>
      <c r="AY119" s="329" t="s">
        <v>378</v>
      </c>
    </row>
    <row r="120" spans="1:51" ht="30" customHeight="1">
      <c r="A120" s="333" t="s">
        <v>2224</v>
      </c>
      <c r="B120" s="333" t="s">
        <v>378</v>
      </c>
      <c r="C120" s="333" t="s">
        <v>378</v>
      </c>
      <c r="D120" s="334"/>
      <c r="E120" s="370"/>
      <c r="F120" s="361">
        <f>TRUNC(SUMIF(N117:N119, N116, F117:F119),0)</f>
        <v>6574</v>
      </c>
      <c r="G120" s="370"/>
      <c r="H120" s="361">
        <f>TRUNC(SUMIF(N117:N119, N116, H117:H119),0)</f>
        <v>52100</v>
      </c>
      <c r="I120" s="370"/>
      <c r="J120" s="361">
        <f>TRUNC(SUMIF(N117:N119, N116, J117:J119),0)</f>
        <v>0</v>
      </c>
      <c r="K120" s="370"/>
      <c r="L120" s="361">
        <f>F120+H120+J120</f>
        <v>58674</v>
      </c>
      <c r="M120" s="333" t="s">
        <v>378</v>
      </c>
      <c r="N120" s="329" t="s">
        <v>1197</v>
      </c>
      <c r="O120" s="329" t="s">
        <v>1197</v>
      </c>
      <c r="P120" s="329" t="s">
        <v>378</v>
      </c>
      <c r="Q120" s="329" t="s">
        <v>378</v>
      </c>
      <c r="R120" s="329" t="s">
        <v>378</v>
      </c>
      <c r="AV120" s="329" t="s">
        <v>378</v>
      </c>
      <c r="AW120" s="329" t="s">
        <v>378</v>
      </c>
      <c r="AX120" s="329" t="s">
        <v>378</v>
      </c>
      <c r="AY120" s="329" t="s">
        <v>378</v>
      </c>
    </row>
    <row r="121" spans="1:51" ht="30" customHeight="1">
      <c r="A121" s="334"/>
      <c r="B121" s="334"/>
      <c r="C121" s="334"/>
      <c r="D121" s="334"/>
      <c r="E121" s="370"/>
      <c r="F121" s="361"/>
      <c r="G121" s="370"/>
      <c r="H121" s="361"/>
      <c r="I121" s="370"/>
      <c r="J121" s="361"/>
      <c r="K121" s="370"/>
      <c r="L121" s="361"/>
      <c r="M121" s="334"/>
    </row>
    <row r="122" spans="1:51" ht="30" customHeight="1">
      <c r="A122" s="718" t="s">
        <v>2342</v>
      </c>
      <c r="B122" s="718"/>
      <c r="C122" s="718"/>
      <c r="D122" s="718"/>
      <c r="E122" s="719"/>
      <c r="F122" s="720"/>
      <c r="G122" s="719"/>
      <c r="H122" s="720"/>
      <c r="I122" s="719"/>
      <c r="J122" s="720"/>
      <c r="K122" s="719"/>
      <c r="L122" s="720"/>
      <c r="M122" s="718"/>
      <c r="N122" s="329" t="s">
        <v>1153</v>
      </c>
    </row>
    <row r="123" spans="1:51" ht="30" customHeight="1">
      <c r="A123" s="333" t="s">
        <v>1870</v>
      </c>
      <c r="B123" s="333" t="s">
        <v>2343</v>
      </c>
      <c r="C123" s="333" t="s">
        <v>262</v>
      </c>
      <c r="D123" s="334">
        <v>1</v>
      </c>
      <c r="E123" s="370">
        <f>신규_단가대비표!O29</f>
        <v>84115.85</v>
      </c>
      <c r="F123" s="361">
        <f t="shared" ref="F123:F133" si="17">TRUNC(E123*D123,1)</f>
        <v>84115.8</v>
      </c>
      <c r="G123" s="370">
        <f>신규_단가대비표!P29</f>
        <v>0</v>
      </c>
      <c r="H123" s="361">
        <f t="shared" ref="H123:H133" si="18">TRUNC(G123*D123,1)</f>
        <v>0</v>
      </c>
      <c r="I123" s="370">
        <f>신규_단가대비표!V29</f>
        <v>0</v>
      </c>
      <c r="J123" s="361">
        <f t="shared" ref="J123:J133" si="19">TRUNC(I123*D123,1)</f>
        <v>0</v>
      </c>
      <c r="K123" s="370">
        <f t="shared" ref="K123:L133" si="20">TRUNC(E123+G123+I123,1)</f>
        <v>84115.8</v>
      </c>
      <c r="L123" s="361">
        <f t="shared" si="20"/>
        <v>84115.8</v>
      </c>
      <c r="M123" s="333" t="s">
        <v>378</v>
      </c>
      <c r="N123" s="329" t="s">
        <v>1153</v>
      </c>
      <c r="O123" s="329" t="s">
        <v>2344</v>
      </c>
      <c r="P123" s="329" t="s">
        <v>1105</v>
      </c>
      <c r="Q123" s="329" t="s">
        <v>1105</v>
      </c>
      <c r="R123" s="329" t="s">
        <v>1104</v>
      </c>
      <c r="AV123" s="329" t="s">
        <v>378</v>
      </c>
      <c r="AW123" s="329" t="s">
        <v>2345</v>
      </c>
      <c r="AX123" s="329" t="s">
        <v>378</v>
      </c>
      <c r="AY123" s="329" t="s">
        <v>378</v>
      </c>
    </row>
    <row r="124" spans="1:51" ht="30" customHeight="1">
      <c r="A124" s="333" t="s">
        <v>1867</v>
      </c>
      <c r="B124" s="333" t="s">
        <v>1868</v>
      </c>
      <c r="C124" s="333" t="s">
        <v>262</v>
      </c>
      <c r="D124" s="334">
        <v>1</v>
      </c>
      <c r="E124" s="370">
        <f>신규_단가대비표!O30</f>
        <v>478132.2</v>
      </c>
      <c r="F124" s="361">
        <f t="shared" si="17"/>
        <v>478132.2</v>
      </c>
      <c r="G124" s="370">
        <f>신규_단가대비표!P30</f>
        <v>0</v>
      </c>
      <c r="H124" s="361">
        <f t="shared" si="18"/>
        <v>0</v>
      </c>
      <c r="I124" s="370">
        <f>신규_단가대비표!V30</f>
        <v>0</v>
      </c>
      <c r="J124" s="361">
        <f t="shared" si="19"/>
        <v>0</v>
      </c>
      <c r="K124" s="370">
        <f t="shared" si="20"/>
        <v>478132.2</v>
      </c>
      <c r="L124" s="361">
        <f t="shared" si="20"/>
        <v>478132.2</v>
      </c>
      <c r="M124" s="333" t="s">
        <v>378</v>
      </c>
      <c r="N124" s="329" t="s">
        <v>1153</v>
      </c>
      <c r="O124" s="329" t="s">
        <v>2346</v>
      </c>
      <c r="P124" s="329" t="s">
        <v>1105</v>
      </c>
      <c r="Q124" s="329" t="s">
        <v>1105</v>
      </c>
      <c r="R124" s="329" t="s">
        <v>1104</v>
      </c>
      <c r="AV124" s="329" t="s">
        <v>378</v>
      </c>
      <c r="AW124" s="329" t="s">
        <v>2347</v>
      </c>
      <c r="AX124" s="329" t="s">
        <v>378</v>
      </c>
      <c r="AY124" s="329" t="s">
        <v>378</v>
      </c>
    </row>
    <row r="125" spans="1:51" ht="30" customHeight="1">
      <c r="A125" s="333" t="s">
        <v>298</v>
      </c>
      <c r="B125" s="333" t="s">
        <v>364</v>
      </c>
      <c r="C125" s="333" t="s">
        <v>300</v>
      </c>
      <c r="D125" s="334">
        <v>5</v>
      </c>
      <c r="E125" s="370">
        <f>신규_일위대가목록!E10</f>
        <v>25923</v>
      </c>
      <c r="F125" s="361">
        <f t="shared" si="17"/>
        <v>129615</v>
      </c>
      <c r="G125" s="370">
        <f>신규_일위대가목록!F10</f>
        <v>4934</v>
      </c>
      <c r="H125" s="361">
        <f t="shared" si="18"/>
        <v>24670</v>
      </c>
      <c r="I125" s="370">
        <f>신규_일위대가목록!G10</f>
        <v>0</v>
      </c>
      <c r="J125" s="361">
        <f t="shared" si="19"/>
        <v>0</v>
      </c>
      <c r="K125" s="370">
        <f t="shared" si="20"/>
        <v>30857</v>
      </c>
      <c r="L125" s="361">
        <f t="shared" si="20"/>
        <v>154285</v>
      </c>
      <c r="M125" s="333" t="s">
        <v>1682</v>
      </c>
      <c r="N125" s="329" t="s">
        <v>1153</v>
      </c>
      <c r="O125" s="329" t="s">
        <v>1122</v>
      </c>
      <c r="P125" s="329" t="s">
        <v>1104</v>
      </c>
      <c r="Q125" s="329" t="s">
        <v>1105</v>
      </c>
      <c r="R125" s="329" t="s">
        <v>1105</v>
      </c>
      <c r="AV125" s="329" t="s">
        <v>378</v>
      </c>
      <c r="AW125" s="329" t="s">
        <v>2348</v>
      </c>
      <c r="AX125" s="329" t="s">
        <v>378</v>
      </c>
      <c r="AY125" s="329" t="s">
        <v>378</v>
      </c>
    </row>
    <row r="126" spans="1:51" ht="30" customHeight="1">
      <c r="A126" s="333" t="s">
        <v>1800</v>
      </c>
      <c r="B126" s="333" t="s">
        <v>1801</v>
      </c>
      <c r="C126" s="333" t="s">
        <v>343</v>
      </c>
      <c r="D126" s="334">
        <v>1.7929999999999999</v>
      </c>
      <c r="E126" s="370">
        <f>신규_일위대가목록!E98</f>
        <v>411</v>
      </c>
      <c r="F126" s="361">
        <f t="shared" si="17"/>
        <v>736.9</v>
      </c>
      <c r="G126" s="370">
        <f>신규_일위대가목록!F98</f>
        <v>1034</v>
      </c>
      <c r="H126" s="361">
        <f t="shared" si="18"/>
        <v>1853.9</v>
      </c>
      <c r="I126" s="370">
        <f>신규_일위대가목록!G98</f>
        <v>77</v>
      </c>
      <c r="J126" s="361">
        <f t="shared" si="19"/>
        <v>138</v>
      </c>
      <c r="K126" s="370">
        <f t="shared" si="20"/>
        <v>1522</v>
      </c>
      <c r="L126" s="361">
        <f t="shared" si="20"/>
        <v>2728.8</v>
      </c>
      <c r="M126" s="333" t="s">
        <v>1802</v>
      </c>
      <c r="N126" s="329" t="s">
        <v>1153</v>
      </c>
      <c r="O126" s="329" t="s">
        <v>1799</v>
      </c>
      <c r="P126" s="329" t="s">
        <v>1104</v>
      </c>
      <c r="Q126" s="329" t="s">
        <v>1105</v>
      </c>
      <c r="R126" s="329" t="s">
        <v>1105</v>
      </c>
      <c r="AV126" s="329" t="s">
        <v>378</v>
      </c>
      <c r="AW126" s="329" t="s">
        <v>2349</v>
      </c>
      <c r="AX126" s="329" t="s">
        <v>378</v>
      </c>
      <c r="AY126" s="329" t="s">
        <v>378</v>
      </c>
    </row>
    <row r="127" spans="1:51" ht="30" customHeight="1">
      <c r="A127" s="333" t="s">
        <v>341</v>
      </c>
      <c r="B127" s="333" t="s">
        <v>1805</v>
      </c>
      <c r="C127" s="333" t="s">
        <v>343</v>
      </c>
      <c r="D127" s="334">
        <v>1.397</v>
      </c>
      <c r="E127" s="370">
        <f>신규_일위대가목록!E99</f>
        <v>476</v>
      </c>
      <c r="F127" s="361">
        <f t="shared" si="17"/>
        <v>664.9</v>
      </c>
      <c r="G127" s="370">
        <f>신규_일위대가목록!F99</f>
        <v>5689</v>
      </c>
      <c r="H127" s="361">
        <f t="shared" si="18"/>
        <v>7947.5</v>
      </c>
      <c r="I127" s="370">
        <f>신규_일위대가목록!G99</f>
        <v>74</v>
      </c>
      <c r="J127" s="361">
        <f t="shared" si="19"/>
        <v>103.3</v>
      </c>
      <c r="K127" s="370">
        <f t="shared" si="20"/>
        <v>6239</v>
      </c>
      <c r="L127" s="361">
        <f t="shared" si="20"/>
        <v>8715.7000000000007</v>
      </c>
      <c r="M127" s="333" t="s">
        <v>1806</v>
      </c>
      <c r="N127" s="329" t="s">
        <v>1153</v>
      </c>
      <c r="O127" s="329" t="s">
        <v>1804</v>
      </c>
      <c r="P127" s="329" t="s">
        <v>1104</v>
      </c>
      <c r="Q127" s="329" t="s">
        <v>1105</v>
      </c>
      <c r="R127" s="329" t="s">
        <v>1105</v>
      </c>
      <c r="AV127" s="329" t="s">
        <v>378</v>
      </c>
      <c r="AW127" s="329" t="s">
        <v>2350</v>
      </c>
      <c r="AX127" s="329" t="s">
        <v>378</v>
      </c>
      <c r="AY127" s="329" t="s">
        <v>378</v>
      </c>
    </row>
    <row r="128" spans="1:51" ht="30" customHeight="1">
      <c r="A128" s="333" t="s">
        <v>2351</v>
      </c>
      <c r="B128" s="333" t="s">
        <v>2352</v>
      </c>
      <c r="C128" s="333" t="s">
        <v>287</v>
      </c>
      <c r="D128" s="334">
        <v>0.39600000000000002</v>
      </c>
      <c r="E128" s="370">
        <f>신규_단가대비표!O146</f>
        <v>0</v>
      </c>
      <c r="F128" s="361">
        <f t="shared" si="17"/>
        <v>0</v>
      </c>
      <c r="G128" s="370">
        <f>신규_단가대비표!P146</f>
        <v>0</v>
      </c>
      <c r="H128" s="361">
        <f t="shared" si="18"/>
        <v>0</v>
      </c>
      <c r="I128" s="370">
        <f>신규_단가대비표!V146</f>
        <v>211.61777000000001</v>
      </c>
      <c r="J128" s="361">
        <f t="shared" si="19"/>
        <v>83.8</v>
      </c>
      <c r="K128" s="370">
        <f t="shared" si="20"/>
        <v>211.6</v>
      </c>
      <c r="L128" s="361">
        <f t="shared" si="20"/>
        <v>83.8</v>
      </c>
      <c r="M128" s="333" t="s">
        <v>378</v>
      </c>
      <c r="N128" s="329" t="s">
        <v>1153</v>
      </c>
      <c r="O128" s="329" t="s">
        <v>2353</v>
      </c>
      <c r="P128" s="329" t="s">
        <v>1105</v>
      </c>
      <c r="Q128" s="329" t="s">
        <v>1105</v>
      </c>
      <c r="R128" s="329" t="s">
        <v>1104</v>
      </c>
      <c r="AV128" s="329" t="s">
        <v>378</v>
      </c>
      <c r="AW128" s="329" t="s">
        <v>2354</v>
      </c>
      <c r="AX128" s="329" t="s">
        <v>378</v>
      </c>
      <c r="AY128" s="329" t="s">
        <v>378</v>
      </c>
    </row>
    <row r="129" spans="1:51" ht="30" customHeight="1">
      <c r="A129" s="333" t="s">
        <v>1809</v>
      </c>
      <c r="B129" s="333" t="s">
        <v>1810</v>
      </c>
      <c r="C129" s="333" t="s">
        <v>1811</v>
      </c>
      <c r="D129" s="334">
        <v>2.33</v>
      </c>
      <c r="E129" s="370">
        <f>신규_일위대가목록!E100</f>
        <v>19393</v>
      </c>
      <c r="F129" s="361">
        <f t="shared" si="17"/>
        <v>45185.599999999999</v>
      </c>
      <c r="G129" s="370">
        <f>신규_일위대가목록!F100</f>
        <v>49416</v>
      </c>
      <c r="H129" s="361">
        <f t="shared" si="18"/>
        <v>115139.2</v>
      </c>
      <c r="I129" s="370">
        <f>신규_일위대가목록!G100</f>
        <v>4618</v>
      </c>
      <c r="J129" s="361">
        <f t="shared" si="19"/>
        <v>10759.9</v>
      </c>
      <c r="K129" s="370">
        <f t="shared" si="20"/>
        <v>73427</v>
      </c>
      <c r="L129" s="361">
        <f t="shared" si="20"/>
        <v>171084.7</v>
      </c>
      <c r="M129" s="333" t="s">
        <v>1812</v>
      </c>
      <c r="N129" s="329" t="s">
        <v>1153</v>
      </c>
      <c r="O129" s="329" t="s">
        <v>1808</v>
      </c>
      <c r="P129" s="329" t="s">
        <v>1104</v>
      </c>
      <c r="Q129" s="329" t="s">
        <v>1105</v>
      </c>
      <c r="R129" s="329" t="s">
        <v>1105</v>
      </c>
      <c r="V129" s="330">
        <v>1</v>
      </c>
      <c r="AV129" s="329" t="s">
        <v>378</v>
      </c>
      <c r="AW129" s="329" t="s">
        <v>2355</v>
      </c>
      <c r="AX129" s="329" t="s">
        <v>378</v>
      </c>
      <c r="AY129" s="329" t="s">
        <v>378</v>
      </c>
    </row>
    <row r="130" spans="1:51" ht="30" customHeight="1">
      <c r="A130" s="333" t="s">
        <v>2356</v>
      </c>
      <c r="B130" s="333" t="s">
        <v>2279</v>
      </c>
      <c r="C130" s="333" t="s">
        <v>1852</v>
      </c>
      <c r="D130" s="334">
        <f>신규_공량산출근거서_일위대가!K65</f>
        <v>0.28000000000000003</v>
      </c>
      <c r="E130" s="370">
        <f>신규_단가대비표!O147</f>
        <v>0</v>
      </c>
      <c r="F130" s="361">
        <f t="shared" si="17"/>
        <v>0</v>
      </c>
      <c r="G130" s="370">
        <f>신규_단가대비표!P147</f>
        <v>174913.15478000001</v>
      </c>
      <c r="H130" s="361">
        <f t="shared" si="18"/>
        <v>48975.6</v>
      </c>
      <c r="I130" s="370">
        <f>신규_단가대비표!V147</f>
        <v>0</v>
      </c>
      <c r="J130" s="361">
        <f t="shared" si="19"/>
        <v>0</v>
      </c>
      <c r="K130" s="370">
        <f t="shared" si="20"/>
        <v>174913.1</v>
      </c>
      <c r="L130" s="361">
        <f t="shared" si="20"/>
        <v>48975.6</v>
      </c>
      <c r="M130" s="333" t="s">
        <v>378</v>
      </c>
      <c r="N130" s="329" t="s">
        <v>1153</v>
      </c>
      <c r="O130" s="329" t="s">
        <v>2357</v>
      </c>
      <c r="P130" s="329" t="s">
        <v>1105</v>
      </c>
      <c r="Q130" s="329" t="s">
        <v>1105</v>
      </c>
      <c r="R130" s="329" t="s">
        <v>1104</v>
      </c>
      <c r="V130" s="330">
        <v>1</v>
      </c>
      <c r="AV130" s="329" t="s">
        <v>378</v>
      </c>
      <c r="AW130" s="329" t="s">
        <v>2358</v>
      </c>
      <c r="AX130" s="329" t="s">
        <v>378</v>
      </c>
      <c r="AY130" s="329" t="s">
        <v>378</v>
      </c>
    </row>
    <row r="131" spans="1:51" ht="30" customHeight="1">
      <c r="A131" s="333" t="s">
        <v>1891</v>
      </c>
      <c r="B131" s="333" t="s">
        <v>2279</v>
      </c>
      <c r="C131" s="333" t="s">
        <v>1852</v>
      </c>
      <c r="D131" s="334">
        <f>신규_공량산출근거서_일위대가!K66</f>
        <v>1.33</v>
      </c>
      <c r="E131" s="370">
        <f>신규_단가대비표!O149</f>
        <v>0</v>
      </c>
      <c r="F131" s="361">
        <f t="shared" si="17"/>
        <v>0</v>
      </c>
      <c r="G131" s="370">
        <f>신규_단가대비표!P149</f>
        <v>174828.15350000001</v>
      </c>
      <c r="H131" s="361">
        <f t="shared" si="18"/>
        <v>232521.4</v>
      </c>
      <c r="I131" s="370">
        <f>신규_단가대비표!V149</f>
        <v>0</v>
      </c>
      <c r="J131" s="361">
        <f t="shared" si="19"/>
        <v>0</v>
      </c>
      <c r="K131" s="370">
        <f t="shared" si="20"/>
        <v>174828.1</v>
      </c>
      <c r="L131" s="361">
        <f t="shared" si="20"/>
        <v>232521.4</v>
      </c>
      <c r="M131" s="333" t="s">
        <v>378</v>
      </c>
      <c r="N131" s="329" t="s">
        <v>1153</v>
      </c>
      <c r="O131" s="329" t="s">
        <v>2359</v>
      </c>
      <c r="P131" s="329" t="s">
        <v>1105</v>
      </c>
      <c r="Q131" s="329" t="s">
        <v>1105</v>
      </c>
      <c r="R131" s="329" t="s">
        <v>1104</v>
      </c>
      <c r="V131" s="330">
        <v>1</v>
      </c>
      <c r="AV131" s="329" t="s">
        <v>378</v>
      </c>
      <c r="AW131" s="329" t="s">
        <v>2360</v>
      </c>
      <c r="AX131" s="329" t="s">
        <v>378</v>
      </c>
      <c r="AY131" s="329" t="s">
        <v>378</v>
      </c>
    </row>
    <row r="132" spans="1:51" ht="30" customHeight="1">
      <c r="A132" s="333" t="s">
        <v>2361</v>
      </c>
      <c r="B132" s="333" t="s">
        <v>2279</v>
      </c>
      <c r="C132" s="333" t="s">
        <v>1852</v>
      </c>
      <c r="D132" s="334">
        <f>신규_공량산출근거서_일위대가!K67</f>
        <v>0.03</v>
      </c>
      <c r="E132" s="370">
        <f>신규_단가대비표!O150</f>
        <v>0</v>
      </c>
      <c r="F132" s="361">
        <f t="shared" si="17"/>
        <v>0</v>
      </c>
      <c r="G132" s="370">
        <f>신규_단가대비표!P150</f>
        <v>164210.96237000002</v>
      </c>
      <c r="H132" s="361">
        <f t="shared" si="18"/>
        <v>4926.3</v>
      </c>
      <c r="I132" s="370">
        <f>신규_단가대비표!V150</f>
        <v>0</v>
      </c>
      <c r="J132" s="361">
        <f t="shared" si="19"/>
        <v>0</v>
      </c>
      <c r="K132" s="370">
        <f t="shared" si="20"/>
        <v>164210.9</v>
      </c>
      <c r="L132" s="361">
        <f t="shared" si="20"/>
        <v>4926.3</v>
      </c>
      <c r="M132" s="333" t="s">
        <v>378</v>
      </c>
      <c r="N132" s="329" t="s">
        <v>1153</v>
      </c>
      <c r="O132" s="329" t="s">
        <v>2362</v>
      </c>
      <c r="P132" s="329" t="s">
        <v>1105</v>
      </c>
      <c r="Q132" s="329" t="s">
        <v>1105</v>
      </c>
      <c r="R132" s="329" t="s">
        <v>1104</v>
      </c>
      <c r="V132" s="330">
        <v>1</v>
      </c>
      <c r="AV132" s="329" t="s">
        <v>378</v>
      </c>
      <c r="AW132" s="329" t="s">
        <v>2363</v>
      </c>
      <c r="AX132" s="329" t="s">
        <v>378</v>
      </c>
      <c r="AY132" s="329" t="s">
        <v>378</v>
      </c>
    </row>
    <row r="133" spans="1:51" ht="30" customHeight="1">
      <c r="A133" s="333" t="s">
        <v>2217</v>
      </c>
      <c r="B133" s="333" t="s">
        <v>2218</v>
      </c>
      <c r="C133" s="333" t="s">
        <v>212</v>
      </c>
      <c r="D133" s="334">
        <v>1</v>
      </c>
      <c r="E133" s="370">
        <f>TRUNC(SUMIF(V123:V133, RIGHTB(O133, 1), H123:H133)*U133, 2)</f>
        <v>12046.87</v>
      </c>
      <c r="F133" s="361">
        <f t="shared" si="17"/>
        <v>12046.8</v>
      </c>
      <c r="G133" s="370">
        <v>0</v>
      </c>
      <c r="H133" s="361">
        <f t="shared" si="18"/>
        <v>0</v>
      </c>
      <c r="I133" s="370">
        <v>0</v>
      </c>
      <c r="J133" s="361">
        <f t="shared" si="19"/>
        <v>0</v>
      </c>
      <c r="K133" s="370">
        <f t="shared" si="20"/>
        <v>12046.8</v>
      </c>
      <c r="L133" s="361">
        <f t="shared" si="20"/>
        <v>12046.8</v>
      </c>
      <c r="M133" s="333" t="s">
        <v>378</v>
      </c>
      <c r="N133" s="329" t="s">
        <v>1153</v>
      </c>
      <c r="O133" s="329" t="s">
        <v>2211</v>
      </c>
      <c r="P133" s="329" t="s">
        <v>1105</v>
      </c>
      <c r="Q133" s="329" t="s">
        <v>1105</v>
      </c>
      <c r="R133" s="329" t="s">
        <v>1105</v>
      </c>
      <c r="S133" s="330">
        <v>1</v>
      </c>
      <c r="T133" s="330">
        <v>0</v>
      </c>
      <c r="U133" s="330">
        <v>0.03</v>
      </c>
      <c r="AV133" s="329" t="s">
        <v>378</v>
      </c>
      <c r="AW133" s="329" t="s">
        <v>2364</v>
      </c>
      <c r="AX133" s="329" t="s">
        <v>378</v>
      </c>
      <c r="AY133" s="329" t="s">
        <v>378</v>
      </c>
    </row>
    <row r="134" spans="1:51" ht="30" customHeight="1">
      <c r="A134" s="333" t="s">
        <v>2224</v>
      </c>
      <c r="B134" s="333" t="s">
        <v>378</v>
      </c>
      <c r="C134" s="333" t="s">
        <v>378</v>
      </c>
      <c r="D134" s="334"/>
      <c r="E134" s="370"/>
      <c r="F134" s="361">
        <f>TRUNC(SUMIF(N123:N133, N122, F123:F133),0)</f>
        <v>750497</v>
      </c>
      <c r="G134" s="370"/>
      <c r="H134" s="361">
        <f>TRUNC(SUMIF(N123:N133, N122, H123:H133),0)</f>
        <v>436033</v>
      </c>
      <c r="I134" s="370"/>
      <c r="J134" s="361">
        <f>TRUNC(SUMIF(N123:N133, N122, J123:J133),0)</f>
        <v>11085</v>
      </c>
      <c r="K134" s="370"/>
      <c r="L134" s="361">
        <f>F134+H134+J134</f>
        <v>1197615</v>
      </c>
      <c r="M134" s="333" t="s">
        <v>378</v>
      </c>
      <c r="N134" s="329" t="s">
        <v>1197</v>
      </c>
      <c r="O134" s="329" t="s">
        <v>1197</v>
      </c>
      <c r="P134" s="329" t="s">
        <v>378</v>
      </c>
      <c r="Q134" s="329" t="s">
        <v>378</v>
      </c>
      <c r="R134" s="329" t="s">
        <v>378</v>
      </c>
      <c r="AV134" s="329" t="s">
        <v>378</v>
      </c>
      <c r="AW134" s="329" t="s">
        <v>378</v>
      </c>
      <c r="AX134" s="329" t="s">
        <v>378</v>
      </c>
      <c r="AY134" s="329" t="s">
        <v>378</v>
      </c>
    </row>
    <row r="135" spans="1:51" ht="30" customHeight="1">
      <c r="A135" s="334"/>
      <c r="B135" s="334"/>
      <c r="C135" s="334"/>
      <c r="D135" s="334"/>
      <c r="E135" s="370"/>
      <c r="F135" s="361"/>
      <c r="G135" s="370"/>
      <c r="H135" s="361"/>
      <c r="I135" s="370"/>
      <c r="J135" s="361"/>
      <c r="K135" s="370"/>
      <c r="L135" s="361"/>
      <c r="M135" s="334"/>
    </row>
    <row r="136" spans="1:51" ht="30" customHeight="1">
      <c r="A136" s="718" t="s">
        <v>2365</v>
      </c>
      <c r="B136" s="718"/>
      <c r="C136" s="718"/>
      <c r="D136" s="718"/>
      <c r="E136" s="719"/>
      <c r="F136" s="720"/>
      <c r="G136" s="719"/>
      <c r="H136" s="720"/>
      <c r="I136" s="719"/>
      <c r="J136" s="720"/>
      <c r="K136" s="719"/>
      <c r="L136" s="720"/>
      <c r="M136" s="718"/>
      <c r="N136" s="329" t="s">
        <v>1156</v>
      </c>
    </row>
    <row r="137" spans="1:51" ht="30" customHeight="1">
      <c r="A137" s="333" t="s">
        <v>337</v>
      </c>
      <c r="B137" s="333" t="s">
        <v>2366</v>
      </c>
      <c r="C137" s="333" t="s">
        <v>265</v>
      </c>
      <c r="D137" s="334">
        <v>3</v>
      </c>
      <c r="E137" s="370">
        <f>신규_단가대비표!O101</f>
        <v>14609.595000000001</v>
      </c>
      <c r="F137" s="361">
        <f t="shared" ref="F137:F145" si="21">TRUNC(E137*D137,1)</f>
        <v>43828.7</v>
      </c>
      <c r="G137" s="370">
        <f>신규_단가대비표!P101</f>
        <v>0</v>
      </c>
      <c r="H137" s="361">
        <f t="shared" ref="H137:H145" si="22">TRUNC(G137*D137,1)</f>
        <v>0</v>
      </c>
      <c r="I137" s="370">
        <f>신규_단가대비표!V101</f>
        <v>0</v>
      </c>
      <c r="J137" s="361">
        <f t="shared" ref="J137:J145" si="23">TRUNC(I137*D137,1)</f>
        <v>0</v>
      </c>
      <c r="K137" s="370">
        <f t="shared" ref="K137:L145" si="24">TRUNC(E137+G137+I137,1)</f>
        <v>14609.5</v>
      </c>
      <c r="L137" s="361">
        <f t="shared" si="24"/>
        <v>43828.7</v>
      </c>
      <c r="M137" s="333" t="s">
        <v>378</v>
      </c>
      <c r="N137" s="329" t="s">
        <v>1156</v>
      </c>
      <c r="O137" s="329" t="s">
        <v>2367</v>
      </c>
      <c r="P137" s="329" t="s">
        <v>1105</v>
      </c>
      <c r="Q137" s="329" t="s">
        <v>1105</v>
      </c>
      <c r="R137" s="329" t="s">
        <v>1104</v>
      </c>
      <c r="AV137" s="329" t="s">
        <v>378</v>
      </c>
      <c r="AW137" s="329" t="s">
        <v>2368</v>
      </c>
      <c r="AX137" s="329" t="s">
        <v>378</v>
      </c>
      <c r="AY137" s="329" t="s">
        <v>378</v>
      </c>
    </row>
    <row r="138" spans="1:51" ht="30" customHeight="1">
      <c r="A138" s="333" t="s">
        <v>2369</v>
      </c>
      <c r="B138" s="333" t="s">
        <v>2370</v>
      </c>
      <c r="C138" s="333" t="s">
        <v>265</v>
      </c>
      <c r="D138" s="334">
        <v>3</v>
      </c>
      <c r="E138" s="370">
        <f>신규_단가대비표!O104</f>
        <v>3106.9738700000003</v>
      </c>
      <c r="F138" s="361">
        <f t="shared" si="21"/>
        <v>9320.9</v>
      </c>
      <c r="G138" s="370">
        <f>신규_단가대비표!P104</f>
        <v>0</v>
      </c>
      <c r="H138" s="361">
        <f t="shared" si="22"/>
        <v>0</v>
      </c>
      <c r="I138" s="370">
        <f>신규_단가대비표!V104</f>
        <v>0</v>
      </c>
      <c r="J138" s="361">
        <f t="shared" si="23"/>
        <v>0</v>
      </c>
      <c r="K138" s="370">
        <f t="shared" si="24"/>
        <v>3106.9</v>
      </c>
      <c r="L138" s="361">
        <f t="shared" si="24"/>
        <v>9320.9</v>
      </c>
      <c r="M138" s="333" t="s">
        <v>378</v>
      </c>
      <c r="N138" s="329" t="s">
        <v>1156</v>
      </c>
      <c r="O138" s="329" t="s">
        <v>2371</v>
      </c>
      <c r="P138" s="329" t="s">
        <v>1105</v>
      </c>
      <c r="Q138" s="329" t="s">
        <v>1105</v>
      </c>
      <c r="R138" s="329" t="s">
        <v>1104</v>
      </c>
      <c r="AV138" s="329" t="s">
        <v>378</v>
      </c>
      <c r="AW138" s="329" t="s">
        <v>2372</v>
      </c>
      <c r="AX138" s="329" t="s">
        <v>378</v>
      </c>
      <c r="AY138" s="329" t="s">
        <v>378</v>
      </c>
    </row>
    <row r="139" spans="1:51" ht="30" customHeight="1">
      <c r="A139" s="333" t="s">
        <v>2237</v>
      </c>
      <c r="B139" s="333" t="s">
        <v>2266</v>
      </c>
      <c r="C139" s="333" t="s">
        <v>300</v>
      </c>
      <c r="D139" s="334">
        <v>6.6</v>
      </c>
      <c r="E139" s="370">
        <f>신규_단가대비표!O14</f>
        <v>22972.481350000002</v>
      </c>
      <c r="F139" s="361">
        <f t="shared" si="21"/>
        <v>151618.29999999999</v>
      </c>
      <c r="G139" s="370">
        <f>신규_단가대비표!P14</f>
        <v>0</v>
      </c>
      <c r="H139" s="361">
        <f t="shared" si="22"/>
        <v>0</v>
      </c>
      <c r="I139" s="370">
        <f>신규_단가대비표!V14</f>
        <v>0</v>
      </c>
      <c r="J139" s="361">
        <f t="shared" si="23"/>
        <v>0</v>
      </c>
      <c r="K139" s="370">
        <f t="shared" si="24"/>
        <v>22972.400000000001</v>
      </c>
      <c r="L139" s="361">
        <f t="shared" si="24"/>
        <v>151618.29999999999</v>
      </c>
      <c r="M139" s="333" t="s">
        <v>378</v>
      </c>
      <c r="N139" s="329" t="s">
        <v>1156</v>
      </c>
      <c r="O139" s="329" t="s">
        <v>2267</v>
      </c>
      <c r="P139" s="329" t="s">
        <v>1105</v>
      </c>
      <c r="Q139" s="329" t="s">
        <v>1105</v>
      </c>
      <c r="R139" s="329" t="s">
        <v>1104</v>
      </c>
      <c r="V139" s="330">
        <v>1</v>
      </c>
      <c r="AV139" s="329" t="s">
        <v>378</v>
      </c>
      <c r="AW139" s="329" t="s">
        <v>2373</v>
      </c>
      <c r="AX139" s="329" t="s">
        <v>378</v>
      </c>
      <c r="AY139" s="329" t="s">
        <v>378</v>
      </c>
    </row>
    <row r="140" spans="1:51" ht="30" customHeight="1">
      <c r="A140" s="333" t="s">
        <v>2213</v>
      </c>
      <c r="B140" s="333" t="s">
        <v>2214</v>
      </c>
      <c r="C140" s="333" t="s">
        <v>212</v>
      </c>
      <c r="D140" s="334">
        <v>1</v>
      </c>
      <c r="E140" s="370">
        <f>TRUNC(SUMIF(V137:V145, RIGHTB(O140, 1), F137:F145)*U140, 2)</f>
        <v>3032.36</v>
      </c>
      <c r="F140" s="361">
        <f t="shared" si="21"/>
        <v>3032.3</v>
      </c>
      <c r="G140" s="370">
        <v>0</v>
      </c>
      <c r="H140" s="361">
        <f t="shared" si="22"/>
        <v>0</v>
      </c>
      <c r="I140" s="370">
        <v>0</v>
      </c>
      <c r="J140" s="361">
        <f t="shared" si="23"/>
        <v>0</v>
      </c>
      <c r="K140" s="370">
        <f t="shared" si="24"/>
        <v>3032.3</v>
      </c>
      <c r="L140" s="361">
        <f t="shared" si="24"/>
        <v>3032.3</v>
      </c>
      <c r="M140" s="333" t="s">
        <v>378</v>
      </c>
      <c r="N140" s="329" t="s">
        <v>1156</v>
      </c>
      <c r="O140" s="329" t="s">
        <v>2211</v>
      </c>
      <c r="P140" s="329" t="s">
        <v>1105</v>
      </c>
      <c r="Q140" s="329" t="s">
        <v>1105</v>
      </c>
      <c r="R140" s="329" t="s">
        <v>1105</v>
      </c>
      <c r="S140" s="330">
        <v>0</v>
      </c>
      <c r="T140" s="330">
        <v>0</v>
      </c>
      <c r="U140" s="330">
        <v>0.02</v>
      </c>
      <c r="W140" s="330">
        <v>2</v>
      </c>
      <c r="AV140" s="329" t="s">
        <v>378</v>
      </c>
      <c r="AW140" s="329" t="s">
        <v>2374</v>
      </c>
      <c r="AX140" s="329" t="s">
        <v>378</v>
      </c>
      <c r="AY140" s="329" t="s">
        <v>378</v>
      </c>
    </row>
    <row r="141" spans="1:51" ht="30" customHeight="1">
      <c r="A141" s="333" t="s">
        <v>2375</v>
      </c>
      <c r="B141" s="333" t="s">
        <v>2376</v>
      </c>
      <c r="C141" s="333" t="s">
        <v>2377</v>
      </c>
      <c r="D141" s="334">
        <v>1</v>
      </c>
      <c r="E141" s="370">
        <f>신규_단가대비표!O105</f>
        <v>17708.600000000002</v>
      </c>
      <c r="F141" s="361">
        <f t="shared" si="21"/>
        <v>17708.599999999999</v>
      </c>
      <c r="G141" s="370">
        <f>신규_단가대비표!P105</f>
        <v>0</v>
      </c>
      <c r="H141" s="361">
        <f t="shared" si="22"/>
        <v>0</v>
      </c>
      <c r="I141" s="370">
        <f>신규_단가대비표!V105</f>
        <v>0</v>
      </c>
      <c r="J141" s="361">
        <f t="shared" si="23"/>
        <v>0</v>
      </c>
      <c r="K141" s="370">
        <f t="shared" si="24"/>
        <v>17708.599999999999</v>
      </c>
      <c r="L141" s="361">
        <f t="shared" si="24"/>
        <v>17708.599999999999</v>
      </c>
      <c r="M141" s="333" t="s">
        <v>378</v>
      </c>
      <c r="N141" s="329" t="s">
        <v>1156</v>
      </c>
      <c r="O141" s="329" t="s">
        <v>2378</v>
      </c>
      <c r="P141" s="329" t="s">
        <v>1105</v>
      </c>
      <c r="Q141" s="329" t="s">
        <v>1105</v>
      </c>
      <c r="R141" s="329" t="s">
        <v>1104</v>
      </c>
      <c r="AV141" s="329" t="s">
        <v>378</v>
      </c>
      <c r="AW141" s="329" t="s">
        <v>2379</v>
      </c>
      <c r="AX141" s="329" t="s">
        <v>378</v>
      </c>
      <c r="AY141" s="329" t="s">
        <v>378</v>
      </c>
    </row>
    <row r="142" spans="1:51" ht="30" customHeight="1">
      <c r="A142" s="333" t="s">
        <v>1889</v>
      </c>
      <c r="B142" s="333" t="s">
        <v>378</v>
      </c>
      <c r="C142" s="333" t="s">
        <v>1852</v>
      </c>
      <c r="D142" s="334">
        <f>신규_공량산출근거서_일위대가!K72</f>
        <v>0.19980000000000001</v>
      </c>
      <c r="E142" s="370">
        <f>신규_단가대비표!O148</f>
        <v>0</v>
      </c>
      <c r="F142" s="361">
        <f t="shared" si="21"/>
        <v>0</v>
      </c>
      <c r="G142" s="370">
        <f>신규_단가대비표!P148</f>
        <v>139072.71924000001</v>
      </c>
      <c r="H142" s="361">
        <f t="shared" si="22"/>
        <v>27786.7</v>
      </c>
      <c r="I142" s="370">
        <f>신규_단가대비표!V148</f>
        <v>0</v>
      </c>
      <c r="J142" s="361">
        <f t="shared" si="23"/>
        <v>0</v>
      </c>
      <c r="K142" s="370">
        <f t="shared" si="24"/>
        <v>139072.70000000001</v>
      </c>
      <c r="L142" s="361">
        <f t="shared" si="24"/>
        <v>27786.7</v>
      </c>
      <c r="M142" s="333" t="s">
        <v>378</v>
      </c>
      <c r="N142" s="329" t="s">
        <v>1156</v>
      </c>
      <c r="O142" s="329" t="s">
        <v>2277</v>
      </c>
      <c r="P142" s="329" t="s">
        <v>1105</v>
      </c>
      <c r="Q142" s="329" t="s">
        <v>1105</v>
      </c>
      <c r="R142" s="329" t="s">
        <v>1104</v>
      </c>
      <c r="W142" s="330">
        <v>2</v>
      </c>
      <c r="AV142" s="329" t="s">
        <v>378</v>
      </c>
      <c r="AW142" s="329" t="s">
        <v>2380</v>
      </c>
      <c r="AX142" s="329" t="s">
        <v>378</v>
      </c>
      <c r="AY142" s="329" t="s">
        <v>378</v>
      </c>
    </row>
    <row r="143" spans="1:51" ht="30" customHeight="1">
      <c r="A143" s="333" t="s">
        <v>1851</v>
      </c>
      <c r="B143" s="333" t="s">
        <v>2221</v>
      </c>
      <c r="C143" s="333" t="s">
        <v>1852</v>
      </c>
      <c r="D143" s="334">
        <f>신규_공량산출근거서_일위대가!K73</f>
        <v>0.32400000000000001</v>
      </c>
      <c r="E143" s="370">
        <f>신규_단가대비표!O154</f>
        <v>0</v>
      </c>
      <c r="F143" s="361">
        <f t="shared" si="21"/>
        <v>0</v>
      </c>
      <c r="G143" s="370">
        <f>신규_단가대비표!P154</f>
        <v>234998.43458</v>
      </c>
      <c r="H143" s="361">
        <f t="shared" si="22"/>
        <v>76139.399999999994</v>
      </c>
      <c r="I143" s="370">
        <f>신규_단가대비표!V154</f>
        <v>0</v>
      </c>
      <c r="J143" s="361">
        <f t="shared" si="23"/>
        <v>0</v>
      </c>
      <c r="K143" s="370">
        <f t="shared" si="24"/>
        <v>234998.39999999999</v>
      </c>
      <c r="L143" s="361">
        <f t="shared" si="24"/>
        <v>76139.399999999994</v>
      </c>
      <c r="M143" s="333" t="s">
        <v>378</v>
      </c>
      <c r="N143" s="329" t="s">
        <v>1156</v>
      </c>
      <c r="O143" s="329" t="s">
        <v>2222</v>
      </c>
      <c r="P143" s="329" t="s">
        <v>1105</v>
      </c>
      <c r="Q143" s="329" t="s">
        <v>1105</v>
      </c>
      <c r="R143" s="329" t="s">
        <v>1104</v>
      </c>
      <c r="W143" s="330">
        <v>2</v>
      </c>
      <c r="AV143" s="329" t="s">
        <v>378</v>
      </c>
      <c r="AW143" s="329" t="s">
        <v>2381</v>
      </c>
      <c r="AX143" s="329" t="s">
        <v>378</v>
      </c>
      <c r="AY143" s="329" t="s">
        <v>378</v>
      </c>
    </row>
    <row r="144" spans="1:51" ht="30" customHeight="1">
      <c r="A144" s="333" t="s">
        <v>2217</v>
      </c>
      <c r="B144" s="333" t="s">
        <v>2218</v>
      </c>
      <c r="C144" s="333" t="s">
        <v>212</v>
      </c>
      <c r="D144" s="334">
        <v>1</v>
      </c>
      <c r="E144" s="370">
        <f>TRUNC(SUMIF(W137:W145, RIGHTB(O144, 1), H137:H145)*U144, 2)</f>
        <v>3439.57</v>
      </c>
      <c r="F144" s="361">
        <f t="shared" si="21"/>
        <v>3439.5</v>
      </c>
      <c r="G144" s="370">
        <v>0</v>
      </c>
      <c r="H144" s="361">
        <f t="shared" si="22"/>
        <v>0</v>
      </c>
      <c r="I144" s="370">
        <v>0</v>
      </c>
      <c r="J144" s="361">
        <f t="shared" si="23"/>
        <v>0</v>
      </c>
      <c r="K144" s="370">
        <f t="shared" si="24"/>
        <v>3439.5</v>
      </c>
      <c r="L144" s="361">
        <f t="shared" si="24"/>
        <v>3439.5</v>
      </c>
      <c r="M144" s="333" t="s">
        <v>378</v>
      </c>
      <c r="N144" s="329" t="s">
        <v>1156</v>
      </c>
      <c r="O144" s="329" t="s">
        <v>2215</v>
      </c>
      <c r="P144" s="329" t="s">
        <v>1105</v>
      </c>
      <c r="Q144" s="329" t="s">
        <v>1105</v>
      </c>
      <c r="R144" s="329" t="s">
        <v>1105</v>
      </c>
      <c r="S144" s="330">
        <v>1</v>
      </c>
      <c r="T144" s="330">
        <v>0</v>
      </c>
      <c r="U144" s="330">
        <v>0.03</v>
      </c>
      <c r="W144" s="330">
        <v>2</v>
      </c>
      <c r="AV144" s="329" t="s">
        <v>378</v>
      </c>
      <c r="AW144" s="329" t="s">
        <v>2382</v>
      </c>
      <c r="AX144" s="329" t="s">
        <v>378</v>
      </c>
      <c r="AY144" s="329" t="s">
        <v>378</v>
      </c>
    </row>
    <row r="145" spans="1:51" ht="30" customHeight="1">
      <c r="A145" s="333" t="s">
        <v>1992</v>
      </c>
      <c r="B145" s="333" t="s">
        <v>2279</v>
      </c>
      <c r="C145" s="333" t="s">
        <v>1852</v>
      </c>
      <c r="D145" s="334">
        <v>4.2000000000000003E-2</v>
      </c>
      <c r="E145" s="370">
        <f>신규_단가대비표!O155</f>
        <v>0</v>
      </c>
      <c r="F145" s="361">
        <f t="shared" si="21"/>
        <v>0</v>
      </c>
      <c r="G145" s="370">
        <f>신규_단가대비표!P155</f>
        <v>255395.20006</v>
      </c>
      <c r="H145" s="361">
        <f t="shared" si="22"/>
        <v>10726.5</v>
      </c>
      <c r="I145" s="370">
        <f>신규_단가대비표!V155</f>
        <v>0</v>
      </c>
      <c r="J145" s="361">
        <f t="shared" si="23"/>
        <v>0</v>
      </c>
      <c r="K145" s="370">
        <f t="shared" si="24"/>
        <v>255395.20000000001</v>
      </c>
      <c r="L145" s="361">
        <f t="shared" si="24"/>
        <v>10726.5</v>
      </c>
      <c r="M145" s="333" t="s">
        <v>378</v>
      </c>
      <c r="N145" s="329" t="s">
        <v>1156</v>
      </c>
      <c r="O145" s="329" t="s">
        <v>2280</v>
      </c>
      <c r="P145" s="329" t="s">
        <v>1105</v>
      </c>
      <c r="Q145" s="329" t="s">
        <v>1105</v>
      </c>
      <c r="R145" s="329" t="s">
        <v>1104</v>
      </c>
      <c r="W145" s="330">
        <v>2</v>
      </c>
      <c r="AV145" s="329" t="s">
        <v>378</v>
      </c>
      <c r="AW145" s="329" t="s">
        <v>2383</v>
      </c>
      <c r="AX145" s="329" t="s">
        <v>378</v>
      </c>
      <c r="AY145" s="329" t="s">
        <v>378</v>
      </c>
    </row>
    <row r="146" spans="1:51" ht="30" customHeight="1">
      <c r="A146" s="333" t="s">
        <v>2224</v>
      </c>
      <c r="B146" s="333" t="s">
        <v>378</v>
      </c>
      <c r="C146" s="333" t="s">
        <v>378</v>
      </c>
      <c r="D146" s="334"/>
      <c r="E146" s="370"/>
      <c r="F146" s="361">
        <f>TRUNC(SUMIF(N137:N145, N136, F137:F145),0)</f>
        <v>228948</v>
      </c>
      <c r="G146" s="370"/>
      <c r="H146" s="361">
        <f>TRUNC(SUMIF(N137:N145, N136, H137:H145),0)</f>
        <v>114652</v>
      </c>
      <c r="I146" s="370"/>
      <c r="J146" s="361">
        <f>TRUNC(SUMIF(N137:N145, N136, J137:J145),0)</f>
        <v>0</v>
      </c>
      <c r="K146" s="370"/>
      <c r="L146" s="361">
        <f>F146+H146+J146</f>
        <v>343600</v>
      </c>
      <c r="M146" s="333" t="s">
        <v>378</v>
      </c>
      <c r="N146" s="329" t="s">
        <v>1197</v>
      </c>
      <c r="O146" s="329" t="s">
        <v>1197</v>
      </c>
      <c r="P146" s="329" t="s">
        <v>378</v>
      </c>
      <c r="Q146" s="329" t="s">
        <v>378</v>
      </c>
      <c r="R146" s="329" t="s">
        <v>378</v>
      </c>
      <c r="AV146" s="329" t="s">
        <v>378</v>
      </c>
      <c r="AW146" s="329" t="s">
        <v>378</v>
      </c>
      <c r="AX146" s="329" t="s">
        <v>378</v>
      </c>
      <c r="AY146" s="329" t="s">
        <v>378</v>
      </c>
    </row>
    <row r="147" spans="1:51" ht="30" customHeight="1">
      <c r="A147" s="334"/>
      <c r="B147" s="334"/>
      <c r="C147" s="334"/>
      <c r="D147" s="334"/>
      <c r="E147" s="370"/>
      <c r="F147" s="361"/>
      <c r="G147" s="370"/>
      <c r="H147" s="361"/>
      <c r="I147" s="370"/>
      <c r="J147" s="361"/>
      <c r="K147" s="370"/>
      <c r="L147" s="361"/>
      <c r="M147" s="334"/>
    </row>
    <row r="148" spans="1:51" ht="30" customHeight="1">
      <c r="A148" s="721" t="s">
        <v>2384</v>
      </c>
      <c r="B148" s="721"/>
      <c r="C148" s="721"/>
      <c r="D148" s="721"/>
      <c r="E148" s="722"/>
      <c r="F148" s="723"/>
      <c r="G148" s="722"/>
      <c r="H148" s="723"/>
      <c r="I148" s="722"/>
      <c r="J148" s="723"/>
      <c r="K148" s="722"/>
      <c r="L148" s="723"/>
      <c r="M148" s="721"/>
      <c r="N148" s="329" t="s">
        <v>1159</v>
      </c>
    </row>
    <row r="149" spans="1:51" ht="30" customHeight="1">
      <c r="A149" s="336" t="s">
        <v>2385</v>
      </c>
      <c r="B149" s="336" t="s">
        <v>2386</v>
      </c>
      <c r="C149" s="336" t="s">
        <v>300</v>
      </c>
      <c r="D149" s="337">
        <v>1.1000000000000001</v>
      </c>
      <c r="E149" s="371">
        <f>신규_단가대비표!O131</f>
        <v>270.05615</v>
      </c>
      <c r="F149" s="362">
        <f t="shared" ref="F149:F154" si="25">TRUNC(E149*D149,1)</f>
        <v>297</v>
      </c>
      <c r="G149" s="371">
        <f>신규_단가대비표!P131</f>
        <v>0</v>
      </c>
      <c r="H149" s="362">
        <f t="shared" ref="H149:H154" si="26">TRUNC(G149*D149,1)</f>
        <v>0</v>
      </c>
      <c r="I149" s="371">
        <f>신규_단가대비표!V131</f>
        <v>0</v>
      </c>
      <c r="J149" s="362">
        <f t="shared" ref="J149:J154" si="27">TRUNC(I149*D149,1)</f>
        <v>0</v>
      </c>
      <c r="K149" s="371">
        <f t="shared" ref="K149:L154" si="28">TRUNC(E149+G149+I149,1)</f>
        <v>270</v>
      </c>
      <c r="L149" s="362">
        <f t="shared" si="28"/>
        <v>297</v>
      </c>
      <c r="M149" s="336" t="s">
        <v>378</v>
      </c>
      <c r="N149" s="329" t="s">
        <v>1159</v>
      </c>
      <c r="O149" s="329" t="s">
        <v>2387</v>
      </c>
      <c r="P149" s="329" t="s">
        <v>1105</v>
      </c>
      <c r="Q149" s="329" t="s">
        <v>1105</v>
      </c>
      <c r="R149" s="329" t="s">
        <v>1104</v>
      </c>
      <c r="V149" s="330">
        <v>1</v>
      </c>
      <c r="W149" s="330">
        <v>2</v>
      </c>
      <c r="AV149" s="329" t="s">
        <v>378</v>
      </c>
      <c r="AW149" s="329" t="s">
        <v>2388</v>
      </c>
      <c r="AX149" s="329" t="s">
        <v>378</v>
      </c>
      <c r="AY149" s="329" t="s">
        <v>378</v>
      </c>
    </row>
    <row r="150" spans="1:51" ht="30" customHeight="1">
      <c r="A150" s="336" t="s">
        <v>2213</v>
      </c>
      <c r="B150" s="336" t="s">
        <v>2214</v>
      </c>
      <c r="C150" s="336" t="s">
        <v>212</v>
      </c>
      <c r="D150" s="337">
        <v>1</v>
      </c>
      <c r="E150" s="371">
        <f>TRUNC(SUMIF(V149:V154, RIGHTB(O150, 1), F149:F154)*U150, 2)</f>
        <v>5.94</v>
      </c>
      <c r="F150" s="362">
        <f t="shared" si="25"/>
        <v>5.9</v>
      </c>
      <c r="G150" s="371">
        <v>0</v>
      </c>
      <c r="H150" s="362">
        <f t="shared" si="26"/>
        <v>0</v>
      </c>
      <c r="I150" s="371">
        <v>0</v>
      </c>
      <c r="J150" s="362">
        <f t="shared" si="27"/>
        <v>0</v>
      </c>
      <c r="K150" s="371">
        <f t="shared" si="28"/>
        <v>5.9</v>
      </c>
      <c r="L150" s="362">
        <f t="shared" si="28"/>
        <v>5.9</v>
      </c>
      <c r="M150" s="336" t="s">
        <v>378</v>
      </c>
      <c r="N150" s="329" t="s">
        <v>1159</v>
      </c>
      <c r="O150" s="329" t="s">
        <v>2211</v>
      </c>
      <c r="P150" s="329" t="s">
        <v>1105</v>
      </c>
      <c r="Q150" s="329" t="s">
        <v>1105</v>
      </c>
      <c r="R150" s="329" t="s">
        <v>1105</v>
      </c>
      <c r="S150" s="330">
        <v>0</v>
      </c>
      <c r="T150" s="330">
        <v>0</v>
      </c>
      <c r="U150" s="330">
        <v>0.02</v>
      </c>
      <c r="AV150" s="329" t="s">
        <v>378</v>
      </c>
      <c r="AW150" s="329" t="s">
        <v>2389</v>
      </c>
      <c r="AX150" s="329" t="s">
        <v>378</v>
      </c>
      <c r="AY150" s="329" t="s">
        <v>378</v>
      </c>
    </row>
    <row r="151" spans="1:51" ht="30" customHeight="1">
      <c r="A151" s="336" t="s">
        <v>2209</v>
      </c>
      <c r="B151" s="336" t="s">
        <v>2210</v>
      </c>
      <c r="C151" s="336" t="s">
        <v>212</v>
      </c>
      <c r="D151" s="337">
        <v>1</v>
      </c>
      <c r="E151" s="371">
        <f>TRUNC(SUMIF(W149:W154, RIGHTB(O151, 1), F149:F154)*U151, 2)</f>
        <v>44.55</v>
      </c>
      <c r="F151" s="362">
        <f t="shared" si="25"/>
        <v>44.5</v>
      </c>
      <c r="G151" s="371">
        <v>0</v>
      </c>
      <c r="H151" s="362">
        <f t="shared" si="26"/>
        <v>0</v>
      </c>
      <c r="I151" s="371">
        <v>0</v>
      </c>
      <c r="J151" s="362">
        <f t="shared" si="27"/>
        <v>0</v>
      </c>
      <c r="K151" s="371">
        <f t="shared" si="28"/>
        <v>44.5</v>
      </c>
      <c r="L151" s="362">
        <f t="shared" si="28"/>
        <v>44.5</v>
      </c>
      <c r="M151" s="336" t="s">
        <v>378</v>
      </c>
      <c r="N151" s="329" t="s">
        <v>1159</v>
      </c>
      <c r="O151" s="329" t="s">
        <v>2215</v>
      </c>
      <c r="P151" s="329" t="s">
        <v>1105</v>
      </c>
      <c r="Q151" s="329" t="s">
        <v>1105</v>
      </c>
      <c r="R151" s="329" t="s">
        <v>1105</v>
      </c>
      <c r="S151" s="330">
        <v>0</v>
      </c>
      <c r="T151" s="330">
        <v>0</v>
      </c>
      <c r="U151" s="330">
        <v>0.15</v>
      </c>
      <c r="AV151" s="329" t="s">
        <v>378</v>
      </c>
      <c r="AW151" s="329" t="s">
        <v>2390</v>
      </c>
      <c r="AX151" s="329" t="s">
        <v>378</v>
      </c>
      <c r="AY151" s="329" t="s">
        <v>378</v>
      </c>
    </row>
    <row r="152" spans="1:51" ht="30" customHeight="1">
      <c r="A152" s="336" t="s">
        <v>1889</v>
      </c>
      <c r="B152" s="336" t="s">
        <v>378</v>
      </c>
      <c r="C152" s="336" t="s">
        <v>1852</v>
      </c>
      <c r="D152" s="337">
        <f>신규_공량산출근거서_일위대가!K77</f>
        <v>1.4E-2</v>
      </c>
      <c r="E152" s="371">
        <f>신규_단가대비표!O148</f>
        <v>0</v>
      </c>
      <c r="F152" s="362">
        <f t="shared" si="25"/>
        <v>0</v>
      </c>
      <c r="G152" s="371">
        <v>148510</v>
      </c>
      <c r="H152" s="362">
        <f t="shared" si="26"/>
        <v>2079.1</v>
      </c>
      <c r="I152" s="371">
        <f>신규_단가대비표!V148</f>
        <v>0</v>
      </c>
      <c r="J152" s="362">
        <f t="shared" si="27"/>
        <v>0</v>
      </c>
      <c r="K152" s="371">
        <f t="shared" si="28"/>
        <v>148510</v>
      </c>
      <c r="L152" s="362">
        <f t="shared" si="28"/>
        <v>2079.1</v>
      </c>
      <c r="M152" s="336" t="s">
        <v>378</v>
      </c>
      <c r="N152" s="329" t="s">
        <v>1159</v>
      </c>
      <c r="O152" s="329" t="s">
        <v>2277</v>
      </c>
      <c r="P152" s="329" t="s">
        <v>1105</v>
      </c>
      <c r="Q152" s="329" t="s">
        <v>1105</v>
      </c>
      <c r="R152" s="329" t="s">
        <v>1104</v>
      </c>
      <c r="X152" s="330">
        <v>3</v>
      </c>
      <c r="AV152" s="329" t="s">
        <v>378</v>
      </c>
      <c r="AW152" s="329" t="s">
        <v>2391</v>
      </c>
      <c r="AX152" s="329" t="s">
        <v>378</v>
      </c>
      <c r="AY152" s="329" t="s">
        <v>378</v>
      </c>
    </row>
    <row r="153" spans="1:51" ht="30" customHeight="1">
      <c r="A153" s="336" t="s">
        <v>2392</v>
      </c>
      <c r="B153" s="336" t="s">
        <v>2279</v>
      </c>
      <c r="C153" s="336" t="s">
        <v>1852</v>
      </c>
      <c r="D153" s="337">
        <f>신규_공량산출근거서_일위대가!K78</f>
        <v>6.0000000000000001E-3</v>
      </c>
      <c r="E153" s="371">
        <f>신규_단가대비표!O156</f>
        <v>0</v>
      </c>
      <c r="F153" s="362">
        <f t="shared" si="25"/>
        <v>0</v>
      </c>
      <c r="G153" s="371">
        <v>379666</v>
      </c>
      <c r="H153" s="362">
        <f t="shared" si="26"/>
        <v>2277.9</v>
      </c>
      <c r="I153" s="371">
        <f>신규_단가대비표!V156</f>
        <v>0</v>
      </c>
      <c r="J153" s="362">
        <f t="shared" si="27"/>
        <v>0</v>
      </c>
      <c r="K153" s="371">
        <f t="shared" si="28"/>
        <v>379666</v>
      </c>
      <c r="L153" s="362">
        <f t="shared" si="28"/>
        <v>2277.9</v>
      </c>
      <c r="M153" s="336" t="s">
        <v>378</v>
      </c>
      <c r="N153" s="329" t="s">
        <v>1159</v>
      </c>
      <c r="O153" s="329" t="s">
        <v>2393</v>
      </c>
      <c r="P153" s="329" t="s">
        <v>1105</v>
      </c>
      <c r="Q153" s="329" t="s">
        <v>1105</v>
      </c>
      <c r="R153" s="329" t="s">
        <v>1104</v>
      </c>
      <c r="X153" s="330">
        <v>3</v>
      </c>
      <c r="AV153" s="329" t="s">
        <v>378</v>
      </c>
      <c r="AW153" s="329" t="s">
        <v>2394</v>
      </c>
      <c r="AX153" s="329" t="s">
        <v>378</v>
      </c>
      <c r="AY153" s="329" t="s">
        <v>378</v>
      </c>
    </row>
    <row r="154" spans="1:51" ht="30" customHeight="1">
      <c r="A154" s="336" t="s">
        <v>2217</v>
      </c>
      <c r="B154" s="336" t="s">
        <v>2395</v>
      </c>
      <c r="C154" s="336" t="s">
        <v>212</v>
      </c>
      <c r="D154" s="337">
        <v>1</v>
      </c>
      <c r="E154" s="371">
        <v>87.1</v>
      </c>
      <c r="F154" s="362">
        <f t="shared" si="25"/>
        <v>87.1</v>
      </c>
      <c r="G154" s="371">
        <v>0</v>
      </c>
      <c r="H154" s="362">
        <f t="shared" si="26"/>
        <v>0</v>
      </c>
      <c r="I154" s="371">
        <v>0</v>
      </c>
      <c r="J154" s="362">
        <f t="shared" si="27"/>
        <v>0</v>
      </c>
      <c r="K154" s="371">
        <f t="shared" si="28"/>
        <v>87.1</v>
      </c>
      <c r="L154" s="362">
        <f t="shared" si="28"/>
        <v>87.1</v>
      </c>
      <c r="M154" s="336" t="s">
        <v>378</v>
      </c>
      <c r="N154" s="329" t="s">
        <v>1159</v>
      </c>
      <c r="O154" s="329" t="s">
        <v>2219</v>
      </c>
      <c r="P154" s="329" t="s">
        <v>1105</v>
      </c>
      <c r="Q154" s="329" t="s">
        <v>1105</v>
      </c>
      <c r="R154" s="329" t="s">
        <v>1105</v>
      </c>
      <c r="S154" s="330">
        <v>1</v>
      </c>
      <c r="T154" s="330">
        <v>0</v>
      </c>
      <c r="U154" s="330">
        <v>0.03</v>
      </c>
      <c r="AV154" s="329" t="s">
        <v>378</v>
      </c>
      <c r="AW154" s="329" t="s">
        <v>2396</v>
      </c>
      <c r="AX154" s="329" t="s">
        <v>378</v>
      </c>
      <c r="AY154" s="329" t="s">
        <v>378</v>
      </c>
    </row>
    <row r="155" spans="1:51" ht="30" customHeight="1">
      <c r="A155" s="336" t="s">
        <v>2224</v>
      </c>
      <c r="B155" s="336" t="s">
        <v>378</v>
      </c>
      <c r="C155" s="336" t="s">
        <v>378</v>
      </c>
      <c r="D155" s="337"/>
      <c r="E155" s="371"/>
      <c r="F155" s="362">
        <f>TRUNC(SUMIF(N149:N154, N148, F149:F154),0)</f>
        <v>434</v>
      </c>
      <c r="G155" s="371"/>
      <c r="H155" s="362">
        <f>TRUNC(SUMIF(N149:N154, N148, H149:H154),0)</f>
        <v>4357</v>
      </c>
      <c r="I155" s="371"/>
      <c r="J155" s="362">
        <f>TRUNC(SUMIF(N149:N154, N148, J149:J154),0)</f>
        <v>0</v>
      </c>
      <c r="K155" s="371"/>
      <c r="L155" s="362">
        <f>F155+H155+J155</f>
        <v>4791</v>
      </c>
      <c r="M155" s="336" t="s">
        <v>378</v>
      </c>
      <c r="N155" s="329" t="s">
        <v>1197</v>
      </c>
      <c r="O155" s="329" t="s">
        <v>1197</v>
      </c>
      <c r="P155" s="329" t="s">
        <v>378</v>
      </c>
      <c r="Q155" s="329" t="s">
        <v>378</v>
      </c>
      <c r="R155" s="329" t="s">
        <v>378</v>
      </c>
      <c r="AV155" s="329" t="s">
        <v>378</v>
      </c>
      <c r="AW155" s="329" t="s">
        <v>378</v>
      </c>
      <c r="AX155" s="329" t="s">
        <v>378</v>
      </c>
      <c r="AY155" s="329" t="s">
        <v>378</v>
      </c>
    </row>
    <row r="156" spans="1:51" ht="30" customHeight="1">
      <c r="A156" s="337"/>
      <c r="B156" s="337"/>
      <c r="C156" s="337"/>
      <c r="D156" s="337"/>
      <c r="E156" s="371"/>
      <c r="F156" s="362"/>
      <c r="G156" s="371"/>
      <c r="H156" s="362"/>
      <c r="I156" s="371"/>
      <c r="J156" s="362"/>
      <c r="K156" s="371"/>
      <c r="L156" s="362"/>
      <c r="M156" s="337"/>
    </row>
    <row r="157" spans="1:51" ht="30" customHeight="1">
      <c r="A157" s="718" t="s">
        <v>2397</v>
      </c>
      <c r="B157" s="718"/>
      <c r="C157" s="718"/>
      <c r="D157" s="718"/>
      <c r="E157" s="719"/>
      <c r="F157" s="720"/>
      <c r="G157" s="719"/>
      <c r="H157" s="720"/>
      <c r="I157" s="719"/>
      <c r="J157" s="720"/>
      <c r="K157" s="719"/>
      <c r="L157" s="720"/>
      <c r="M157" s="718"/>
      <c r="N157" s="329" t="s">
        <v>1161</v>
      </c>
    </row>
    <row r="158" spans="1:51" ht="30" customHeight="1">
      <c r="A158" s="333" t="s">
        <v>2385</v>
      </c>
      <c r="B158" s="333" t="s">
        <v>2398</v>
      </c>
      <c r="C158" s="333" t="s">
        <v>300</v>
      </c>
      <c r="D158" s="334">
        <v>1.03</v>
      </c>
      <c r="E158" s="370">
        <f>신규_단가대비표!O132</f>
        <v>362.14087000000001</v>
      </c>
      <c r="F158" s="361">
        <f t="shared" ref="F158:F163" si="29">TRUNC(E158*D158,1)</f>
        <v>373</v>
      </c>
      <c r="G158" s="370">
        <f>신규_단가대비표!P132</f>
        <v>0</v>
      </c>
      <c r="H158" s="361">
        <f t="shared" ref="H158:H163" si="30">TRUNC(G158*D158,1)</f>
        <v>0</v>
      </c>
      <c r="I158" s="370">
        <f>신규_단가대비표!V132</f>
        <v>0</v>
      </c>
      <c r="J158" s="361">
        <f t="shared" ref="J158:J163" si="31">TRUNC(I158*D158,1)</f>
        <v>0</v>
      </c>
      <c r="K158" s="370">
        <f t="shared" ref="K158:L163" si="32">TRUNC(E158+G158+I158,1)</f>
        <v>362.1</v>
      </c>
      <c r="L158" s="361">
        <f t="shared" si="32"/>
        <v>373</v>
      </c>
      <c r="M158" s="333" t="s">
        <v>378</v>
      </c>
      <c r="N158" s="329" t="s">
        <v>1161</v>
      </c>
      <c r="O158" s="329" t="s">
        <v>2399</v>
      </c>
      <c r="P158" s="329" t="s">
        <v>1105</v>
      </c>
      <c r="Q158" s="329" t="s">
        <v>1105</v>
      </c>
      <c r="R158" s="329" t="s">
        <v>1104</v>
      </c>
      <c r="V158" s="330">
        <v>1</v>
      </c>
      <c r="W158" s="330">
        <v>2</v>
      </c>
      <c r="AV158" s="329" t="s">
        <v>378</v>
      </c>
      <c r="AW158" s="329" t="s">
        <v>2400</v>
      </c>
      <c r="AX158" s="329" t="s">
        <v>378</v>
      </c>
      <c r="AY158" s="329" t="s">
        <v>378</v>
      </c>
    </row>
    <row r="159" spans="1:51" ht="30" customHeight="1">
      <c r="A159" s="333" t="s">
        <v>2213</v>
      </c>
      <c r="B159" s="333" t="s">
        <v>2214</v>
      </c>
      <c r="C159" s="333" t="s">
        <v>212</v>
      </c>
      <c r="D159" s="334">
        <v>1</v>
      </c>
      <c r="E159" s="370">
        <f>TRUNC(SUMIF(V158:V163, RIGHTB(O159, 1), F158:F163)*U159, 2)</f>
        <v>7.46</v>
      </c>
      <c r="F159" s="361">
        <f t="shared" si="29"/>
        <v>7.4</v>
      </c>
      <c r="G159" s="370">
        <v>0</v>
      </c>
      <c r="H159" s="361">
        <f t="shared" si="30"/>
        <v>0</v>
      </c>
      <c r="I159" s="370">
        <v>0</v>
      </c>
      <c r="J159" s="361">
        <f t="shared" si="31"/>
        <v>0</v>
      </c>
      <c r="K159" s="370">
        <f t="shared" si="32"/>
        <v>7.4</v>
      </c>
      <c r="L159" s="361">
        <f t="shared" si="32"/>
        <v>7.4</v>
      </c>
      <c r="M159" s="333" t="s">
        <v>378</v>
      </c>
      <c r="N159" s="329" t="s">
        <v>1161</v>
      </c>
      <c r="O159" s="329" t="s">
        <v>2211</v>
      </c>
      <c r="P159" s="329" t="s">
        <v>1105</v>
      </c>
      <c r="Q159" s="329" t="s">
        <v>1105</v>
      </c>
      <c r="R159" s="329" t="s">
        <v>1105</v>
      </c>
      <c r="S159" s="330">
        <v>0</v>
      </c>
      <c r="T159" s="330">
        <v>0</v>
      </c>
      <c r="U159" s="330">
        <v>0.02</v>
      </c>
      <c r="AV159" s="329" t="s">
        <v>378</v>
      </c>
      <c r="AW159" s="329" t="s">
        <v>2401</v>
      </c>
      <c r="AX159" s="329" t="s">
        <v>378</v>
      </c>
      <c r="AY159" s="329" t="s">
        <v>378</v>
      </c>
    </row>
    <row r="160" spans="1:51" ht="30" customHeight="1">
      <c r="A160" s="333" t="s">
        <v>2209</v>
      </c>
      <c r="B160" s="333" t="s">
        <v>2210</v>
      </c>
      <c r="C160" s="333" t="s">
        <v>212</v>
      </c>
      <c r="D160" s="334">
        <v>1</v>
      </c>
      <c r="E160" s="370">
        <f>TRUNC(SUMIF(W158:W163, RIGHTB(O160, 1), F158:F163)*U160, 2)</f>
        <v>55.95</v>
      </c>
      <c r="F160" s="361">
        <f t="shared" si="29"/>
        <v>55.9</v>
      </c>
      <c r="G160" s="370">
        <v>0</v>
      </c>
      <c r="H160" s="361">
        <f t="shared" si="30"/>
        <v>0</v>
      </c>
      <c r="I160" s="370">
        <v>0</v>
      </c>
      <c r="J160" s="361">
        <f t="shared" si="31"/>
        <v>0</v>
      </c>
      <c r="K160" s="370">
        <f t="shared" si="32"/>
        <v>55.9</v>
      </c>
      <c r="L160" s="361">
        <f t="shared" si="32"/>
        <v>55.9</v>
      </c>
      <c r="M160" s="333" t="s">
        <v>378</v>
      </c>
      <c r="N160" s="329" t="s">
        <v>1161</v>
      </c>
      <c r="O160" s="329" t="s">
        <v>2215</v>
      </c>
      <c r="P160" s="329" t="s">
        <v>1105</v>
      </c>
      <c r="Q160" s="329" t="s">
        <v>1105</v>
      </c>
      <c r="R160" s="329" t="s">
        <v>1105</v>
      </c>
      <c r="S160" s="330">
        <v>0</v>
      </c>
      <c r="T160" s="330">
        <v>0</v>
      </c>
      <c r="U160" s="330">
        <v>0.15</v>
      </c>
      <c r="AV160" s="329" t="s">
        <v>378</v>
      </c>
      <c r="AW160" s="329" t="s">
        <v>2402</v>
      </c>
      <c r="AX160" s="329" t="s">
        <v>378</v>
      </c>
      <c r="AY160" s="329" t="s">
        <v>378</v>
      </c>
    </row>
    <row r="161" spans="1:51" ht="30" customHeight="1">
      <c r="A161" s="333" t="s">
        <v>1889</v>
      </c>
      <c r="B161" s="333" t="s">
        <v>378</v>
      </c>
      <c r="C161" s="333" t="s">
        <v>1852</v>
      </c>
      <c r="D161" s="334">
        <f>신규_공량산출근거서_일위대가!K82</f>
        <v>1.7999999999999999E-2</v>
      </c>
      <c r="E161" s="370">
        <f>신규_단가대비표!O148</f>
        <v>0</v>
      </c>
      <c r="F161" s="361">
        <f t="shared" si="29"/>
        <v>0</v>
      </c>
      <c r="G161" s="370">
        <f>신규_단가대비표!P148</f>
        <v>139072.71924000001</v>
      </c>
      <c r="H161" s="361">
        <f t="shared" si="30"/>
        <v>2503.3000000000002</v>
      </c>
      <c r="I161" s="370">
        <f>신규_단가대비표!V148</f>
        <v>0</v>
      </c>
      <c r="J161" s="361">
        <f t="shared" si="31"/>
        <v>0</v>
      </c>
      <c r="K161" s="370">
        <f t="shared" si="32"/>
        <v>139072.70000000001</v>
      </c>
      <c r="L161" s="361">
        <f t="shared" si="32"/>
        <v>2503.3000000000002</v>
      </c>
      <c r="M161" s="333" t="s">
        <v>378</v>
      </c>
      <c r="N161" s="329" t="s">
        <v>1161</v>
      </c>
      <c r="O161" s="329" t="s">
        <v>2277</v>
      </c>
      <c r="P161" s="329" t="s">
        <v>1105</v>
      </c>
      <c r="Q161" s="329" t="s">
        <v>1105</v>
      </c>
      <c r="R161" s="329" t="s">
        <v>1104</v>
      </c>
      <c r="X161" s="330">
        <v>3</v>
      </c>
      <c r="AV161" s="329" t="s">
        <v>378</v>
      </c>
      <c r="AW161" s="329" t="s">
        <v>2403</v>
      </c>
      <c r="AX161" s="329" t="s">
        <v>378</v>
      </c>
      <c r="AY161" s="329" t="s">
        <v>378</v>
      </c>
    </row>
    <row r="162" spans="1:51" ht="30" customHeight="1">
      <c r="A162" s="333" t="s">
        <v>2392</v>
      </c>
      <c r="B162" s="333" t="s">
        <v>2279</v>
      </c>
      <c r="C162" s="333" t="s">
        <v>1852</v>
      </c>
      <c r="D162" s="334">
        <f>신규_공량산출근거서_일위대가!K83</f>
        <v>7.0000000000000001E-3</v>
      </c>
      <c r="E162" s="370">
        <f>신규_단가대비표!O156</f>
        <v>0</v>
      </c>
      <c r="F162" s="361">
        <f t="shared" si="29"/>
        <v>0</v>
      </c>
      <c r="G162" s="370">
        <f>신규_단가대비표!P156</f>
        <v>351745.03637000005</v>
      </c>
      <c r="H162" s="361">
        <f t="shared" si="30"/>
        <v>2462.1999999999998</v>
      </c>
      <c r="I162" s="370">
        <f>신규_단가대비표!V156</f>
        <v>0</v>
      </c>
      <c r="J162" s="361">
        <f t="shared" si="31"/>
        <v>0</v>
      </c>
      <c r="K162" s="370">
        <f t="shared" si="32"/>
        <v>351745</v>
      </c>
      <c r="L162" s="361">
        <f t="shared" si="32"/>
        <v>2462.1999999999998</v>
      </c>
      <c r="M162" s="333" t="s">
        <v>378</v>
      </c>
      <c r="N162" s="329" t="s">
        <v>1161</v>
      </c>
      <c r="O162" s="329" t="s">
        <v>2393</v>
      </c>
      <c r="P162" s="329" t="s">
        <v>1105</v>
      </c>
      <c r="Q162" s="329" t="s">
        <v>1105</v>
      </c>
      <c r="R162" s="329" t="s">
        <v>1104</v>
      </c>
      <c r="X162" s="330">
        <v>3</v>
      </c>
      <c r="AV162" s="329" t="s">
        <v>378</v>
      </c>
      <c r="AW162" s="329" t="s">
        <v>2404</v>
      </c>
      <c r="AX162" s="329" t="s">
        <v>378</v>
      </c>
      <c r="AY162" s="329" t="s">
        <v>378</v>
      </c>
    </row>
    <row r="163" spans="1:51" ht="30" customHeight="1">
      <c r="A163" s="333" t="s">
        <v>2217</v>
      </c>
      <c r="B163" s="333" t="s">
        <v>2218</v>
      </c>
      <c r="C163" s="333" t="s">
        <v>212</v>
      </c>
      <c r="D163" s="334">
        <v>1</v>
      </c>
      <c r="E163" s="370">
        <f>TRUNC(SUMIF(X158:X163, RIGHTB(O163, 1), H158:H163)*U163, 2)</f>
        <v>148.96</v>
      </c>
      <c r="F163" s="361">
        <f t="shared" si="29"/>
        <v>148.9</v>
      </c>
      <c r="G163" s="370">
        <v>0</v>
      </c>
      <c r="H163" s="361">
        <f t="shared" si="30"/>
        <v>0</v>
      </c>
      <c r="I163" s="370">
        <v>0</v>
      </c>
      <c r="J163" s="361">
        <f t="shared" si="31"/>
        <v>0</v>
      </c>
      <c r="K163" s="370">
        <f t="shared" si="32"/>
        <v>148.9</v>
      </c>
      <c r="L163" s="361">
        <f t="shared" si="32"/>
        <v>148.9</v>
      </c>
      <c r="M163" s="333" t="s">
        <v>378</v>
      </c>
      <c r="N163" s="329" t="s">
        <v>1161</v>
      </c>
      <c r="O163" s="329" t="s">
        <v>2219</v>
      </c>
      <c r="P163" s="329" t="s">
        <v>1105</v>
      </c>
      <c r="Q163" s="329" t="s">
        <v>1105</v>
      </c>
      <c r="R163" s="329" t="s">
        <v>1105</v>
      </c>
      <c r="S163" s="330">
        <v>1</v>
      </c>
      <c r="T163" s="330">
        <v>0</v>
      </c>
      <c r="U163" s="330">
        <v>0.03</v>
      </c>
      <c r="AV163" s="329" t="s">
        <v>378</v>
      </c>
      <c r="AW163" s="329" t="s">
        <v>2405</v>
      </c>
      <c r="AX163" s="329" t="s">
        <v>378</v>
      </c>
      <c r="AY163" s="329" t="s">
        <v>378</v>
      </c>
    </row>
    <row r="164" spans="1:51" ht="30" customHeight="1">
      <c r="A164" s="333" t="s">
        <v>2224</v>
      </c>
      <c r="B164" s="333" t="s">
        <v>378</v>
      </c>
      <c r="C164" s="333" t="s">
        <v>378</v>
      </c>
      <c r="D164" s="334"/>
      <c r="E164" s="370"/>
      <c r="F164" s="361">
        <f>TRUNC(SUMIF(N158:N163, N157, F158:F163),0)</f>
        <v>585</v>
      </c>
      <c r="G164" s="370"/>
      <c r="H164" s="361">
        <f>TRUNC(SUMIF(N158:N163, N157, H158:H163),0)</f>
        <v>4965</v>
      </c>
      <c r="I164" s="370"/>
      <c r="J164" s="361">
        <f>TRUNC(SUMIF(N158:N163, N157, J158:J163),0)</f>
        <v>0</v>
      </c>
      <c r="K164" s="370"/>
      <c r="L164" s="361">
        <f>F164+H164+J164</f>
        <v>5550</v>
      </c>
      <c r="M164" s="333" t="s">
        <v>378</v>
      </c>
      <c r="N164" s="329" t="s">
        <v>1197</v>
      </c>
      <c r="O164" s="329" t="s">
        <v>1197</v>
      </c>
      <c r="P164" s="329" t="s">
        <v>378</v>
      </c>
      <c r="Q164" s="329" t="s">
        <v>378</v>
      </c>
      <c r="R164" s="329" t="s">
        <v>378</v>
      </c>
      <c r="AV164" s="329" t="s">
        <v>378</v>
      </c>
      <c r="AW164" s="329" t="s">
        <v>378</v>
      </c>
      <c r="AX164" s="329" t="s">
        <v>378</v>
      </c>
      <c r="AY164" s="329" t="s">
        <v>378</v>
      </c>
    </row>
    <row r="165" spans="1:51" ht="30" customHeight="1">
      <c r="A165" s="334"/>
      <c r="B165" s="334"/>
      <c r="C165" s="334"/>
      <c r="D165" s="334"/>
      <c r="E165" s="370"/>
      <c r="F165" s="361"/>
      <c r="G165" s="370"/>
      <c r="H165" s="361"/>
      <c r="I165" s="370"/>
      <c r="J165" s="361"/>
      <c r="K165" s="370"/>
      <c r="L165" s="361"/>
      <c r="M165" s="334"/>
    </row>
    <row r="166" spans="1:51" ht="30" customHeight="1">
      <c r="A166" s="718" t="s">
        <v>2406</v>
      </c>
      <c r="B166" s="718"/>
      <c r="C166" s="718"/>
      <c r="D166" s="718"/>
      <c r="E166" s="719"/>
      <c r="F166" s="720"/>
      <c r="G166" s="719"/>
      <c r="H166" s="720"/>
      <c r="I166" s="719"/>
      <c r="J166" s="720"/>
      <c r="K166" s="719"/>
      <c r="L166" s="720"/>
      <c r="M166" s="718"/>
      <c r="N166" s="329" t="s">
        <v>1164</v>
      </c>
    </row>
    <row r="167" spans="1:51" ht="30" customHeight="1">
      <c r="A167" s="333" t="s">
        <v>2385</v>
      </c>
      <c r="B167" s="333" t="s">
        <v>2407</v>
      </c>
      <c r="C167" s="333" t="s">
        <v>300</v>
      </c>
      <c r="D167" s="334">
        <v>1.03</v>
      </c>
      <c r="E167" s="370">
        <f>신규_단가대비표!O133</f>
        <v>646.36390000000006</v>
      </c>
      <c r="F167" s="361">
        <f t="shared" ref="F167:F172" si="33">TRUNC(E167*D167,1)</f>
        <v>665.7</v>
      </c>
      <c r="G167" s="370">
        <f>신규_단가대비표!P133</f>
        <v>0</v>
      </c>
      <c r="H167" s="361">
        <f t="shared" ref="H167:H172" si="34">TRUNC(G167*D167,1)</f>
        <v>0</v>
      </c>
      <c r="I167" s="370">
        <f>신규_단가대비표!V133</f>
        <v>0</v>
      </c>
      <c r="J167" s="361">
        <f t="shared" ref="J167:J172" si="35">TRUNC(I167*D167,1)</f>
        <v>0</v>
      </c>
      <c r="K167" s="370">
        <f t="shared" ref="K167:L172" si="36">TRUNC(E167+G167+I167,1)</f>
        <v>646.29999999999995</v>
      </c>
      <c r="L167" s="361">
        <f t="shared" si="36"/>
        <v>665.7</v>
      </c>
      <c r="M167" s="333" t="s">
        <v>378</v>
      </c>
      <c r="N167" s="329" t="s">
        <v>1164</v>
      </c>
      <c r="O167" s="329" t="s">
        <v>2408</v>
      </c>
      <c r="P167" s="329" t="s">
        <v>1105</v>
      </c>
      <c r="Q167" s="329" t="s">
        <v>1105</v>
      </c>
      <c r="R167" s="329" t="s">
        <v>1104</v>
      </c>
      <c r="V167" s="330">
        <v>1</v>
      </c>
      <c r="W167" s="330">
        <v>2</v>
      </c>
      <c r="AV167" s="329" t="s">
        <v>378</v>
      </c>
      <c r="AW167" s="329" t="s">
        <v>2409</v>
      </c>
      <c r="AX167" s="329" t="s">
        <v>378</v>
      </c>
      <c r="AY167" s="329" t="s">
        <v>378</v>
      </c>
    </row>
    <row r="168" spans="1:51" ht="30" customHeight="1">
      <c r="A168" s="333" t="s">
        <v>2209</v>
      </c>
      <c r="B168" s="333" t="s">
        <v>2210</v>
      </c>
      <c r="C168" s="333" t="s">
        <v>212</v>
      </c>
      <c r="D168" s="334">
        <v>1</v>
      </c>
      <c r="E168" s="370">
        <f>TRUNC(SUMIF(V167:V172, RIGHTB(O168, 1), F167:F172)*U168, 2)</f>
        <v>99.85</v>
      </c>
      <c r="F168" s="361">
        <f t="shared" si="33"/>
        <v>99.8</v>
      </c>
      <c r="G168" s="370">
        <v>0</v>
      </c>
      <c r="H168" s="361">
        <f t="shared" si="34"/>
        <v>0</v>
      </c>
      <c r="I168" s="370">
        <v>0</v>
      </c>
      <c r="J168" s="361">
        <f t="shared" si="35"/>
        <v>0</v>
      </c>
      <c r="K168" s="370">
        <f t="shared" si="36"/>
        <v>99.8</v>
      </c>
      <c r="L168" s="361">
        <f t="shared" si="36"/>
        <v>99.8</v>
      </c>
      <c r="M168" s="333" t="s">
        <v>378</v>
      </c>
      <c r="N168" s="329" t="s">
        <v>1164</v>
      </c>
      <c r="O168" s="329" t="s">
        <v>2211</v>
      </c>
      <c r="P168" s="329" t="s">
        <v>1105</v>
      </c>
      <c r="Q168" s="329" t="s">
        <v>1105</v>
      </c>
      <c r="R168" s="329" t="s">
        <v>1105</v>
      </c>
      <c r="S168" s="330">
        <v>0</v>
      </c>
      <c r="T168" s="330">
        <v>0</v>
      </c>
      <c r="U168" s="330">
        <v>0.15</v>
      </c>
      <c r="X168" s="330">
        <v>3</v>
      </c>
      <c r="AV168" s="329" t="s">
        <v>378</v>
      </c>
      <c r="AW168" s="329" t="s">
        <v>2410</v>
      </c>
      <c r="AX168" s="329" t="s">
        <v>378</v>
      </c>
      <c r="AY168" s="329" t="s">
        <v>378</v>
      </c>
    </row>
    <row r="169" spans="1:51" ht="30" customHeight="1">
      <c r="A169" s="333" t="s">
        <v>2213</v>
      </c>
      <c r="B169" s="333" t="s">
        <v>2214</v>
      </c>
      <c r="C169" s="333" t="s">
        <v>212</v>
      </c>
      <c r="D169" s="334">
        <v>1</v>
      </c>
      <c r="E169" s="370">
        <f>TRUNC(SUMIF(W167:W172, RIGHTB(O169, 1), F167:F172)*U169, 2)</f>
        <v>13.31</v>
      </c>
      <c r="F169" s="361">
        <f t="shared" si="33"/>
        <v>13.3</v>
      </c>
      <c r="G169" s="370">
        <v>0</v>
      </c>
      <c r="H169" s="361">
        <f t="shared" si="34"/>
        <v>0</v>
      </c>
      <c r="I169" s="370">
        <v>0</v>
      </c>
      <c r="J169" s="361">
        <f t="shared" si="35"/>
        <v>0</v>
      </c>
      <c r="K169" s="370">
        <f t="shared" si="36"/>
        <v>13.3</v>
      </c>
      <c r="L169" s="361">
        <f t="shared" si="36"/>
        <v>13.3</v>
      </c>
      <c r="M169" s="333" t="s">
        <v>378</v>
      </c>
      <c r="N169" s="329" t="s">
        <v>1164</v>
      </c>
      <c r="O169" s="329" t="s">
        <v>2215</v>
      </c>
      <c r="P169" s="329" t="s">
        <v>1105</v>
      </c>
      <c r="Q169" s="329" t="s">
        <v>1105</v>
      </c>
      <c r="R169" s="329" t="s">
        <v>1105</v>
      </c>
      <c r="S169" s="330">
        <v>0</v>
      </c>
      <c r="T169" s="330">
        <v>0</v>
      </c>
      <c r="U169" s="330">
        <v>0.02</v>
      </c>
      <c r="X169" s="330">
        <v>3</v>
      </c>
      <c r="AV169" s="329" t="s">
        <v>378</v>
      </c>
      <c r="AW169" s="329" t="s">
        <v>2411</v>
      </c>
      <c r="AX169" s="329" t="s">
        <v>378</v>
      </c>
      <c r="AY169" s="329" t="s">
        <v>378</v>
      </c>
    </row>
    <row r="170" spans="1:51" ht="30" customHeight="1">
      <c r="A170" s="333" t="s">
        <v>2217</v>
      </c>
      <c r="B170" s="333" t="s">
        <v>2218</v>
      </c>
      <c r="C170" s="333" t="s">
        <v>212</v>
      </c>
      <c r="D170" s="334">
        <v>1</v>
      </c>
      <c r="E170" s="370">
        <f>TRUNC(SUMIF(X167:X172, RIGHTB(O170, 1), H167:H172)*U170, 2)</f>
        <v>148.96</v>
      </c>
      <c r="F170" s="361">
        <f t="shared" si="33"/>
        <v>148.9</v>
      </c>
      <c r="G170" s="370">
        <v>0</v>
      </c>
      <c r="H170" s="361">
        <f t="shared" si="34"/>
        <v>0</v>
      </c>
      <c r="I170" s="370">
        <v>0</v>
      </c>
      <c r="J170" s="361">
        <f t="shared" si="35"/>
        <v>0</v>
      </c>
      <c r="K170" s="370">
        <f t="shared" si="36"/>
        <v>148.9</v>
      </c>
      <c r="L170" s="361">
        <f t="shared" si="36"/>
        <v>148.9</v>
      </c>
      <c r="M170" s="333" t="s">
        <v>378</v>
      </c>
      <c r="N170" s="329" t="s">
        <v>1164</v>
      </c>
      <c r="O170" s="329" t="s">
        <v>2219</v>
      </c>
      <c r="P170" s="329" t="s">
        <v>1105</v>
      </c>
      <c r="Q170" s="329" t="s">
        <v>1105</v>
      </c>
      <c r="R170" s="329" t="s">
        <v>1105</v>
      </c>
      <c r="S170" s="330">
        <v>1</v>
      </c>
      <c r="T170" s="330">
        <v>0</v>
      </c>
      <c r="U170" s="330">
        <v>0.03</v>
      </c>
      <c r="X170" s="330">
        <v>3</v>
      </c>
      <c r="AV170" s="329" t="s">
        <v>378</v>
      </c>
      <c r="AW170" s="329" t="s">
        <v>2411</v>
      </c>
      <c r="AX170" s="329" t="s">
        <v>378</v>
      </c>
      <c r="AY170" s="329" t="s">
        <v>378</v>
      </c>
    </row>
    <row r="171" spans="1:51" ht="30" customHeight="1">
      <c r="A171" s="333" t="s">
        <v>1889</v>
      </c>
      <c r="B171" s="333" t="s">
        <v>378</v>
      </c>
      <c r="C171" s="333" t="s">
        <v>1852</v>
      </c>
      <c r="D171" s="334">
        <f>신규_공량산출근거서_일위대가!K87</f>
        <v>1.7999999999999999E-2</v>
      </c>
      <c r="E171" s="370">
        <f>신규_단가대비표!O148</f>
        <v>0</v>
      </c>
      <c r="F171" s="361">
        <f t="shared" si="33"/>
        <v>0</v>
      </c>
      <c r="G171" s="370">
        <f>신규_단가대비표!P148</f>
        <v>139072.71924000001</v>
      </c>
      <c r="H171" s="361">
        <f t="shared" si="34"/>
        <v>2503.3000000000002</v>
      </c>
      <c r="I171" s="370">
        <f>신규_단가대비표!V148</f>
        <v>0</v>
      </c>
      <c r="J171" s="361">
        <f t="shared" si="35"/>
        <v>0</v>
      </c>
      <c r="K171" s="370">
        <f t="shared" si="36"/>
        <v>139072.70000000001</v>
      </c>
      <c r="L171" s="361">
        <f t="shared" si="36"/>
        <v>2503.3000000000002</v>
      </c>
      <c r="M171" s="333" t="s">
        <v>378</v>
      </c>
      <c r="N171" s="329" t="s">
        <v>1164</v>
      </c>
      <c r="O171" s="329" t="s">
        <v>2277</v>
      </c>
      <c r="P171" s="329" t="s">
        <v>1105</v>
      </c>
      <c r="Q171" s="329" t="s">
        <v>1105</v>
      </c>
      <c r="R171" s="329" t="s">
        <v>1104</v>
      </c>
      <c r="X171" s="330">
        <v>3</v>
      </c>
      <c r="AV171" s="329" t="s">
        <v>378</v>
      </c>
      <c r="AW171" s="329" t="s">
        <v>2412</v>
      </c>
      <c r="AX171" s="329" t="s">
        <v>378</v>
      </c>
      <c r="AY171" s="329" t="s">
        <v>378</v>
      </c>
    </row>
    <row r="172" spans="1:51" ht="30" customHeight="1">
      <c r="A172" s="333" t="s">
        <v>2392</v>
      </c>
      <c r="B172" s="333" t="s">
        <v>2279</v>
      </c>
      <c r="C172" s="333" t="s">
        <v>1852</v>
      </c>
      <c r="D172" s="334">
        <f>신규_공량산출근거서_일위대가!K88</f>
        <v>7.0000000000000001E-3</v>
      </c>
      <c r="E172" s="370">
        <f>신규_단가대비표!O156</f>
        <v>0</v>
      </c>
      <c r="F172" s="361">
        <f t="shared" si="33"/>
        <v>0</v>
      </c>
      <c r="G172" s="370">
        <f>신규_단가대비표!P156</f>
        <v>351745.03637000005</v>
      </c>
      <c r="H172" s="361">
        <f t="shared" si="34"/>
        <v>2462.1999999999998</v>
      </c>
      <c r="I172" s="370">
        <f>신규_단가대비표!V156</f>
        <v>0</v>
      </c>
      <c r="J172" s="361">
        <f t="shared" si="35"/>
        <v>0</v>
      </c>
      <c r="K172" s="370">
        <f t="shared" si="36"/>
        <v>351745</v>
      </c>
      <c r="L172" s="361">
        <f t="shared" si="36"/>
        <v>2462.1999999999998</v>
      </c>
      <c r="M172" s="333" t="s">
        <v>378</v>
      </c>
      <c r="N172" s="329" t="s">
        <v>1164</v>
      </c>
      <c r="O172" s="329" t="s">
        <v>2393</v>
      </c>
      <c r="P172" s="329" t="s">
        <v>1105</v>
      </c>
      <c r="Q172" s="329" t="s">
        <v>1105</v>
      </c>
      <c r="R172" s="329" t="s">
        <v>1104</v>
      </c>
      <c r="X172" s="330">
        <v>3</v>
      </c>
      <c r="AV172" s="329" t="s">
        <v>378</v>
      </c>
      <c r="AW172" s="329" t="s">
        <v>2413</v>
      </c>
      <c r="AX172" s="329" t="s">
        <v>378</v>
      </c>
      <c r="AY172" s="329" t="s">
        <v>378</v>
      </c>
    </row>
    <row r="173" spans="1:51" ht="30" customHeight="1">
      <c r="A173" s="333" t="s">
        <v>2224</v>
      </c>
      <c r="B173" s="333" t="s">
        <v>378</v>
      </c>
      <c r="C173" s="333" t="s">
        <v>378</v>
      </c>
      <c r="D173" s="334"/>
      <c r="E173" s="370"/>
      <c r="F173" s="361">
        <f>TRUNC(SUMIF(N167:N172, N166, F167:F172),0)</f>
        <v>927</v>
      </c>
      <c r="G173" s="370"/>
      <c r="H173" s="361">
        <f>TRUNC(SUMIF(N167:N172, N166, H167:H172),0)</f>
        <v>4965</v>
      </c>
      <c r="I173" s="370"/>
      <c r="J173" s="361">
        <f>TRUNC(SUMIF(N167:N172, N166, J167:J172),0)</f>
        <v>0</v>
      </c>
      <c r="K173" s="370"/>
      <c r="L173" s="361">
        <f>F173+H173+J173</f>
        <v>5892</v>
      </c>
      <c r="M173" s="333" t="s">
        <v>378</v>
      </c>
      <c r="N173" s="329" t="s">
        <v>1197</v>
      </c>
      <c r="O173" s="329" t="s">
        <v>1197</v>
      </c>
      <c r="P173" s="329" t="s">
        <v>378</v>
      </c>
      <c r="Q173" s="329" t="s">
        <v>378</v>
      </c>
      <c r="R173" s="329" t="s">
        <v>378</v>
      </c>
      <c r="AV173" s="329" t="s">
        <v>378</v>
      </c>
      <c r="AW173" s="329" t="s">
        <v>378</v>
      </c>
      <c r="AX173" s="329" t="s">
        <v>378</v>
      </c>
      <c r="AY173" s="329" t="s">
        <v>378</v>
      </c>
    </row>
    <row r="174" spans="1:51" ht="30" customHeight="1">
      <c r="A174" s="334"/>
      <c r="B174" s="334"/>
      <c r="C174" s="334"/>
      <c r="D174" s="334"/>
      <c r="E174" s="370"/>
      <c r="F174" s="361"/>
      <c r="G174" s="370"/>
      <c r="H174" s="361"/>
      <c r="I174" s="370"/>
      <c r="J174" s="361"/>
      <c r="K174" s="370"/>
      <c r="L174" s="361"/>
      <c r="M174" s="334"/>
    </row>
    <row r="175" spans="1:51" ht="30" customHeight="1">
      <c r="A175" s="718" t="s">
        <v>2414</v>
      </c>
      <c r="B175" s="718"/>
      <c r="C175" s="718"/>
      <c r="D175" s="718"/>
      <c r="E175" s="719"/>
      <c r="F175" s="720"/>
      <c r="G175" s="719"/>
      <c r="H175" s="720"/>
      <c r="I175" s="719"/>
      <c r="J175" s="720"/>
      <c r="K175" s="719"/>
      <c r="L175" s="720"/>
      <c r="M175" s="718"/>
      <c r="N175" s="329" t="s">
        <v>1167</v>
      </c>
    </row>
    <row r="176" spans="1:51" ht="30" customHeight="1">
      <c r="A176" s="333" t="s">
        <v>2385</v>
      </c>
      <c r="B176" s="333" t="s">
        <v>2415</v>
      </c>
      <c r="C176" s="333" t="s">
        <v>300</v>
      </c>
      <c r="D176" s="334">
        <v>1.03</v>
      </c>
      <c r="E176" s="370">
        <f>신규_단가대비표!O134</f>
        <v>772.09496000000001</v>
      </c>
      <c r="F176" s="361">
        <f t="shared" ref="F176:F181" si="37">TRUNC(E176*D176,1)</f>
        <v>795.2</v>
      </c>
      <c r="G176" s="370">
        <f>신규_단가대비표!P134</f>
        <v>0</v>
      </c>
      <c r="H176" s="361">
        <f t="shared" ref="H176:H181" si="38">TRUNC(G176*D176,1)</f>
        <v>0</v>
      </c>
      <c r="I176" s="370">
        <f>신규_단가대비표!V134</f>
        <v>0</v>
      </c>
      <c r="J176" s="361">
        <f t="shared" ref="J176:J181" si="39">TRUNC(I176*D176,1)</f>
        <v>0</v>
      </c>
      <c r="K176" s="370">
        <f t="shared" ref="K176:L181" si="40">TRUNC(E176+G176+I176,1)</f>
        <v>772</v>
      </c>
      <c r="L176" s="361">
        <f t="shared" si="40"/>
        <v>795.2</v>
      </c>
      <c r="M176" s="333" t="s">
        <v>378</v>
      </c>
      <c r="N176" s="329" t="s">
        <v>1167</v>
      </c>
      <c r="O176" s="329" t="s">
        <v>2416</v>
      </c>
      <c r="P176" s="329" t="s">
        <v>1105</v>
      </c>
      <c r="Q176" s="329" t="s">
        <v>1105</v>
      </c>
      <c r="R176" s="329" t="s">
        <v>1104</v>
      </c>
      <c r="V176" s="330">
        <v>1</v>
      </c>
      <c r="W176" s="330">
        <v>2</v>
      </c>
      <c r="AV176" s="329" t="s">
        <v>378</v>
      </c>
      <c r="AW176" s="329" t="s">
        <v>2417</v>
      </c>
      <c r="AX176" s="329" t="s">
        <v>378</v>
      </c>
      <c r="AY176" s="329" t="s">
        <v>378</v>
      </c>
    </row>
    <row r="177" spans="1:51" ht="30" customHeight="1">
      <c r="A177" s="333" t="s">
        <v>2209</v>
      </c>
      <c r="B177" s="333" t="s">
        <v>2210</v>
      </c>
      <c r="C177" s="333" t="s">
        <v>212</v>
      </c>
      <c r="D177" s="334">
        <v>1</v>
      </c>
      <c r="E177" s="370">
        <f>TRUNC(SUMIF(V176:V181, RIGHTB(O177, 1), F176:F181)*U177, 2)</f>
        <v>119.28</v>
      </c>
      <c r="F177" s="361">
        <f t="shared" si="37"/>
        <v>119.2</v>
      </c>
      <c r="G177" s="370">
        <v>0</v>
      </c>
      <c r="H177" s="361">
        <f t="shared" si="38"/>
        <v>0</v>
      </c>
      <c r="I177" s="370">
        <v>0</v>
      </c>
      <c r="J177" s="361">
        <f t="shared" si="39"/>
        <v>0</v>
      </c>
      <c r="K177" s="370">
        <f t="shared" si="40"/>
        <v>119.2</v>
      </c>
      <c r="L177" s="361">
        <f t="shared" si="40"/>
        <v>119.2</v>
      </c>
      <c r="M177" s="333" t="s">
        <v>378</v>
      </c>
      <c r="N177" s="329" t="s">
        <v>1167</v>
      </c>
      <c r="O177" s="329" t="s">
        <v>2211</v>
      </c>
      <c r="P177" s="329" t="s">
        <v>1105</v>
      </c>
      <c r="Q177" s="329" t="s">
        <v>1105</v>
      </c>
      <c r="R177" s="329" t="s">
        <v>1105</v>
      </c>
      <c r="S177" s="330">
        <v>0</v>
      </c>
      <c r="T177" s="330">
        <v>0</v>
      </c>
      <c r="U177" s="330">
        <v>0.15</v>
      </c>
      <c r="AV177" s="329" t="s">
        <v>378</v>
      </c>
      <c r="AW177" s="329" t="s">
        <v>2418</v>
      </c>
      <c r="AX177" s="329" t="s">
        <v>378</v>
      </c>
      <c r="AY177" s="329" t="s">
        <v>378</v>
      </c>
    </row>
    <row r="178" spans="1:51" ht="30" customHeight="1">
      <c r="A178" s="333" t="s">
        <v>2213</v>
      </c>
      <c r="B178" s="333" t="s">
        <v>2214</v>
      </c>
      <c r="C178" s="333" t="s">
        <v>212</v>
      </c>
      <c r="D178" s="334">
        <v>1</v>
      </c>
      <c r="E178" s="370">
        <f>TRUNC(SUMIF(W176:W181, RIGHTB(O178, 1), F176:F181)*U178, 2)</f>
        <v>15.9</v>
      </c>
      <c r="F178" s="361">
        <f t="shared" si="37"/>
        <v>15.9</v>
      </c>
      <c r="G178" s="370">
        <v>0</v>
      </c>
      <c r="H178" s="361">
        <f t="shared" si="38"/>
        <v>0</v>
      </c>
      <c r="I178" s="370">
        <v>0</v>
      </c>
      <c r="J178" s="361">
        <f t="shared" si="39"/>
        <v>0</v>
      </c>
      <c r="K178" s="370">
        <f t="shared" si="40"/>
        <v>15.9</v>
      </c>
      <c r="L178" s="361">
        <f t="shared" si="40"/>
        <v>15.9</v>
      </c>
      <c r="M178" s="333" t="s">
        <v>378</v>
      </c>
      <c r="N178" s="329" t="s">
        <v>1167</v>
      </c>
      <c r="O178" s="329" t="s">
        <v>2215</v>
      </c>
      <c r="P178" s="329" t="s">
        <v>1105</v>
      </c>
      <c r="Q178" s="329" t="s">
        <v>1105</v>
      </c>
      <c r="R178" s="329" t="s">
        <v>1105</v>
      </c>
      <c r="S178" s="330">
        <v>0</v>
      </c>
      <c r="T178" s="330">
        <v>0</v>
      </c>
      <c r="U178" s="330">
        <v>0.02</v>
      </c>
      <c r="AV178" s="329" t="s">
        <v>378</v>
      </c>
      <c r="AW178" s="329" t="s">
        <v>2419</v>
      </c>
      <c r="AX178" s="329" t="s">
        <v>378</v>
      </c>
      <c r="AY178" s="329" t="s">
        <v>378</v>
      </c>
    </row>
    <row r="179" spans="1:51" ht="30" customHeight="1">
      <c r="A179" s="333" t="s">
        <v>1889</v>
      </c>
      <c r="B179" s="333" t="s">
        <v>378</v>
      </c>
      <c r="C179" s="333" t="s">
        <v>1852</v>
      </c>
      <c r="D179" s="334">
        <f>신규_공량산출근거서_일위대가!K92</f>
        <v>2.1999999999999999E-2</v>
      </c>
      <c r="E179" s="370">
        <f>신규_단가대비표!O148</f>
        <v>0</v>
      </c>
      <c r="F179" s="361">
        <f t="shared" si="37"/>
        <v>0</v>
      </c>
      <c r="G179" s="370">
        <f>신규_단가대비표!P148</f>
        <v>139072.71924000001</v>
      </c>
      <c r="H179" s="361">
        <f t="shared" si="38"/>
        <v>3059.5</v>
      </c>
      <c r="I179" s="370">
        <f>신규_단가대비표!V148</f>
        <v>0</v>
      </c>
      <c r="J179" s="361">
        <f t="shared" si="39"/>
        <v>0</v>
      </c>
      <c r="K179" s="370">
        <f t="shared" si="40"/>
        <v>139072.70000000001</v>
      </c>
      <c r="L179" s="361">
        <f t="shared" si="40"/>
        <v>3059.5</v>
      </c>
      <c r="M179" s="333" t="s">
        <v>378</v>
      </c>
      <c r="N179" s="329" t="s">
        <v>1167</v>
      </c>
      <c r="O179" s="329" t="s">
        <v>2277</v>
      </c>
      <c r="P179" s="329" t="s">
        <v>1105</v>
      </c>
      <c r="Q179" s="329" t="s">
        <v>1105</v>
      </c>
      <c r="R179" s="329" t="s">
        <v>1104</v>
      </c>
      <c r="X179" s="330">
        <v>3</v>
      </c>
      <c r="AV179" s="329" t="s">
        <v>378</v>
      </c>
      <c r="AW179" s="329" t="s">
        <v>2420</v>
      </c>
      <c r="AX179" s="329" t="s">
        <v>378</v>
      </c>
      <c r="AY179" s="329" t="s">
        <v>378</v>
      </c>
    </row>
    <row r="180" spans="1:51" ht="30" customHeight="1">
      <c r="A180" s="333" t="s">
        <v>2392</v>
      </c>
      <c r="B180" s="333" t="s">
        <v>2279</v>
      </c>
      <c r="C180" s="333" t="s">
        <v>1852</v>
      </c>
      <c r="D180" s="334">
        <f>신규_공량산출근거서_일위대가!K93</f>
        <v>8.9999999999999993E-3</v>
      </c>
      <c r="E180" s="370">
        <f>신규_단가대비표!O156</f>
        <v>0</v>
      </c>
      <c r="F180" s="361">
        <f t="shared" si="37"/>
        <v>0</v>
      </c>
      <c r="G180" s="370">
        <f>신규_단가대비표!P156</f>
        <v>351745.03637000005</v>
      </c>
      <c r="H180" s="361">
        <f t="shared" si="38"/>
        <v>3165.7</v>
      </c>
      <c r="I180" s="370">
        <f>신규_단가대비표!V156</f>
        <v>0</v>
      </c>
      <c r="J180" s="361">
        <f t="shared" si="39"/>
        <v>0</v>
      </c>
      <c r="K180" s="370">
        <f t="shared" si="40"/>
        <v>351745</v>
      </c>
      <c r="L180" s="361">
        <f t="shared" si="40"/>
        <v>3165.7</v>
      </c>
      <c r="M180" s="333" t="s">
        <v>378</v>
      </c>
      <c r="N180" s="329" t="s">
        <v>1167</v>
      </c>
      <c r="O180" s="329" t="s">
        <v>2393</v>
      </c>
      <c r="P180" s="329" t="s">
        <v>1105</v>
      </c>
      <c r="Q180" s="329" t="s">
        <v>1105</v>
      </c>
      <c r="R180" s="329" t="s">
        <v>1104</v>
      </c>
      <c r="X180" s="330">
        <v>3</v>
      </c>
      <c r="AV180" s="329" t="s">
        <v>378</v>
      </c>
      <c r="AW180" s="329" t="s">
        <v>2421</v>
      </c>
      <c r="AX180" s="329" t="s">
        <v>378</v>
      </c>
      <c r="AY180" s="329" t="s">
        <v>378</v>
      </c>
    </row>
    <row r="181" spans="1:51" ht="30" customHeight="1">
      <c r="A181" s="333" t="s">
        <v>2217</v>
      </c>
      <c r="B181" s="333" t="s">
        <v>2218</v>
      </c>
      <c r="C181" s="333" t="s">
        <v>212</v>
      </c>
      <c r="D181" s="334">
        <v>1</v>
      </c>
      <c r="E181" s="370">
        <f>TRUNC(SUMIF(X176:X181, RIGHTB(O181, 1), H176:H181)*U181, 2)</f>
        <v>186.75</v>
      </c>
      <c r="F181" s="361">
        <f t="shared" si="37"/>
        <v>186.7</v>
      </c>
      <c r="G181" s="370">
        <v>0</v>
      </c>
      <c r="H181" s="361">
        <f t="shared" si="38"/>
        <v>0</v>
      </c>
      <c r="I181" s="370">
        <v>0</v>
      </c>
      <c r="J181" s="361">
        <f t="shared" si="39"/>
        <v>0</v>
      </c>
      <c r="K181" s="370">
        <f t="shared" si="40"/>
        <v>186.7</v>
      </c>
      <c r="L181" s="361">
        <f t="shared" si="40"/>
        <v>186.7</v>
      </c>
      <c r="M181" s="333" t="s">
        <v>378</v>
      </c>
      <c r="N181" s="329" t="s">
        <v>1167</v>
      </c>
      <c r="O181" s="329" t="s">
        <v>2219</v>
      </c>
      <c r="P181" s="329" t="s">
        <v>1105</v>
      </c>
      <c r="Q181" s="329" t="s">
        <v>1105</v>
      </c>
      <c r="R181" s="329" t="s">
        <v>1105</v>
      </c>
      <c r="S181" s="330">
        <v>1</v>
      </c>
      <c r="T181" s="330">
        <v>0</v>
      </c>
      <c r="U181" s="330">
        <v>0.03</v>
      </c>
      <c r="AV181" s="329" t="s">
        <v>378</v>
      </c>
      <c r="AW181" s="329" t="s">
        <v>2422</v>
      </c>
      <c r="AX181" s="329" t="s">
        <v>378</v>
      </c>
      <c r="AY181" s="329" t="s">
        <v>378</v>
      </c>
    </row>
    <row r="182" spans="1:51" ht="30" customHeight="1">
      <c r="A182" s="333" t="s">
        <v>2224</v>
      </c>
      <c r="B182" s="333" t="s">
        <v>378</v>
      </c>
      <c r="C182" s="333" t="s">
        <v>378</v>
      </c>
      <c r="D182" s="334"/>
      <c r="E182" s="370"/>
      <c r="F182" s="361">
        <f>TRUNC(SUMIF(N176:N181, N175, F176:F181),0)</f>
        <v>1117</v>
      </c>
      <c r="G182" s="370"/>
      <c r="H182" s="361">
        <f>TRUNC(SUMIF(N176:N181, N175, H176:H181),0)</f>
        <v>6225</v>
      </c>
      <c r="I182" s="370"/>
      <c r="J182" s="361">
        <f>TRUNC(SUMIF(N176:N181, N175, J176:J181),0)</f>
        <v>0</v>
      </c>
      <c r="K182" s="370"/>
      <c r="L182" s="361">
        <f>F182+H182+J182</f>
        <v>7342</v>
      </c>
      <c r="M182" s="333" t="s">
        <v>378</v>
      </c>
      <c r="N182" s="329" t="s">
        <v>1197</v>
      </c>
      <c r="O182" s="329" t="s">
        <v>1197</v>
      </c>
      <c r="P182" s="329" t="s">
        <v>378</v>
      </c>
      <c r="Q182" s="329" t="s">
        <v>378</v>
      </c>
      <c r="R182" s="329" t="s">
        <v>378</v>
      </c>
      <c r="AV182" s="329" t="s">
        <v>378</v>
      </c>
      <c r="AW182" s="329" t="s">
        <v>378</v>
      </c>
      <c r="AX182" s="329" t="s">
        <v>378</v>
      </c>
      <c r="AY182" s="329" t="s">
        <v>378</v>
      </c>
    </row>
    <row r="183" spans="1:51" ht="30" customHeight="1">
      <c r="A183" s="334"/>
      <c r="B183" s="334"/>
      <c r="C183" s="334"/>
      <c r="D183" s="334"/>
      <c r="E183" s="370"/>
      <c r="F183" s="361"/>
      <c r="G183" s="370"/>
      <c r="H183" s="361"/>
      <c r="I183" s="370"/>
      <c r="J183" s="361"/>
      <c r="K183" s="370"/>
      <c r="L183" s="361"/>
      <c r="M183" s="334"/>
    </row>
    <row r="184" spans="1:51" ht="30" customHeight="1">
      <c r="A184" s="718" t="s">
        <v>2423</v>
      </c>
      <c r="B184" s="718"/>
      <c r="C184" s="718"/>
      <c r="D184" s="718"/>
      <c r="E184" s="719"/>
      <c r="F184" s="720"/>
      <c r="G184" s="719"/>
      <c r="H184" s="720"/>
      <c r="I184" s="719"/>
      <c r="J184" s="720"/>
      <c r="K184" s="719"/>
      <c r="L184" s="720"/>
      <c r="M184" s="718"/>
      <c r="N184" s="329" t="s">
        <v>1170</v>
      </c>
    </row>
    <row r="185" spans="1:51" ht="30" customHeight="1">
      <c r="A185" s="333" t="s">
        <v>2385</v>
      </c>
      <c r="B185" s="333" t="s">
        <v>2424</v>
      </c>
      <c r="C185" s="333" t="s">
        <v>300</v>
      </c>
      <c r="D185" s="334">
        <v>1.03</v>
      </c>
      <c r="E185" s="370">
        <f>신규_단가대비표!O135</f>
        <v>1753.1514000000002</v>
      </c>
      <c r="F185" s="361">
        <f t="shared" ref="F185:F190" si="41">TRUNC(E185*D185,1)</f>
        <v>1805.7</v>
      </c>
      <c r="G185" s="370">
        <f>신규_단가대비표!P135</f>
        <v>0</v>
      </c>
      <c r="H185" s="361">
        <f t="shared" ref="H185:H190" si="42">TRUNC(G185*D185,1)</f>
        <v>0</v>
      </c>
      <c r="I185" s="370">
        <f>신규_단가대비표!V135</f>
        <v>0</v>
      </c>
      <c r="J185" s="361">
        <f t="shared" ref="J185:J190" si="43">TRUNC(I185*D185,1)</f>
        <v>0</v>
      </c>
      <c r="K185" s="370">
        <f t="shared" ref="K185:L190" si="44">TRUNC(E185+G185+I185,1)</f>
        <v>1753.1</v>
      </c>
      <c r="L185" s="361">
        <f t="shared" si="44"/>
        <v>1805.7</v>
      </c>
      <c r="M185" s="333" t="s">
        <v>378</v>
      </c>
      <c r="N185" s="329" t="s">
        <v>1170</v>
      </c>
      <c r="O185" s="329" t="s">
        <v>2425</v>
      </c>
      <c r="P185" s="329" t="s">
        <v>1105</v>
      </c>
      <c r="Q185" s="329" t="s">
        <v>1105</v>
      </c>
      <c r="R185" s="329" t="s">
        <v>1104</v>
      </c>
      <c r="V185" s="330">
        <v>1</v>
      </c>
      <c r="W185" s="330">
        <v>2</v>
      </c>
      <c r="AV185" s="329" t="s">
        <v>378</v>
      </c>
      <c r="AW185" s="329" t="s">
        <v>2426</v>
      </c>
      <c r="AX185" s="329" t="s">
        <v>378</v>
      </c>
      <c r="AY185" s="329" t="s">
        <v>378</v>
      </c>
    </row>
    <row r="186" spans="1:51" ht="30" customHeight="1">
      <c r="A186" s="333" t="s">
        <v>2209</v>
      </c>
      <c r="B186" s="333" t="s">
        <v>2210</v>
      </c>
      <c r="C186" s="333" t="s">
        <v>212</v>
      </c>
      <c r="D186" s="334">
        <v>1</v>
      </c>
      <c r="E186" s="370">
        <f>TRUNC(SUMIF(V185:V190, RIGHTB(O186, 1), F185:F190)*U186, 2)</f>
        <v>270.85000000000002</v>
      </c>
      <c r="F186" s="361">
        <f t="shared" si="41"/>
        <v>270.8</v>
      </c>
      <c r="G186" s="370">
        <v>0</v>
      </c>
      <c r="H186" s="361">
        <f t="shared" si="42"/>
        <v>0</v>
      </c>
      <c r="I186" s="370">
        <v>0</v>
      </c>
      <c r="J186" s="361">
        <f t="shared" si="43"/>
        <v>0</v>
      </c>
      <c r="K186" s="370">
        <f t="shared" si="44"/>
        <v>270.8</v>
      </c>
      <c r="L186" s="361">
        <f t="shared" si="44"/>
        <v>270.8</v>
      </c>
      <c r="M186" s="333" t="s">
        <v>378</v>
      </c>
      <c r="N186" s="329" t="s">
        <v>1170</v>
      </c>
      <c r="O186" s="329" t="s">
        <v>2211</v>
      </c>
      <c r="P186" s="329" t="s">
        <v>1105</v>
      </c>
      <c r="Q186" s="329" t="s">
        <v>1105</v>
      </c>
      <c r="R186" s="329" t="s">
        <v>1105</v>
      </c>
      <c r="S186" s="330">
        <v>0</v>
      </c>
      <c r="T186" s="330">
        <v>0</v>
      </c>
      <c r="U186" s="330">
        <v>0.15</v>
      </c>
      <c r="AV186" s="329" t="s">
        <v>378</v>
      </c>
      <c r="AW186" s="329" t="s">
        <v>2427</v>
      </c>
      <c r="AX186" s="329" t="s">
        <v>378</v>
      </c>
      <c r="AY186" s="329" t="s">
        <v>378</v>
      </c>
    </row>
    <row r="187" spans="1:51" ht="30" customHeight="1">
      <c r="A187" s="333" t="s">
        <v>2213</v>
      </c>
      <c r="B187" s="333" t="s">
        <v>2214</v>
      </c>
      <c r="C187" s="333" t="s">
        <v>212</v>
      </c>
      <c r="D187" s="334">
        <v>1</v>
      </c>
      <c r="E187" s="370">
        <f>TRUNC(SUMIF(W185:W190, RIGHTB(O187, 1), F185:F190)*U187, 2)</f>
        <v>36.11</v>
      </c>
      <c r="F187" s="361">
        <f t="shared" si="41"/>
        <v>36.1</v>
      </c>
      <c r="G187" s="370">
        <v>0</v>
      </c>
      <c r="H187" s="361">
        <f t="shared" si="42"/>
        <v>0</v>
      </c>
      <c r="I187" s="370">
        <v>0</v>
      </c>
      <c r="J187" s="361">
        <f t="shared" si="43"/>
        <v>0</v>
      </c>
      <c r="K187" s="370">
        <f t="shared" si="44"/>
        <v>36.1</v>
      </c>
      <c r="L187" s="361">
        <f t="shared" si="44"/>
        <v>36.1</v>
      </c>
      <c r="M187" s="333" t="s">
        <v>378</v>
      </c>
      <c r="N187" s="329" t="s">
        <v>1170</v>
      </c>
      <c r="O187" s="329" t="s">
        <v>2215</v>
      </c>
      <c r="P187" s="329" t="s">
        <v>1105</v>
      </c>
      <c r="Q187" s="329" t="s">
        <v>1105</v>
      </c>
      <c r="R187" s="329" t="s">
        <v>1105</v>
      </c>
      <c r="S187" s="330">
        <v>0</v>
      </c>
      <c r="T187" s="330">
        <v>0</v>
      </c>
      <c r="U187" s="330">
        <v>0.02</v>
      </c>
      <c r="AV187" s="329" t="s">
        <v>378</v>
      </c>
      <c r="AW187" s="329" t="s">
        <v>2428</v>
      </c>
      <c r="AX187" s="329" t="s">
        <v>378</v>
      </c>
      <c r="AY187" s="329" t="s">
        <v>378</v>
      </c>
    </row>
    <row r="188" spans="1:51" ht="30" customHeight="1">
      <c r="A188" s="333" t="s">
        <v>1889</v>
      </c>
      <c r="B188" s="333" t="s">
        <v>378</v>
      </c>
      <c r="C188" s="333" t="s">
        <v>1852</v>
      </c>
      <c r="D188" s="334">
        <f>신규_공량산출근거서_일위대가!K97</f>
        <v>3.5999999999999997E-2</v>
      </c>
      <c r="E188" s="370">
        <f>신규_단가대비표!O148</f>
        <v>0</v>
      </c>
      <c r="F188" s="361">
        <f t="shared" si="41"/>
        <v>0</v>
      </c>
      <c r="G188" s="370">
        <f>신규_단가대비표!P148</f>
        <v>139072.71924000001</v>
      </c>
      <c r="H188" s="361">
        <f t="shared" si="42"/>
        <v>5006.6000000000004</v>
      </c>
      <c r="I188" s="370">
        <f>신규_단가대비표!V148</f>
        <v>0</v>
      </c>
      <c r="J188" s="361">
        <f t="shared" si="43"/>
        <v>0</v>
      </c>
      <c r="K188" s="370">
        <f t="shared" si="44"/>
        <v>139072.70000000001</v>
      </c>
      <c r="L188" s="361">
        <f t="shared" si="44"/>
        <v>5006.6000000000004</v>
      </c>
      <c r="M188" s="333" t="s">
        <v>378</v>
      </c>
      <c r="N188" s="329" t="s">
        <v>1170</v>
      </c>
      <c r="O188" s="329" t="s">
        <v>2277</v>
      </c>
      <c r="P188" s="329" t="s">
        <v>1105</v>
      </c>
      <c r="Q188" s="329" t="s">
        <v>1105</v>
      </c>
      <c r="R188" s="329" t="s">
        <v>1104</v>
      </c>
      <c r="X188" s="330">
        <v>3</v>
      </c>
      <c r="AV188" s="329" t="s">
        <v>378</v>
      </c>
      <c r="AW188" s="329" t="s">
        <v>2429</v>
      </c>
      <c r="AX188" s="329" t="s">
        <v>378</v>
      </c>
      <c r="AY188" s="329" t="s">
        <v>378</v>
      </c>
    </row>
    <row r="189" spans="1:51" ht="30" customHeight="1">
      <c r="A189" s="333" t="s">
        <v>2392</v>
      </c>
      <c r="B189" s="333" t="s">
        <v>2279</v>
      </c>
      <c r="C189" s="333" t="s">
        <v>1852</v>
      </c>
      <c r="D189" s="334">
        <f>신규_공량산출근거서_일위대가!K98</f>
        <v>1.2E-2</v>
      </c>
      <c r="E189" s="370">
        <f>신규_단가대비표!O156</f>
        <v>0</v>
      </c>
      <c r="F189" s="361">
        <f t="shared" si="41"/>
        <v>0</v>
      </c>
      <c r="G189" s="370">
        <f>신규_단가대비표!P156</f>
        <v>351745.03637000005</v>
      </c>
      <c r="H189" s="361">
        <f t="shared" si="42"/>
        <v>4220.8999999999996</v>
      </c>
      <c r="I189" s="370">
        <f>신규_단가대비표!V156</f>
        <v>0</v>
      </c>
      <c r="J189" s="361">
        <f t="shared" si="43"/>
        <v>0</v>
      </c>
      <c r="K189" s="370">
        <f t="shared" si="44"/>
        <v>351745</v>
      </c>
      <c r="L189" s="361">
        <f t="shared" si="44"/>
        <v>4220.8999999999996</v>
      </c>
      <c r="M189" s="333" t="s">
        <v>378</v>
      </c>
      <c r="N189" s="329" t="s">
        <v>1170</v>
      </c>
      <c r="O189" s="329" t="s">
        <v>2393</v>
      </c>
      <c r="P189" s="329" t="s">
        <v>1105</v>
      </c>
      <c r="Q189" s="329" t="s">
        <v>1105</v>
      </c>
      <c r="R189" s="329" t="s">
        <v>1104</v>
      </c>
      <c r="X189" s="330">
        <v>3</v>
      </c>
      <c r="AV189" s="329" t="s">
        <v>378</v>
      </c>
      <c r="AW189" s="329" t="s">
        <v>2430</v>
      </c>
      <c r="AX189" s="329" t="s">
        <v>378</v>
      </c>
      <c r="AY189" s="329" t="s">
        <v>378</v>
      </c>
    </row>
    <row r="190" spans="1:51" ht="30" customHeight="1">
      <c r="A190" s="333" t="s">
        <v>2217</v>
      </c>
      <c r="B190" s="333" t="s">
        <v>2218</v>
      </c>
      <c r="C190" s="333" t="s">
        <v>212</v>
      </c>
      <c r="D190" s="334">
        <v>1</v>
      </c>
      <c r="E190" s="370">
        <f>TRUNC(SUMIF(X185:X190, RIGHTB(O190, 1), H185:H190)*U190, 2)</f>
        <v>276.82</v>
      </c>
      <c r="F190" s="361">
        <f t="shared" si="41"/>
        <v>276.8</v>
      </c>
      <c r="G190" s="370">
        <v>0</v>
      </c>
      <c r="H190" s="361">
        <f t="shared" si="42"/>
        <v>0</v>
      </c>
      <c r="I190" s="370">
        <v>0</v>
      </c>
      <c r="J190" s="361">
        <f t="shared" si="43"/>
        <v>0</v>
      </c>
      <c r="K190" s="370">
        <f t="shared" si="44"/>
        <v>276.8</v>
      </c>
      <c r="L190" s="361">
        <f t="shared" si="44"/>
        <v>276.8</v>
      </c>
      <c r="M190" s="333" t="s">
        <v>378</v>
      </c>
      <c r="N190" s="329" t="s">
        <v>1170</v>
      </c>
      <c r="O190" s="329" t="s">
        <v>2219</v>
      </c>
      <c r="P190" s="329" t="s">
        <v>1105</v>
      </c>
      <c r="Q190" s="329" t="s">
        <v>1105</v>
      </c>
      <c r="R190" s="329" t="s">
        <v>1105</v>
      </c>
      <c r="S190" s="330">
        <v>1</v>
      </c>
      <c r="T190" s="330">
        <v>0</v>
      </c>
      <c r="U190" s="330">
        <v>0.03</v>
      </c>
      <c r="AV190" s="329" t="s">
        <v>378</v>
      </c>
      <c r="AW190" s="329" t="s">
        <v>2431</v>
      </c>
      <c r="AX190" s="329" t="s">
        <v>378</v>
      </c>
      <c r="AY190" s="329" t="s">
        <v>378</v>
      </c>
    </row>
    <row r="191" spans="1:51" ht="30" customHeight="1">
      <c r="A191" s="333" t="s">
        <v>2224</v>
      </c>
      <c r="B191" s="333" t="s">
        <v>378</v>
      </c>
      <c r="C191" s="333" t="s">
        <v>378</v>
      </c>
      <c r="D191" s="334"/>
      <c r="E191" s="370"/>
      <c r="F191" s="361">
        <f>TRUNC(SUMIF(N185:N190, N184, F185:F190),0)</f>
        <v>2389</v>
      </c>
      <c r="G191" s="370"/>
      <c r="H191" s="361">
        <f>TRUNC(SUMIF(N185:N190, N184, H185:H190),0)</f>
        <v>9227</v>
      </c>
      <c r="I191" s="370"/>
      <c r="J191" s="361">
        <f>TRUNC(SUMIF(N185:N190, N184, J185:J190),0)</f>
        <v>0</v>
      </c>
      <c r="K191" s="370"/>
      <c r="L191" s="361">
        <f>F191+H191+J191</f>
        <v>11616</v>
      </c>
      <c r="M191" s="333" t="s">
        <v>378</v>
      </c>
      <c r="N191" s="329" t="s">
        <v>1197</v>
      </c>
      <c r="O191" s="329" t="s">
        <v>1197</v>
      </c>
      <c r="P191" s="329" t="s">
        <v>378</v>
      </c>
      <c r="Q191" s="329" t="s">
        <v>378</v>
      </c>
      <c r="R191" s="329" t="s">
        <v>378</v>
      </c>
      <c r="AV191" s="329" t="s">
        <v>378</v>
      </c>
      <c r="AW191" s="329" t="s">
        <v>378</v>
      </c>
      <c r="AX191" s="329" t="s">
        <v>378</v>
      </c>
      <c r="AY191" s="329" t="s">
        <v>378</v>
      </c>
    </row>
    <row r="192" spans="1:51" ht="30" customHeight="1">
      <c r="A192" s="334"/>
      <c r="B192" s="334"/>
      <c r="C192" s="334"/>
      <c r="D192" s="334"/>
      <c r="E192" s="370"/>
      <c r="F192" s="361"/>
      <c r="G192" s="370"/>
      <c r="H192" s="361"/>
      <c r="I192" s="370"/>
      <c r="J192" s="361"/>
      <c r="K192" s="370"/>
      <c r="L192" s="361"/>
      <c r="M192" s="334"/>
    </row>
    <row r="193" spans="1:51" ht="30" customHeight="1">
      <c r="A193" s="718" t="s">
        <v>2432</v>
      </c>
      <c r="B193" s="718"/>
      <c r="C193" s="718"/>
      <c r="D193" s="718"/>
      <c r="E193" s="719"/>
      <c r="F193" s="720"/>
      <c r="G193" s="719"/>
      <c r="H193" s="720"/>
      <c r="I193" s="719"/>
      <c r="J193" s="720"/>
      <c r="K193" s="719"/>
      <c r="L193" s="720"/>
      <c r="M193" s="718"/>
      <c r="N193" s="329" t="s">
        <v>1172</v>
      </c>
    </row>
    <row r="194" spans="1:51" ht="30" customHeight="1">
      <c r="A194" s="333" t="s">
        <v>2433</v>
      </c>
      <c r="B194" s="333" t="s">
        <v>2434</v>
      </c>
      <c r="C194" s="333" t="s">
        <v>343</v>
      </c>
      <c r="D194" s="334">
        <v>0.5</v>
      </c>
      <c r="E194" s="370">
        <f>신규_단가대비표!O36</f>
        <v>2415.4530400000003</v>
      </c>
      <c r="F194" s="361">
        <f>TRUNC(E194*D194,1)</f>
        <v>1207.7</v>
      </c>
      <c r="G194" s="370">
        <f>신규_단가대비표!P36</f>
        <v>21793</v>
      </c>
      <c r="H194" s="361">
        <f>TRUNC(G194*D194,1)</f>
        <v>10896.5</v>
      </c>
      <c r="I194" s="370">
        <f>신규_단가대비표!V36</f>
        <v>1783.25602</v>
      </c>
      <c r="J194" s="361">
        <f>TRUNC(I194*D194,1)</f>
        <v>891.6</v>
      </c>
      <c r="K194" s="370">
        <f t="shared" ref="K194:L196" si="45">TRUNC(E194+G194+I194,1)</f>
        <v>25991.7</v>
      </c>
      <c r="L194" s="361">
        <f t="shared" si="45"/>
        <v>12995.8</v>
      </c>
      <c r="M194" s="333" t="s">
        <v>378</v>
      </c>
      <c r="N194" s="329" t="s">
        <v>1172</v>
      </c>
      <c r="O194" s="329" t="s">
        <v>2435</v>
      </c>
      <c r="P194" s="329" t="s">
        <v>1105</v>
      </c>
      <c r="Q194" s="329" t="s">
        <v>1105</v>
      </c>
      <c r="R194" s="329" t="s">
        <v>1104</v>
      </c>
      <c r="AV194" s="329" t="s">
        <v>378</v>
      </c>
      <c r="AW194" s="329" t="s">
        <v>2436</v>
      </c>
      <c r="AX194" s="329" t="s">
        <v>378</v>
      </c>
      <c r="AY194" s="329" t="s">
        <v>378</v>
      </c>
    </row>
    <row r="195" spans="1:51" ht="30" customHeight="1">
      <c r="A195" s="333" t="s">
        <v>2437</v>
      </c>
      <c r="B195" s="333" t="s">
        <v>378</v>
      </c>
      <c r="C195" s="333" t="s">
        <v>2438</v>
      </c>
      <c r="D195" s="334">
        <v>3</v>
      </c>
      <c r="E195" s="370">
        <f>신규_단가대비표!O32</f>
        <v>10858.02809</v>
      </c>
      <c r="F195" s="361">
        <f>TRUNC(E195*D195,1)</f>
        <v>32574</v>
      </c>
      <c r="G195" s="370">
        <f>신규_단가대비표!P32</f>
        <v>31645</v>
      </c>
      <c r="H195" s="361">
        <f>TRUNC(G195*D195,1)</f>
        <v>94935</v>
      </c>
      <c r="I195" s="370">
        <f>신규_단가대비표!V32</f>
        <v>0</v>
      </c>
      <c r="J195" s="361">
        <f>TRUNC(I195*D195,1)</f>
        <v>0</v>
      </c>
      <c r="K195" s="370">
        <f t="shared" si="45"/>
        <v>42503</v>
      </c>
      <c r="L195" s="361">
        <f t="shared" si="45"/>
        <v>127509</v>
      </c>
      <c r="M195" s="333" t="s">
        <v>378</v>
      </c>
      <c r="N195" s="329" t="s">
        <v>1172</v>
      </c>
      <c r="O195" s="329" t="s">
        <v>2439</v>
      </c>
      <c r="P195" s="329" t="s">
        <v>1105</v>
      </c>
      <c r="Q195" s="329" t="s">
        <v>1105</v>
      </c>
      <c r="R195" s="329" t="s">
        <v>1104</v>
      </c>
      <c r="AV195" s="329" t="s">
        <v>378</v>
      </c>
      <c r="AW195" s="329" t="s">
        <v>2440</v>
      </c>
      <c r="AX195" s="329" t="s">
        <v>378</v>
      </c>
      <c r="AY195" s="329" t="s">
        <v>378</v>
      </c>
    </row>
    <row r="196" spans="1:51" ht="30" customHeight="1">
      <c r="A196" s="333" t="s">
        <v>2441</v>
      </c>
      <c r="B196" s="333" t="s">
        <v>2441</v>
      </c>
      <c r="C196" s="333" t="s">
        <v>343</v>
      </c>
      <c r="D196" s="334">
        <v>0.5</v>
      </c>
      <c r="E196" s="370">
        <f>신규_단가대비표!O27</f>
        <v>77209.495999999999</v>
      </c>
      <c r="F196" s="361">
        <f>TRUNC(E196*D196,1)</f>
        <v>38604.699999999997</v>
      </c>
      <c r="G196" s="370">
        <f>신규_단가대비표!P27</f>
        <v>0</v>
      </c>
      <c r="H196" s="361">
        <f>TRUNC(G196*D196,1)</f>
        <v>0</v>
      </c>
      <c r="I196" s="370">
        <f>신규_단가대비표!V27</f>
        <v>0</v>
      </c>
      <c r="J196" s="361">
        <f>TRUNC(I196*D196,1)</f>
        <v>0</v>
      </c>
      <c r="K196" s="370">
        <f t="shared" si="45"/>
        <v>77209.399999999994</v>
      </c>
      <c r="L196" s="361">
        <f t="shared" si="45"/>
        <v>38604.699999999997</v>
      </c>
      <c r="M196" s="333" t="s">
        <v>378</v>
      </c>
      <c r="N196" s="329" t="s">
        <v>1172</v>
      </c>
      <c r="O196" s="329" t="s">
        <v>2442</v>
      </c>
      <c r="P196" s="329" t="s">
        <v>1105</v>
      </c>
      <c r="Q196" s="329" t="s">
        <v>1105</v>
      </c>
      <c r="R196" s="329" t="s">
        <v>1104</v>
      </c>
      <c r="AV196" s="329" t="s">
        <v>378</v>
      </c>
      <c r="AW196" s="329" t="s">
        <v>2443</v>
      </c>
      <c r="AX196" s="329" t="s">
        <v>378</v>
      </c>
      <c r="AY196" s="329" t="s">
        <v>378</v>
      </c>
    </row>
    <row r="197" spans="1:51" ht="30" customHeight="1">
      <c r="A197" s="333" t="s">
        <v>2224</v>
      </c>
      <c r="B197" s="333" t="s">
        <v>378</v>
      </c>
      <c r="C197" s="333" t="s">
        <v>378</v>
      </c>
      <c r="D197" s="334"/>
      <c r="E197" s="370"/>
      <c r="F197" s="361">
        <f>TRUNC(SUMIF(N194:N196, N193, F194:F196),0)</f>
        <v>72386</v>
      </c>
      <c r="G197" s="370"/>
      <c r="H197" s="361">
        <f>TRUNC(SUMIF(N194:N196, N193, H194:H196),0)</f>
        <v>105831</v>
      </c>
      <c r="I197" s="370"/>
      <c r="J197" s="361">
        <f>TRUNC(SUMIF(N194:N196, N193, J194:J196),0)</f>
        <v>891</v>
      </c>
      <c r="K197" s="370"/>
      <c r="L197" s="361">
        <f>F197+H197+J197</f>
        <v>179108</v>
      </c>
      <c r="M197" s="333" t="s">
        <v>378</v>
      </c>
      <c r="N197" s="329" t="s">
        <v>1197</v>
      </c>
      <c r="O197" s="329" t="s">
        <v>1197</v>
      </c>
      <c r="P197" s="329" t="s">
        <v>378</v>
      </c>
      <c r="Q197" s="329" t="s">
        <v>378</v>
      </c>
      <c r="R197" s="329" t="s">
        <v>378</v>
      </c>
      <c r="AV197" s="329" t="s">
        <v>378</v>
      </c>
      <c r="AW197" s="329" t="s">
        <v>378</v>
      </c>
      <c r="AX197" s="329" t="s">
        <v>378</v>
      </c>
      <c r="AY197" s="329" t="s">
        <v>378</v>
      </c>
    </row>
    <row r="198" spans="1:51" ht="30" customHeight="1">
      <c r="A198" s="334"/>
      <c r="B198" s="334"/>
      <c r="C198" s="334"/>
      <c r="D198" s="334"/>
      <c r="E198" s="370"/>
      <c r="F198" s="361"/>
      <c r="G198" s="370"/>
      <c r="H198" s="361"/>
      <c r="I198" s="370"/>
      <c r="J198" s="361"/>
      <c r="K198" s="370"/>
      <c r="L198" s="361"/>
      <c r="M198" s="334"/>
    </row>
    <row r="199" spans="1:51" ht="30" customHeight="1">
      <c r="A199" s="718" t="s">
        <v>2444</v>
      </c>
      <c r="B199" s="718"/>
      <c r="C199" s="718"/>
      <c r="D199" s="718"/>
      <c r="E199" s="719"/>
      <c r="F199" s="720"/>
      <c r="G199" s="719"/>
      <c r="H199" s="720"/>
      <c r="I199" s="719"/>
      <c r="J199" s="720"/>
      <c r="K199" s="719"/>
      <c r="L199" s="720"/>
      <c r="M199" s="718"/>
      <c r="N199" s="329" t="s">
        <v>1175</v>
      </c>
    </row>
    <row r="200" spans="1:51" ht="30" customHeight="1">
      <c r="A200" s="333" t="s">
        <v>2445</v>
      </c>
      <c r="B200" s="333" t="s">
        <v>2446</v>
      </c>
      <c r="C200" s="333" t="s">
        <v>321</v>
      </c>
      <c r="D200" s="334">
        <v>1</v>
      </c>
      <c r="E200" s="370">
        <f>신규_단가대비표!O68</f>
        <v>0</v>
      </c>
      <c r="F200" s="361">
        <f>TRUNC(E200*D200,1)</f>
        <v>0</v>
      </c>
      <c r="G200" s="370">
        <f>신규_단가대비표!P68</f>
        <v>0</v>
      </c>
      <c r="H200" s="361">
        <f>TRUNC(G200*D200,1)</f>
        <v>0</v>
      </c>
      <c r="I200" s="370">
        <f>신규_단가대비표!V68</f>
        <v>0</v>
      </c>
      <c r="J200" s="361">
        <f>TRUNC(I200*D200,1)</f>
        <v>0</v>
      </c>
      <c r="K200" s="370">
        <f t="shared" ref="K200:L202" si="46">TRUNC(E200+G200+I200,1)</f>
        <v>0</v>
      </c>
      <c r="L200" s="361">
        <f t="shared" si="46"/>
        <v>0</v>
      </c>
      <c r="M200" s="333" t="s">
        <v>378</v>
      </c>
      <c r="N200" s="329" t="s">
        <v>1175</v>
      </c>
      <c r="O200" s="329" t="s">
        <v>2447</v>
      </c>
      <c r="P200" s="329" t="s">
        <v>1105</v>
      </c>
      <c r="Q200" s="329" t="s">
        <v>1105</v>
      </c>
      <c r="R200" s="329" t="s">
        <v>1104</v>
      </c>
      <c r="AV200" s="329" t="s">
        <v>378</v>
      </c>
      <c r="AW200" s="329" t="s">
        <v>2448</v>
      </c>
      <c r="AX200" s="329" t="s">
        <v>378</v>
      </c>
      <c r="AY200" s="329" t="s">
        <v>378</v>
      </c>
    </row>
    <row r="201" spans="1:51" ht="30" customHeight="1">
      <c r="A201" s="333" t="s">
        <v>2217</v>
      </c>
      <c r="B201" s="333" t="s">
        <v>2218</v>
      </c>
      <c r="C201" s="333" t="s">
        <v>212</v>
      </c>
      <c r="D201" s="334">
        <v>1</v>
      </c>
      <c r="E201" s="370">
        <f>TRUNC(SUMIF(V200:V202, RIGHTB(O201, 1), H200:H202)*U201, 2)</f>
        <v>6697.45</v>
      </c>
      <c r="F201" s="361">
        <f>TRUNC(E201*D201,1)</f>
        <v>6697.4</v>
      </c>
      <c r="G201" s="370">
        <v>0</v>
      </c>
      <c r="H201" s="361">
        <f>TRUNC(G201*D201,1)</f>
        <v>0</v>
      </c>
      <c r="I201" s="370">
        <v>0</v>
      </c>
      <c r="J201" s="361">
        <f>TRUNC(I201*D201,1)</f>
        <v>0</v>
      </c>
      <c r="K201" s="370">
        <f t="shared" si="46"/>
        <v>6697.4</v>
      </c>
      <c r="L201" s="361">
        <f t="shared" si="46"/>
        <v>6697.4</v>
      </c>
      <c r="M201" s="333" t="s">
        <v>378</v>
      </c>
      <c r="N201" s="329" t="s">
        <v>1175</v>
      </c>
      <c r="O201" s="329" t="s">
        <v>2211</v>
      </c>
      <c r="P201" s="329" t="s">
        <v>1105</v>
      </c>
      <c r="Q201" s="329" t="s">
        <v>1105</v>
      </c>
      <c r="R201" s="329" t="s">
        <v>1105</v>
      </c>
      <c r="S201" s="330">
        <v>1</v>
      </c>
      <c r="T201" s="330">
        <v>0</v>
      </c>
      <c r="U201" s="330">
        <v>0.03</v>
      </c>
      <c r="V201" s="330">
        <v>1</v>
      </c>
      <c r="AV201" s="329" t="s">
        <v>378</v>
      </c>
      <c r="AW201" s="329" t="s">
        <v>2449</v>
      </c>
      <c r="AX201" s="329" t="s">
        <v>378</v>
      </c>
      <c r="AY201" s="329" t="s">
        <v>378</v>
      </c>
    </row>
    <row r="202" spans="1:51" ht="30" customHeight="1">
      <c r="A202" s="333" t="s">
        <v>1851</v>
      </c>
      <c r="B202" s="333" t="s">
        <v>2221</v>
      </c>
      <c r="C202" s="333" t="s">
        <v>1852</v>
      </c>
      <c r="D202" s="334">
        <f>신규_공량산출근거서_일위대가!K101</f>
        <v>0.95</v>
      </c>
      <c r="E202" s="370">
        <f>신규_단가대비표!O154</f>
        <v>0</v>
      </c>
      <c r="F202" s="361">
        <f>TRUNC(E202*D202,1)</f>
        <v>0</v>
      </c>
      <c r="G202" s="370">
        <f>신규_단가대비표!P154</f>
        <v>234998.43458</v>
      </c>
      <c r="H202" s="361">
        <f>TRUNC(G202*D202,1)</f>
        <v>223248.5</v>
      </c>
      <c r="I202" s="370">
        <f>신규_단가대비표!V154</f>
        <v>0</v>
      </c>
      <c r="J202" s="361">
        <f>TRUNC(I202*D202,1)</f>
        <v>0</v>
      </c>
      <c r="K202" s="370">
        <f t="shared" si="46"/>
        <v>234998.39999999999</v>
      </c>
      <c r="L202" s="361">
        <f t="shared" si="46"/>
        <v>223248.5</v>
      </c>
      <c r="M202" s="333" t="s">
        <v>378</v>
      </c>
      <c r="N202" s="329" t="s">
        <v>1175</v>
      </c>
      <c r="O202" s="329" t="s">
        <v>2222</v>
      </c>
      <c r="P202" s="329" t="s">
        <v>1105</v>
      </c>
      <c r="Q202" s="329" t="s">
        <v>1105</v>
      </c>
      <c r="R202" s="329" t="s">
        <v>1104</v>
      </c>
      <c r="V202" s="330">
        <v>1</v>
      </c>
      <c r="AV202" s="329" t="s">
        <v>378</v>
      </c>
      <c r="AW202" s="329" t="s">
        <v>2450</v>
      </c>
      <c r="AX202" s="329" t="s">
        <v>378</v>
      </c>
      <c r="AY202" s="329" t="s">
        <v>378</v>
      </c>
    </row>
    <row r="203" spans="1:51" ht="30" customHeight="1">
      <c r="A203" s="333" t="s">
        <v>2224</v>
      </c>
      <c r="B203" s="333" t="s">
        <v>378</v>
      </c>
      <c r="C203" s="333" t="s">
        <v>378</v>
      </c>
      <c r="D203" s="334"/>
      <c r="E203" s="370"/>
      <c r="F203" s="361">
        <f>TRUNC(SUMIF(N200:N202, N199, F200:F202),0)</f>
        <v>6697</v>
      </c>
      <c r="G203" s="370"/>
      <c r="H203" s="361">
        <f>TRUNC(SUMIF(N200:N202, N199, H200:H202),0)</f>
        <v>223248</v>
      </c>
      <c r="I203" s="370"/>
      <c r="J203" s="361">
        <f>TRUNC(SUMIF(N200:N202, N199, J200:J202),0)</f>
        <v>0</v>
      </c>
      <c r="K203" s="370"/>
      <c r="L203" s="361">
        <f>F203+H203+J203</f>
        <v>229945</v>
      </c>
      <c r="M203" s="333" t="s">
        <v>378</v>
      </c>
      <c r="N203" s="329" t="s">
        <v>1197</v>
      </c>
      <c r="O203" s="329" t="s">
        <v>1197</v>
      </c>
      <c r="P203" s="329" t="s">
        <v>378</v>
      </c>
      <c r="Q203" s="329" t="s">
        <v>378</v>
      </c>
      <c r="R203" s="329" t="s">
        <v>378</v>
      </c>
      <c r="AV203" s="329" t="s">
        <v>378</v>
      </c>
      <c r="AW203" s="329" t="s">
        <v>378</v>
      </c>
      <c r="AX203" s="329" t="s">
        <v>378</v>
      </c>
      <c r="AY203" s="329" t="s">
        <v>378</v>
      </c>
    </row>
    <row r="204" spans="1:51" ht="30" customHeight="1">
      <c r="A204" s="334"/>
      <c r="B204" s="334"/>
      <c r="C204" s="334"/>
      <c r="D204" s="334"/>
      <c r="E204" s="370"/>
      <c r="F204" s="361"/>
      <c r="G204" s="370"/>
      <c r="H204" s="361"/>
      <c r="I204" s="370"/>
      <c r="J204" s="361"/>
      <c r="K204" s="370"/>
      <c r="L204" s="361"/>
      <c r="M204" s="334"/>
    </row>
    <row r="205" spans="1:51" ht="30" customHeight="1">
      <c r="A205" s="718" t="s">
        <v>2451</v>
      </c>
      <c r="B205" s="718"/>
      <c r="C205" s="718"/>
      <c r="D205" s="718"/>
      <c r="E205" s="719"/>
      <c r="F205" s="720"/>
      <c r="G205" s="719"/>
      <c r="H205" s="720"/>
      <c r="I205" s="719"/>
      <c r="J205" s="720"/>
      <c r="K205" s="719"/>
      <c r="L205" s="720"/>
      <c r="M205" s="718"/>
      <c r="N205" s="329" t="s">
        <v>1178</v>
      </c>
    </row>
    <row r="206" spans="1:51" ht="30" customHeight="1">
      <c r="A206" s="333" t="s">
        <v>2452</v>
      </c>
      <c r="B206" s="333" t="s">
        <v>2453</v>
      </c>
      <c r="C206" s="333" t="s">
        <v>321</v>
      </c>
      <c r="D206" s="334">
        <v>1</v>
      </c>
      <c r="E206" s="370">
        <f>신규_단가대비표!O69</f>
        <v>0</v>
      </c>
      <c r="F206" s="361">
        <f>TRUNC(E206*D206,1)</f>
        <v>0</v>
      </c>
      <c r="G206" s="370">
        <f>신규_단가대비표!P69</f>
        <v>0</v>
      </c>
      <c r="H206" s="361">
        <f>TRUNC(G206*D206,1)</f>
        <v>0</v>
      </c>
      <c r="I206" s="370">
        <f>신규_단가대비표!V69</f>
        <v>0</v>
      </c>
      <c r="J206" s="361">
        <f>TRUNC(I206*D206,1)</f>
        <v>0</v>
      </c>
      <c r="K206" s="370">
        <f t="shared" ref="K206:L208" si="47">TRUNC(E206+G206+I206,1)</f>
        <v>0</v>
      </c>
      <c r="L206" s="361">
        <f t="shared" si="47"/>
        <v>0</v>
      </c>
      <c r="M206" s="333" t="s">
        <v>378</v>
      </c>
      <c r="N206" s="329" t="s">
        <v>1178</v>
      </c>
      <c r="O206" s="329" t="s">
        <v>2454</v>
      </c>
      <c r="P206" s="329" t="s">
        <v>1105</v>
      </c>
      <c r="Q206" s="329" t="s">
        <v>1105</v>
      </c>
      <c r="R206" s="329" t="s">
        <v>1104</v>
      </c>
      <c r="AV206" s="329" t="s">
        <v>378</v>
      </c>
      <c r="AW206" s="329" t="s">
        <v>2455</v>
      </c>
      <c r="AX206" s="329" t="s">
        <v>378</v>
      </c>
      <c r="AY206" s="329" t="s">
        <v>378</v>
      </c>
    </row>
    <row r="207" spans="1:51" ht="30" customHeight="1">
      <c r="A207" s="333" t="s">
        <v>2217</v>
      </c>
      <c r="B207" s="333" t="s">
        <v>2218</v>
      </c>
      <c r="C207" s="333" t="s">
        <v>212</v>
      </c>
      <c r="D207" s="334">
        <v>1</v>
      </c>
      <c r="E207" s="370">
        <f>TRUNC(SUMIF(V206:V208, RIGHTB(O207, 1), H206:H208)*U207, 2)</f>
        <v>8671.44</v>
      </c>
      <c r="F207" s="361">
        <f>TRUNC(E207*D207,1)</f>
        <v>8671.4</v>
      </c>
      <c r="G207" s="370">
        <v>0</v>
      </c>
      <c r="H207" s="361">
        <f>TRUNC(G207*D207,1)</f>
        <v>0</v>
      </c>
      <c r="I207" s="370">
        <v>0</v>
      </c>
      <c r="J207" s="361">
        <f>TRUNC(I207*D207,1)</f>
        <v>0</v>
      </c>
      <c r="K207" s="370">
        <f t="shared" si="47"/>
        <v>8671.4</v>
      </c>
      <c r="L207" s="361">
        <f t="shared" si="47"/>
        <v>8671.4</v>
      </c>
      <c r="M207" s="333" t="s">
        <v>378</v>
      </c>
      <c r="N207" s="329" t="s">
        <v>1178</v>
      </c>
      <c r="O207" s="329" t="s">
        <v>2211</v>
      </c>
      <c r="P207" s="329" t="s">
        <v>1105</v>
      </c>
      <c r="Q207" s="329" t="s">
        <v>1105</v>
      </c>
      <c r="R207" s="329" t="s">
        <v>1105</v>
      </c>
      <c r="S207" s="330">
        <v>1</v>
      </c>
      <c r="T207" s="330">
        <v>0</v>
      </c>
      <c r="U207" s="330">
        <v>0.03</v>
      </c>
      <c r="V207" s="330">
        <v>1</v>
      </c>
      <c r="AV207" s="329" t="s">
        <v>378</v>
      </c>
      <c r="AW207" s="329" t="s">
        <v>2456</v>
      </c>
      <c r="AX207" s="329" t="s">
        <v>378</v>
      </c>
      <c r="AY207" s="329" t="s">
        <v>378</v>
      </c>
    </row>
    <row r="208" spans="1:51" ht="30" customHeight="1">
      <c r="A208" s="333" t="s">
        <v>1851</v>
      </c>
      <c r="B208" s="333" t="s">
        <v>2221</v>
      </c>
      <c r="C208" s="333" t="s">
        <v>1852</v>
      </c>
      <c r="D208" s="334">
        <f>신규_공량산출근거서_일위대가!K104</f>
        <v>1.23</v>
      </c>
      <c r="E208" s="370">
        <f>신규_단가대비표!O154</f>
        <v>0</v>
      </c>
      <c r="F208" s="361">
        <f>TRUNC(E208*D208,1)</f>
        <v>0</v>
      </c>
      <c r="G208" s="370">
        <f>신규_단가대비표!P154</f>
        <v>234998.43458</v>
      </c>
      <c r="H208" s="361">
        <f>TRUNC(G208*D208,1)</f>
        <v>289048</v>
      </c>
      <c r="I208" s="370">
        <f>신규_단가대비표!V154</f>
        <v>0</v>
      </c>
      <c r="J208" s="361">
        <f>TRUNC(I208*D208,1)</f>
        <v>0</v>
      </c>
      <c r="K208" s="370">
        <f t="shared" si="47"/>
        <v>234998.39999999999</v>
      </c>
      <c r="L208" s="361">
        <f t="shared" si="47"/>
        <v>289048</v>
      </c>
      <c r="M208" s="333" t="s">
        <v>378</v>
      </c>
      <c r="N208" s="329" t="s">
        <v>1178</v>
      </c>
      <c r="O208" s="329" t="s">
        <v>2222</v>
      </c>
      <c r="P208" s="329" t="s">
        <v>1105</v>
      </c>
      <c r="Q208" s="329" t="s">
        <v>1105</v>
      </c>
      <c r="R208" s="329" t="s">
        <v>1104</v>
      </c>
      <c r="V208" s="330">
        <v>1</v>
      </c>
      <c r="AV208" s="329" t="s">
        <v>378</v>
      </c>
      <c r="AW208" s="329" t="s">
        <v>2457</v>
      </c>
      <c r="AX208" s="329" t="s">
        <v>378</v>
      </c>
      <c r="AY208" s="329" t="s">
        <v>378</v>
      </c>
    </row>
    <row r="209" spans="1:51" ht="30" customHeight="1">
      <c r="A209" s="333" t="s">
        <v>2224</v>
      </c>
      <c r="B209" s="333" t="s">
        <v>378</v>
      </c>
      <c r="C209" s="333" t="s">
        <v>378</v>
      </c>
      <c r="D209" s="334"/>
      <c r="E209" s="370"/>
      <c r="F209" s="361">
        <f>TRUNC(SUMIF(N206:N208, N205, F206:F208),0)</f>
        <v>8671</v>
      </c>
      <c r="G209" s="370"/>
      <c r="H209" s="361">
        <f>TRUNC(SUMIF(N206:N208, N205, H206:H208),0)</f>
        <v>289048</v>
      </c>
      <c r="I209" s="370"/>
      <c r="J209" s="361">
        <f>TRUNC(SUMIF(N206:N208, N205, J206:J208),0)</f>
        <v>0</v>
      </c>
      <c r="K209" s="370"/>
      <c r="L209" s="361">
        <f>F209+H209+J209</f>
        <v>297719</v>
      </c>
      <c r="M209" s="333" t="s">
        <v>378</v>
      </c>
      <c r="N209" s="329" t="s">
        <v>1197</v>
      </c>
      <c r="O209" s="329" t="s">
        <v>1197</v>
      </c>
      <c r="P209" s="329" t="s">
        <v>378</v>
      </c>
      <c r="Q209" s="329" t="s">
        <v>378</v>
      </c>
      <c r="R209" s="329" t="s">
        <v>378</v>
      </c>
      <c r="AV209" s="329" t="s">
        <v>378</v>
      </c>
      <c r="AW209" s="329" t="s">
        <v>378</v>
      </c>
      <c r="AX209" s="329" t="s">
        <v>378</v>
      </c>
      <c r="AY209" s="329" t="s">
        <v>378</v>
      </c>
    </row>
    <row r="210" spans="1:51" ht="30" customHeight="1">
      <c r="A210" s="334"/>
      <c r="B210" s="334"/>
      <c r="C210" s="334"/>
      <c r="D210" s="334"/>
      <c r="E210" s="370"/>
      <c r="F210" s="361"/>
      <c r="G210" s="370"/>
      <c r="H210" s="361"/>
      <c r="I210" s="370"/>
      <c r="J210" s="361"/>
      <c r="K210" s="370"/>
      <c r="L210" s="361"/>
      <c r="M210" s="334"/>
    </row>
    <row r="211" spans="1:51" ht="30" customHeight="1">
      <c r="A211" s="718" t="s">
        <v>2458</v>
      </c>
      <c r="B211" s="718"/>
      <c r="C211" s="718"/>
      <c r="D211" s="718"/>
      <c r="E211" s="719"/>
      <c r="F211" s="720"/>
      <c r="G211" s="719"/>
      <c r="H211" s="720"/>
      <c r="I211" s="719"/>
      <c r="J211" s="720"/>
      <c r="K211" s="719"/>
      <c r="L211" s="720"/>
      <c r="M211" s="718"/>
      <c r="N211" s="329" t="s">
        <v>1181</v>
      </c>
    </row>
    <row r="212" spans="1:51" ht="30" customHeight="1">
      <c r="A212" s="333" t="s">
        <v>2459</v>
      </c>
      <c r="B212" s="333" t="s">
        <v>386</v>
      </c>
      <c r="C212" s="333" t="s">
        <v>321</v>
      </c>
      <c r="D212" s="334">
        <v>1</v>
      </c>
      <c r="E212" s="370">
        <f>신규_단가대비표!O78</f>
        <v>3099005</v>
      </c>
      <c r="F212" s="361">
        <f>TRUNC(E212*D212,1)</f>
        <v>3099005</v>
      </c>
      <c r="G212" s="370">
        <f>신규_단가대비표!P78</f>
        <v>0</v>
      </c>
      <c r="H212" s="361">
        <f>TRUNC(G212*D212,1)</f>
        <v>0</v>
      </c>
      <c r="I212" s="370">
        <f>신규_단가대비표!V78</f>
        <v>0</v>
      </c>
      <c r="J212" s="361">
        <f>TRUNC(I212*D212,1)</f>
        <v>0</v>
      </c>
      <c r="K212" s="370">
        <f t="shared" ref="K212:L214" si="48">TRUNC(E212+G212+I212,1)</f>
        <v>3099005</v>
      </c>
      <c r="L212" s="361">
        <f t="shared" si="48"/>
        <v>3099005</v>
      </c>
      <c r="M212" s="333" t="s">
        <v>378</v>
      </c>
      <c r="N212" s="329" t="s">
        <v>1181</v>
      </c>
      <c r="O212" s="329" t="s">
        <v>2460</v>
      </c>
      <c r="P212" s="329" t="s">
        <v>1105</v>
      </c>
      <c r="Q212" s="329" t="s">
        <v>1105</v>
      </c>
      <c r="R212" s="329" t="s">
        <v>1104</v>
      </c>
      <c r="AV212" s="329" t="s">
        <v>378</v>
      </c>
      <c r="AW212" s="329" t="s">
        <v>2461</v>
      </c>
      <c r="AX212" s="329" t="s">
        <v>378</v>
      </c>
      <c r="AY212" s="329" t="s">
        <v>378</v>
      </c>
    </row>
    <row r="213" spans="1:51" ht="30" customHeight="1">
      <c r="A213" s="333" t="s">
        <v>1851</v>
      </c>
      <c r="B213" s="333" t="s">
        <v>2221</v>
      </c>
      <c r="C213" s="333" t="s">
        <v>1852</v>
      </c>
      <c r="D213" s="334">
        <f>신규_공량산출근거서_일위대가!K107</f>
        <v>0.95</v>
      </c>
      <c r="E213" s="370">
        <f>신규_단가대비표!O154</f>
        <v>0</v>
      </c>
      <c r="F213" s="361">
        <f>TRUNC(E213*D213,1)</f>
        <v>0</v>
      </c>
      <c r="G213" s="370">
        <f>신규_단가대비표!P154</f>
        <v>234998.43458</v>
      </c>
      <c r="H213" s="361">
        <f>TRUNC(G213*D213,1)</f>
        <v>223248.5</v>
      </c>
      <c r="I213" s="370">
        <f>신규_단가대비표!V154</f>
        <v>0</v>
      </c>
      <c r="J213" s="361">
        <f>TRUNC(I213*D213,1)</f>
        <v>0</v>
      </c>
      <c r="K213" s="370">
        <f t="shared" si="48"/>
        <v>234998.39999999999</v>
      </c>
      <c r="L213" s="361">
        <f t="shared" si="48"/>
        <v>223248.5</v>
      </c>
      <c r="M213" s="333" t="s">
        <v>378</v>
      </c>
      <c r="N213" s="329" t="s">
        <v>1181</v>
      </c>
      <c r="O213" s="329" t="s">
        <v>2222</v>
      </c>
      <c r="P213" s="329" t="s">
        <v>1105</v>
      </c>
      <c r="Q213" s="329" t="s">
        <v>1105</v>
      </c>
      <c r="R213" s="329" t="s">
        <v>1104</v>
      </c>
      <c r="V213" s="330">
        <v>1</v>
      </c>
      <c r="AV213" s="329" t="s">
        <v>378</v>
      </c>
      <c r="AW213" s="329" t="s">
        <v>2462</v>
      </c>
      <c r="AX213" s="329" t="s">
        <v>378</v>
      </c>
      <c r="AY213" s="329" t="s">
        <v>378</v>
      </c>
    </row>
    <row r="214" spans="1:51" ht="30" customHeight="1">
      <c r="A214" s="333" t="s">
        <v>2217</v>
      </c>
      <c r="B214" s="333" t="s">
        <v>2218</v>
      </c>
      <c r="C214" s="333" t="s">
        <v>212</v>
      </c>
      <c r="D214" s="334">
        <v>1</v>
      </c>
      <c r="E214" s="370">
        <f>TRUNC(SUMIF(V212:V214, RIGHTB(O214, 1), H212:H214)*U214, 2)</f>
        <v>6697.45</v>
      </c>
      <c r="F214" s="361">
        <f>TRUNC(E214*D214,1)</f>
        <v>6697.4</v>
      </c>
      <c r="G214" s="370">
        <v>0</v>
      </c>
      <c r="H214" s="361">
        <f>TRUNC(G214*D214,1)</f>
        <v>0</v>
      </c>
      <c r="I214" s="370">
        <v>0</v>
      </c>
      <c r="J214" s="361">
        <f>TRUNC(I214*D214,1)</f>
        <v>0</v>
      </c>
      <c r="K214" s="370">
        <f t="shared" si="48"/>
        <v>6697.4</v>
      </c>
      <c r="L214" s="361">
        <f t="shared" si="48"/>
        <v>6697.4</v>
      </c>
      <c r="M214" s="333" t="s">
        <v>378</v>
      </c>
      <c r="N214" s="329" t="s">
        <v>1181</v>
      </c>
      <c r="O214" s="329" t="s">
        <v>2211</v>
      </c>
      <c r="P214" s="329" t="s">
        <v>1105</v>
      </c>
      <c r="Q214" s="329" t="s">
        <v>1105</v>
      </c>
      <c r="R214" s="329" t="s">
        <v>1105</v>
      </c>
      <c r="S214" s="330">
        <v>1</v>
      </c>
      <c r="T214" s="330">
        <v>0</v>
      </c>
      <c r="U214" s="330">
        <v>0.03</v>
      </c>
      <c r="V214" s="330">
        <v>1</v>
      </c>
      <c r="AV214" s="329" t="s">
        <v>378</v>
      </c>
      <c r="AW214" s="329" t="s">
        <v>2463</v>
      </c>
      <c r="AX214" s="329" t="s">
        <v>378</v>
      </c>
      <c r="AY214" s="329" t="s">
        <v>378</v>
      </c>
    </row>
    <row r="215" spans="1:51" ht="30" customHeight="1">
      <c r="A215" s="333" t="s">
        <v>2224</v>
      </c>
      <c r="B215" s="333" t="s">
        <v>378</v>
      </c>
      <c r="C215" s="333" t="s">
        <v>378</v>
      </c>
      <c r="D215" s="334"/>
      <c r="E215" s="370"/>
      <c r="F215" s="361">
        <f>TRUNC(SUMIF(N212:N214, N211, F212:F214),0)</f>
        <v>3105702</v>
      </c>
      <c r="G215" s="370"/>
      <c r="H215" s="361">
        <f>TRUNC(SUMIF(N212:N214, N211, H212:H214),0)</f>
        <v>223248</v>
      </c>
      <c r="I215" s="370"/>
      <c r="J215" s="361">
        <f>TRUNC(SUMIF(N212:N214, N211, J212:J214),0)</f>
        <v>0</v>
      </c>
      <c r="K215" s="370"/>
      <c r="L215" s="361">
        <f>F215+H215+J215</f>
        <v>3328950</v>
      </c>
      <c r="M215" s="333" t="s">
        <v>378</v>
      </c>
      <c r="N215" s="329" t="s">
        <v>1197</v>
      </c>
      <c r="O215" s="329" t="s">
        <v>1197</v>
      </c>
      <c r="P215" s="329" t="s">
        <v>378</v>
      </c>
      <c r="Q215" s="329" t="s">
        <v>378</v>
      </c>
      <c r="R215" s="329" t="s">
        <v>378</v>
      </c>
      <c r="AV215" s="329" t="s">
        <v>378</v>
      </c>
      <c r="AW215" s="329" t="s">
        <v>378</v>
      </c>
      <c r="AX215" s="329" t="s">
        <v>378</v>
      </c>
      <c r="AY215" s="329" t="s">
        <v>378</v>
      </c>
    </row>
    <row r="216" spans="1:51" ht="30" customHeight="1">
      <c r="A216" s="334"/>
      <c r="B216" s="334"/>
      <c r="C216" s="334"/>
      <c r="D216" s="334"/>
      <c r="E216" s="370"/>
      <c r="F216" s="361"/>
      <c r="G216" s="370"/>
      <c r="H216" s="361"/>
      <c r="I216" s="370"/>
      <c r="J216" s="361"/>
      <c r="K216" s="370"/>
      <c r="L216" s="361"/>
      <c r="M216" s="334"/>
    </row>
    <row r="217" spans="1:51" ht="30" customHeight="1">
      <c r="A217" s="718" t="s">
        <v>2464</v>
      </c>
      <c r="B217" s="718"/>
      <c r="C217" s="718"/>
      <c r="D217" s="718"/>
      <c r="E217" s="719"/>
      <c r="F217" s="720"/>
      <c r="G217" s="719"/>
      <c r="H217" s="720"/>
      <c r="I217" s="719"/>
      <c r="J217" s="720"/>
      <c r="K217" s="719"/>
      <c r="L217" s="720"/>
      <c r="M217" s="718"/>
      <c r="N217" s="329" t="s">
        <v>1184</v>
      </c>
    </row>
    <row r="218" spans="1:51" ht="30" customHeight="1">
      <c r="A218" s="333" t="s">
        <v>2465</v>
      </c>
      <c r="B218" s="333" t="s">
        <v>320</v>
      </c>
      <c r="C218" s="333" t="s">
        <v>321</v>
      </c>
      <c r="D218" s="334">
        <v>1</v>
      </c>
      <c r="E218" s="370">
        <f>신규_단가대비표!O70</f>
        <v>0</v>
      </c>
      <c r="F218" s="361">
        <f>TRUNC(E218*D218,1)</f>
        <v>0</v>
      </c>
      <c r="G218" s="370">
        <f>신규_단가대비표!P70</f>
        <v>0</v>
      </c>
      <c r="H218" s="361">
        <f>TRUNC(G218*D218,1)</f>
        <v>0</v>
      </c>
      <c r="I218" s="370">
        <f>신규_단가대비표!V70</f>
        <v>0</v>
      </c>
      <c r="J218" s="361">
        <f>TRUNC(I218*D218,1)</f>
        <v>0</v>
      </c>
      <c r="K218" s="370">
        <f t="shared" ref="K218:L220" si="49">TRUNC(E218+G218+I218,1)</f>
        <v>0</v>
      </c>
      <c r="L218" s="361">
        <f t="shared" si="49"/>
        <v>0</v>
      </c>
      <c r="M218" s="333" t="s">
        <v>378</v>
      </c>
      <c r="N218" s="329" t="s">
        <v>1184</v>
      </c>
      <c r="O218" s="329" t="s">
        <v>2466</v>
      </c>
      <c r="P218" s="329" t="s">
        <v>1105</v>
      </c>
      <c r="Q218" s="329" t="s">
        <v>1105</v>
      </c>
      <c r="R218" s="329" t="s">
        <v>1104</v>
      </c>
      <c r="AV218" s="329" t="s">
        <v>378</v>
      </c>
      <c r="AW218" s="329" t="s">
        <v>2467</v>
      </c>
      <c r="AX218" s="329" t="s">
        <v>378</v>
      </c>
      <c r="AY218" s="329" t="s">
        <v>378</v>
      </c>
    </row>
    <row r="219" spans="1:51" ht="30" customHeight="1">
      <c r="A219" s="333" t="s">
        <v>2217</v>
      </c>
      <c r="B219" s="333" t="s">
        <v>2218</v>
      </c>
      <c r="C219" s="333" t="s">
        <v>212</v>
      </c>
      <c r="D219" s="334">
        <v>1</v>
      </c>
      <c r="E219" s="370">
        <f>TRUNC(SUMIF(V218:V220, RIGHTB(O219, 1), H218:H220)*U219, 2)</f>
        <v>7190.95</v>
      </c>
      <c r="F219" s="361">
        <f>TRUNC(E219*D219,1)</f>
        <v>7190.9</v>
      </c>
      <c r="G219" s="370">
        <v>0</v>
      </c>
      <c r="H219" s="361">
        <f>TRUNC(G219*D219,1)</f>
        <v>0</v>
      </c>
      <c r="I219" s="370">
        <v>0</v>
      </c>
      <c r="J219" s="361">
        <f>TRUNC(I219*D219,1)</f>
        <v>0</v>
      </c>
      <c r="K219" s="370">
        <f t="shared" si="49"/>
        <v>7190.9</v>
      </c>
      <c r="L219" s="361">
        <f t="shared" si="49"/>
        <v>7190.9</v>
      </c>
      <c r="M219" s="333" t="s">
        <v>378</v>
      </c>
      <c r="N219" s="329" t="s">
        <v>1184</v>
      </c>
      <c r="O219" s="329" t="s">
        <v>2211</v>
      </c>
      <c r="P219" s="329" t="s">
        <v>1105</v>
      </c>
      <c r="Q219" s="329" t="s">
        <v>1105</v>
      </c>
      <c r="R219" s="329" t="s">
        <v>1105</v>
      </c>
      <c r="S219" s="330">
        <v>1</v>
      </c>
      <c r="T219" s="330">
        <v>0</v>
      </c>
      <c r="U219" s="330">
        <v>0.03</v>
      </c>
      <c r="V219" s="330">
        <v>1</v>
      </c>
      <c r="AV219" s="329" t="s">
        <v>378</v>
      </c>
      <c r="AW219" s="329" t="s">
        <v>2468</v>
      </c>
      <c r="AX219" s="329" t="s">
        <v>378</v>
      </c>
      <c r="AY219" s="329" t="s">
        <v>378</v>
      </c>
    </row>
    <row r="220" spans="1:51" ht="30" customHeight="1">
      <c r="A220" s="333" t="s">
        <v>1851</v>
      </c>
      <c r="B220" s="333" t="s">
        <v>2221</v>
      </c>
      <c r="C220" s="333" t="s">
        <v>1852</v>
      </c>
      <c r="D220" s="334">
        <f>신규_공량산출근거서_일위대가!K110</f>
        <v>1.02</v>
      </c>
      <c r="E220" s="370">
        <f>신규_단가대비표!O154</f>
        <v>0</v>
      </c>
      <c r="F220" s="361">
        <f>TRUNC(E220*D220,1)</f>
        <v>0</v>
      </c>
      <c r="G220" s="370">
        <f>신규_단가대비표!P154</f>
        <v>234998.43458</v>
      </c>
      <c r="H220" s="361">
        <f>TRUNC(G220*D220,1)</f>
        <v>239698.4</v>
      </c>
      <c r="I220" s="370">
        <f>신규_단가대비표!V154</f>
        <v>0</v>
      </c>
      <c r="J220" s="361">
        <f>TRUNC(I220*D220,1)</f>
        <v>0</v>
      </c>
      <c r="K220" s="370">
        <f t="shared" si="49"/>
        <v>234998.39999999999</v>
      </c>
      <c r="L220" s="361">
        <f t="shared" si="49"/>
        <v>239698.4</v>
      </c>
      <c r="M220" s="333" t="s">
        <v>378</v>
      </c>
      <c r="N220" s="329" t="s">
        <v>1184</v>
      </c>
      <c r="O220" s="329" t="s">
        <v>2222</v>
      </c>
      <c r="P220" s="329" t="s">
        <v>1105</v>
      </c>
      <c r="Q220" s="329" t="s">
        <v>1105</v>
      </c>
      <c r="R220" s="329" t="s">
        <v>1104</v>
      </c>
      <c r="V220" s="330">
        <v>1</v>
      </c>
      <c r="AV220" s="329" t="s">
        <v>378</v>
      </c>
      <c r="AW220" s="329" t="s">
        <v>2469</v>
      </c>
      <c r="AX220" s="329" t="s">
        <v>378</v>
      </c>
      <c r="AY220" s="329" t="s">
        <v>378</v>
      </c>
    </row>
    <row r="221" spans="1:51" ht="30" customHeight="1">
      <c r="A221" s="333" t="s">
        <v>2224</v>
      </c>
      <c r="B221" s="333" t="s">
        <v>378</v>
      </c>
      <c r="C221" s="333" t="s">
        <v>378</v>
      </c>
      <c r="D221" s="334"/>
      <c r="E221" s="370"/>
      <c r="F221" s="361">
        <f>TRUNC(SUMIF(N218:N220, N217, F218:F220),0)</f>
        <v>7190</v>
      </c>
      <c r="G221" s="370"/>
      <c r="H221" s="361">
        <f>TRUNC(SUMIF(N218:N220, N217, H218:H220),0)</f>
        <v>239698</v>
      </c>
      <c r="I221" s="370"/>
      <c r="J221" s="361">
        <f>TRUNC(SUMIF(N218:N220, N217, J218:J220),0)</f>
        <v>0</v>
      </c>
      <c r="K221" s="370"/>
      <c r="L221" s="361">
        <f>F221+H221+J221</f>
        <v>246888</v>
      </c>
      <c r="M221" s="333" t="s">
        <v>378</v>
      </c>
      <c r="N221" s="329" t="s">
        <v>1197</v>
      </c>
      <c r="O221" s="329" t="s">
        <v>1197</v>
      </c>
      <c r="P221" s="329" t="s">
        <v>378</v>
      </c>
      <c r="Q221" s="329" t="s">
        <v>378</v>
      </c>
      <c r="R221" s="329" t="s">
        <v>378</v>
      </c>
      <c r="AV221" s="329" t="s">
        <v>378</v>
      </c>
      <c r="AW221" s="329" t="s">
        <v>378</v>
      </c>
      <c r="AX221" s="329" t="s">
        <v>378</v>
      </c>
      <c r="AY221" s="329" t="s">
        <v>378</v>
      </c>
    </row>
    <row r="222" spans="1:51" ht="30" customHeight="1">
      <c r="A222" s="334"/>
      <c r="B222" s="334"/>
      <c r="C222" s="334"/>
      <c r="D222" s="334"/>
      <c r="E222" s="370"/>
      <c r="F222" s="361"/>
      <c r="G222" s="370"/>
      <c r="H222" s="361"/>
      <c r="I222" s="370"/>
      <c r="J222" s="361"/>
      <c r="K222" s="370"/>
      <c r="L222" s="361"/>
      <c r="M222" s="334"/>
    </row>
    <row r="223" spans="1:51" ht="30" customHeight="1">
      <c r="A223" s="718" t="s">
        <v>2470</v>
      </c>
      <c r="B223" s="718"/>
      <c r="C223" s="718"/>
      <c r="D223" s="718"/>
      <c r="E223" s="719"/>
      <c r="F223" s="720"/>
      <c r="G223" s="719"/>
      <c r="H223" s="720"/>
      <c r="I223" s="719"/>
      <c r="J223" s="720"/>
      <c r="K223" s="719"/>
      <c r="L223" s="720"/>
      <c r="M223" s="718"/>
      <c r="N223" s="329" t="s">
        <v>1187</v>
      </c>
    </row>
    <row r="224" spans="1:51" ht="30" customHeight="1">
      <c r="A224" s="333" t="s">
        <v>2471</v>
      </c>
      <c r="B224" s="333" t="s">
        <v>2472</v>
      </c>
      <c r="C224" s="333" t="s">
        <v>265</v>
      </c>
      <c r="D224" s="334">
        <v>1</v>
      </c>
      <c r="E224" s="370">
        <f>신규_단가대비표!O39</f>
        <v>52594.542000000001</v>
      </c>
      <c r="F224" s="361">
        <f>TRUNC(E224*D224,1)</f>
        <v>52594.5</v>
      </c>
      <c r="G224" s="370">
        <f>신규_단가대비표!P39</f>
        <v>0</v>
      </c>
      <c r="H224" s="361">
        <f>TRUNC(G224*D224,1)</f>
        <v>0</v>
      </c>
      <c r="I224" s="370">
        <f>신규_단가대비표!V39</f>
        <v>0</v>
      </c>
      <c r="J224" s="361">
        <f>TRUNC(I224*D224,1)</f>
        <v>0</v>
      </c>
      <c r="K224" s="370">
        <f t="shared" ref="K224:L226" si="50">TRUNC(E224+G224+I224,1)</f>
        <v>52594.5</v>
      </c>
      <c r="L224" s="361">
        <f t="shared" si="50"/>
        <v>52594.5</v>
      </c>
      <c r="M224" s="333" t="s">
        <v>378</v>
      </c>
      <c r="N224" s="329" t="s">
        <v>1187</v>
      </c>
      <c r="O224" s="329" t="s">
        <v>2473</v>
      </c>
      <c r="P224" s="329" t="s">
        <v>1105</v>
      </c>
      <c r="Q224" s="329" t="s">
        <v>1105</v>
      </c>
      <c r="R224" s="329" t="s">
        <v>1104</v>
      </c>
      <c r="AV224" s="329" t="s">
        <v>378</v>
      </c>
      <c r="AW224" s="329" t="s">
        <v>2474</v>
      </c>
      <c r="AX224" s="329" t="s">
        <v>378</v>
      </c>
      <c r="AY224" s="329" t="s">
        <v>378</v>
      </c>
    </row>
    <row r="225" spans="1:51" ht="30" customHeight="1">
      <c r="A225" s="333" t="s">
        <v>2217</v>
      </c>
      <c r="B225" s="333" t="s">
        <v>2218</v>
      </c>
      <c r="C225" s="333" t="s">
        <v>212</v>
      </c>
      <c r="D225" s="334">
        <v>1</v>
      </c>
      <c r="E225" s="370">
        <f>TRUNC(SUMIF(V224:V226, RIGHTB(O225, 1), H224:H226)*U225, 2)</f>
        <v>845.99</v>
      </c>
      <c r="F225" s="361">
        <f>TRUNC(E225*D225,1)</f>
        <v>845.9</v>
      </c>
      <c r="G225" s="370">
        <v>0</v>
      </c>
      <c r="H225" s="361">
        <f>TRUNC(G225*D225,1)</f>
        <v>0</v>
      </c>
      <c r="I225" s="370">
        <v>0</v>
      </c>
      <c r="J225" s="361">
        <f>TRUNC(I225*D225,1)</f>
        <v>0</v>
      </c>
      <c r="K225" s="370">
        <f t="shared" si="50"/>
        <v>845.9</v>
      </c>
      <c r="L225" s="361">
        <f t="shared" si="50"/>
        <v>845.9</v>
      </c>
      <c r="M225" s="333" t="s">
        <v>378</v>
      </c>
      <c r="N225" s="329" t="s">
        <v>1187</v>
      </c>
      <c r="O225" s="329" t="s">
        <v>2211</v>
      </c>
      <c r="P225" s="329" t="s">
        <v>1105</v>
      </c>
      <c r="Q225" s="329" t="s">
        <v>1105</v>
      </c>
      <c r="R225" s="329" t="s">
        <v>1105</v>
      </c>
      <c r="S225" s="330">
        <v>1</v>
      </c>
      <c r="T225" s="330">
        <v>0</v>
      </c>
      <c r="U225" s="330">
        <v>0.03</v>
      </c>
      <c r="V225" s="330">
        <v>1</v>
      </c>
      <c r="AV225" s="329" t="s">
        <v>378</v>
      </c>
      <c r="AW225" s="329" t="s">
        <v>2475</v>
      </c>
      <c r="AX225" s="329" t="s">
        <v>378</v>
      </c>
      <c r="AY225" s="329" t="s">
        <v>378</v>
      </c>
    </row>
    <row r="226" spans="1:51" ht="30" customHeight="1">
      <c r="A226" s="333" t="s">
        <v>1851</v>
      </c>
      <c r="B226" s="333" t="s">
        <v>2221</v>
      </c>
      <c r="C226" s="333" t="s">
        <v>1852</v>
      </c>
      <c r="D226" s="334">
        <f>신규_공량산출근거서_일위대가!K113</f>
        <v>0.12</v>
      </c>
      <c r="E226" s="370">
        <f>신규_단가대비표!O154</f>
        <v>0</v>
      </c>
      <c r="F226" s="361">
        <f>TRUNC(E226*D226,1)</f>
        <v>0</v>
      </c>
      <c r="G226" s="370">
        <f>신규_단가대비표!P154</f>
        <v>234998.43458</v>
      </c>
      <c r="H226" s="361">
        <f>TRUNC(G226*D226,1)</f>
        <v>28199.8</v>
      </c>
      <c r="I226" s="370">
        <f>신규_단가대비표!V154</f>
        <v>0</v>
      </c>
      <c r="J226" s="361">
        <f>TRUNC(I226*D226,1)</f>
        <v>0</v>
      </c>
      <c r="K226" s="370">
        <f t="shared" si="50"/>
        <v>234998.39999999999</v>
      </c>
      <c r="L226" s="361">
        <f t="shared" si="50"/>
        <v>28199.8</v>
      </c>
      <c r="M226" s="333" t="s">
        <v>378</v>
      </c>
      <c r="N226" s="329" t="s">
        <v>1187</v>
      </c>
      <c r="O226" s="329" t="s">
        <v>2222</v>
      </c>
      <c r="P226" s="329" t="s">
        <v>1105</v>
      </c>
      <c r="Q226" s="329" t="s">
        <v>1105</v>
      </c>
      <c r="R226" s="329" t="s">
        <v>1104</v>
      </c>
      <c r="V226" s="330">
        <v>1</v>
      </c>
      <c r="AV226" s="329" t="s">
        <v>378</v>
      </c>
      <c r="AW226" s="329" t="s">
        <v>2476</v>
      </c>
      <c r="AX226" s="329" t="s">
        <v>378</v>
      </c>
      <c r="AY226" s="329" t="s">
        <v>378</v>
      </c>
    </row>
    <row r="227" spans="1:51" ht="30" customHeight="1">
      <c r="A227" s="333" t="s">
        <v>2224</v>
      </c>
      <c r="B227" s="341" t="s">
        <v>378</v>
      </c>
      <c r="C227" s="333" t="s">
        <v>378</v>
      </c>
      <c r="D227" s="334"/>
      <c r="E227" s="370"/>
      <c r="F227" s="361">
        <f>TRUNC(SUMIF(N224:N226, N223, F224:F226),0)</f>
        <v>53440</v>
      </c>
      <c r="G227" s="370"/>
      <c r="H227" s="361">
        <f>TRUNC(SUMIF(N224:N226, N223, H224:H226),0)</f>
        <v>28199</v>
      </c>
      <c r="I227" s="370"/>
      <c r="J227" s="361">
        <f>TRUNC(SUMIF(N224:N226, N223, J224:J226),0)</f>
        <v>0</v>
      </c>
      <c r="K227" s="370"/>
      <c r="L227" s="361">
        <f>F227+H227+J227</f>
        <v>81639</v>
      </c>
      <c r="M227" s="333" t="s">
        <v>378</v>
      </c>
      <c r="N227" s="329" t="s">
        <v>1197</v>
      </c>
      <c r="O227" s="329" t="s">
        <v>1197</v>
      </c>
      <c r="P227" s="329" t="s">
        <v>378</v>
      </c>
      <c r="Q227" s="329" t="s">
        <v>378</v>
      </c>
      <c r="R227" s="329" t="s">
        <v>378</v>
      </c>
      <c r="AV227" s="329" t="s">
        <v>378</v>
      </c>
      <c r="AW227" s="329" t="s">
        <v>378</v>
      </c>
      <c r="AX227" s="329" t="s">
        <v>378</v>
      </c>
      <c r="AY227" s="329" t="s">
        <v>378</v>
      </c>
    </row>
    <row r="228" spans="1:51" ht="30" customHeight="1">
      <c r="A228" s="334"/>
      <c r="B228" s="334"/>
      <c r="C228" s="334"/>
      <c r="D228" s="334"/>
      <c r="E228" s="370"/>
      <c r="F228" s="361"/>
      <c r="G228" s="370"/>
      <c r="H228" s="361"/>
      <c r="I228" s="370"/>
      <c r="J228" s="361"/>
      <c r="K228" s="370"/>
      <c r="L228" s="361"/>
      <c r="M228" s="334"/>
    </row>
    <row r="229" spans="1:51" ht="30" customHeight="1">
      <c r="A229" s="718" t="s">
        <v>2477</v>
      </c>
      <c r="B229" s="718"/>
      <c r="C229" s="718"/>
      <c r="D229" s="718"/>
      <c r="E229" s="719"/>
      <c r="F229" s="720"/>
      <c r="G229" s="719"/>
      <c r="H229" s="720"/>
      <c r="I229" s="719"/>
      <c r="J229" s="720"/>
      <c r="K229" s="719"/>
      <c r="L229" s="720"/>
      <c r="M229" s="718"/>
      <c r="N229" s="329" t="s">
        <v>1189</v>
      </c>
    </row>
    <row r="230" spans="1:51" ht="30" customHeight="1">
      <c r="A230" s="333" t="s">
        <v>2478</v>
      </c>
      <c r="B230" s="333" t="s">
        <v>2479</v>
      </c>
      <c r="C230" s="333" t="s">
        <v>343</v>
      </c>
      <c r="D230" s="334">
        <v>1</v>
      </c>
      <c r="E230" s="370">
        <f>신규_단가대비표!O37</f>
        <v>600.32154000000003</v>
      </c>
      <c r="F230" s="361">
        <f>TRUNC(E230*D230,1)</f>
        <v>600.29999999999995</v>
      </c>
      <c r="G230" s="370">
        <f>신규_단가대비표!P37</f>
        <v>6909</v>
      </c>
      <c r="H230" s="361">
        <f>TRUNC(G230*D230,1)</f>
        <v>6909</v>
      </c>
      <c r="I230" s="370">
        <f>신규_단가대비표!V37</f>
        <v>785.37641000000008</v>
      </c>
      <c r="J230" s="361">
        <f>TRUNC(I230*D230,1)</f>
        <v>785.3</v>
      </c>
      <c r="K230" s="370">
        <f>TRUNC(E230+G230+I230,1)</f>
        <v>8294.6</v>
      </c>
      <c r="L230" s="361">
        <f>TRUNC(F230+H230+J230,1)</f>
        <v>8294.6</v>
      </c>
      <c r="M230" s="333" t="s">
        <v>378</v>
      </c>
      <c r="N230" s="329" t="s">
        <v>1189</v>
      </c>
      <c r="O230" s="329" t="s">
        <v>2480</v>
      </c>
      <c r="P230" s="329" t="s">
        <v>1105</v>
      </c>
      <c r="Q230" s="329" t="s">
        <v>1105</v>
      </c>
      <c r="R230" s="329" t="s">
        <v>1104</v>
      </c>
      <c r="AV230" s="329" t="s">
        <v>378</v>
      </c>
      <c r="AW230" s="329" t="s">
        <v>2481</v>
      </c>
      <c r="AX230" s="329" t="s">
        <v>378</v>
      </c>
      <c r="AY230" s="329" t="s">
        <v>378</v>
      </c>
    </row>
    <row r="231" spans="1:51" ht="30" customHeight="1">
      <c r="A231" s="333" t="s">
        <v>2224</v>
      </c>
      <c r="B231" s="333" t="s">
        <v>378</v>
      </c>
      <c r="C231" s="333" t="s">
        <v>378</v>
      </c>
      <c r="D231" s="334"/>
      <c r="E231" s="370"/>
      <c r="F231" s="361">
        <f>TRUNC(SUMIF(N230:N230, N229, F230:F230),0)</f>
        <v>600</v>
      </c>
      <c r="G231" s="370"/>
      <c r="H231" s="361">
        <f>TRUNC(SUMIF(N230:N230, N229, H230:H230),0)</f>
        <v>6909</v>
      </c>
      <c r="I231" s="370"/>
      <c r="J231" s="361">
        <f>TRUNC(SUMIF(N230:N230, N229, J230:J230),0)</f>
        <v>785</v>
      </c>
      <c r="K231" s="370"/>
      <c r="L231" s="361">
        <f>F231+H231+J231</f>
        <v>8294</v>
      </c>
      <c r="M231" s="333" t="s">
        <v>378</v>
      </c>
      <c r="N231" s="329" t="s">
        <v>1197</v>
      </c>
      <c r="O231" s="329" t="s">
        <v>1197</v>
      </c>
      <c r="P231" s="329" t="s">
        <v>378</v>
      </c>
      <c r="Q231" s="329" t="s">
        <v>378</v>
      </c>
      <c r="R231" s="329" t="s">
        <v>378</v>
      </c>
      <c r="AV231" s="329" t="s">
        <v>378</v>
      </c>
      <c r="AW231" s="329" t="s">
        <v>378</v>
      </c>
      <c r="AX231" s="329" t="s">
        <v>378</v>
      </c>
      <c r="AY231" s="329" t="s">
        <v>378</v>
      </c>
    </row>
    <row r="232" spans="1:51" ht="30" customHeight="1">
      <c r="A232" s="334"/>
      <c r="B232" s="334"/>
      <c r="C232" s="334"/>
      <c r="D232" s="334"/>
      <c r="E232" s="370"/>
      <c r="F232" s="361"/>
      <c r="G232" s="370"/>
      <c r="H232" s="361"/>
      <c r="I232" s="370"/>
      <c r="J232" s="361"/>
      <c r="K232" s="370"/>
      <c r="L232" s="361"/>
      <c r="M232" s="334"/>
    </row>
    <row r="233" spans="1:51" ht="30" customHeight="1">
      <c r="A233" s="718" t="s">
        <v>2482</v>
      </c>
      <c r="B233" s="718"/>
      <c r="C233" s="718"/>
      <c r="D233" s="718"/>
      <c r="E233" s="719"/>
      <c r="F233" s="720"/>
      <c r="G233" s="719"/>
      <c r="H233" s="720"/>
      <c r="I233" s="719"/>
      <c r="J233" s="720"/>
      <c r="K233" s="719"/>
      <c r="L233" s="720"/>
      <c r="M233" s="718"/>
      <c r="N233" s="329" t="s">
        <v>1191</v>
      </c>
    </row>
    <row r="234" spans="1:51" ht="30" customHeight="1">
      <c r="A234" s="333" t="s">
        <v>2483</v>
      </c>
      <c r="B234" s="333" t="s">
        <v>1821</v>
      </c>
      <c r="C234" s="333" t="s">
        <v>343</v>
      </c>
      <c r="D234" s="334">
        <v>1</v>
      </c>
      <c r="E234" s="370">
        <f>신규_단가대비표!O38</f>
        <v>6606.1932300000008</v>
      </c>
      <c r="F234" s="361">
        <f>TRUNC(E234*D234,1)</f>
        <v>6606.1</v>
      </c>
      <c r="G234" s="370">
        <f>신규_단가대비표!P38</f>
        <v>525</v>
      </c>
      <c r="H234" s="361">
        <f>TRUNC(G234*D234,1)</f>
        <v>525</v>
      </c>
      <c r="I234" s="370">
        <f>신규_단가대비표!V38</f>
        <v>419.69382000000002</v>
      </c>
      <c r="J234" s="361">
        <f>TRUNC(I234*D234,1)</f>
        <v>419.6</v>
      </c>
      <c r="K234" s="370">
        <f>TRUNC(E234+G234+I234,1)</f>
        <v>7550.8</v>
      </c>
      <c r="L234" s="361">
        <f>TRUNC(F234+H234+J234,1)</f>
        <v>7550.7</v>
      </c>
      <c r="M234" s="333" t="s">
        <v>378</v>
      </c>
      <c r="N234" s="329" t="s">
        <v>1191</v>
      </c>
      <c r="O234" s="329" t="s">
        <v>2484</v>
      </c>
      <c r="P234" s="329" t="s">
        <v>1105</v>
      </c>
      <c r="Q234" s="329" t="s">
        <v>1105</v>
      </c>
      <c r="R234" s="329" t="s">
        <v>1104</v>
      </c>
      <c r="AV234" s="329" t="s">
        <v>378</v>
      </c>
      <c r="AW234" s="329" t="s">
        <v>2485</v>
      </c>
      <c r="AX234" s="329" t="s">
        <v>378</v>
      </c>
      <c r="AY234" s="329" t="s">
        <v>378</v>
      </c>
    </row>
    <row r="235" spans="1:51" ht="30" customHeight="1">
      <c r="A235" s="333" t="s">
        <v>2224</v>
      </c>
      <c r="B235" s="333" t="s">
        <v>378</v>
      </c>
      <c r="C235" s="333" t="s">
        <v>378</v>
      </c>
      <c r="D235" s="334"/>
      <c r="E235" s="370"/>
      <c r="F235" s="361">
        <f>TRUNC(SUMIF(N234:N234, N233, F234:F234),0)</f>
        <v>6606</v>
      </c>
      <c r="G235" s="370"/>
      <c r="H235" s="361">
        <f>TRUNC(SUMIF(N234:N234, N233, H234:H234),0)</f>
        <v>525</v>
      </c>
      <c r="I235" s="370"/>
      <c r="J235" s="361">
        <f>TRUNC(SUMIF(N234:N234, N233, J234:J234),0)</f>
        <v>419</v>
      </c>
      <c r="K235" s="370"/>
      <c r="L235" s="361">
        <f>F235+H235+J235</f>
        <v>7550</v>
      </c>
      <c r="M235" s="333" t="s">
        <v>378</v>
      </c>
      <c r="N235" s="329" t="s">
        <v>1197</v>
      </c>
      <c r="O235" s="329" t="s">
        <v>1197</v>
      </c>
      <c r="P235" s="329" t="s">
        <v>378</v>
      </c>
      <c r="Q235" s="329" t="s">
        <v>378</v>
      </c>
      <c r="R235" s="329" t="s">
        <v>378</v>
      </c>
      <c r="AV235" s="329" t="s">
        <v>378</v>
      </c>
      <c r="AW235" s="329" t="s">
        <v>378</v>
      </c>
      <c r="AX235" s="329" t="s">
        <v>378</v>
      </c>
      <c r="AY235" s="329" t="s">
        <v>378</v>
      </c>
    </row>
    <row r="236" spans="1:51" ht="30" customHeight="1">
      <c r="A236" s="334"/>
      <c r="B236" s="334"/>
      <c r="C236" s="334"/>
      <c r="D236" s="334"/>
      <c r="E236" s="370"/>
      <c r="F236" s="361"/>
      <c r="G236" s="370"/>
      <c r="H236" s="361"/>
      <c r="I236" s="370"/>
      <c r="J236" s="361"/>
      <c r="K236" s="370"/>
      <c r="L236" s="361"/>
      <c r="M236" s="334"/>
    </row>
    <row r="237" spans="1:51" ht="30" customHeight="1">
      <c r="A237" s="718" t="s">
        <v>2486</v>
      </c>
      <c r="B237" s="718"/>
      <c r="C237" s="718"/>
      <c r="D237" s="718"/>
      <c r="E237" s="719"/>
      <c r="F237" s="720"/>
      <c r="G237" s="719"/>
      <c r="H237" s="720"/>
      <c r="I237" s="719"/>
      <c r="J237" s="720"/>
      <c r="K237" s="719"/>
      <c r="L237" s="720"/>
      <c r="M237" s="718"/>
      <c r="N237" s="329" t="s">
        <v>1194</v>
      </c>
    </row>
    <row r="238" spans="1:51" ht="30" customHeight="1">
      <c r="A238" s="333" t="s">
        <v>339</v>
      </c>
      <c r="B238" s="333" t="s">
        <v>340</v>
      </c>
      <c r="C238" s="333" t="s">
        <v>287</v>
      </c>
      <c r="D238" s="334">
        <v>13</v>
      </c>
      <c r="E238" s="370">
        <f>신규_일위대가목록!E34</f>
        <v>600</v>
      </c>
      <c r="F238" s="361">
        <f t="shared" ref="F238:F252" si="51">TRUNC(E238*D238,1)</f>
        <v>7800</v>
      </c>
      <c r="G238" s="370">
        <f>신규_일위대가목록!F34</f>
        <v>6909</v>
      </c>
      <c r="H238" s="361">
        <f t="shared" ref="H238:H252" si="52">TRUNC(G238*D238,1)</f>
        <v>89817</v>
      </c>
      <c r="I238" s="370">
        <f>신규_일위대가목록!G34</f>
        <v>785</v>
      </c>
      <c r="J238" s="361">
        <f t="shared" ref="J238:J252" si="53">TRUNC(I238*D238,1)</f>
        <v>10205</v>
      </c>
      <c r="K238" s="370">
        <f t="shared" ref="K238:L252" si="54">TRUNC(E238+G238+I238,1)</f>
        <v>8294</v>
      </c>
      <c r="L238" s="361">
        <f t="shared" si="54"/>
        <v>107822</v>
      </c>
      <c r="M238" s="333" t="s">
        <v>1718</v>
      </c>
      <c r="N238" s="329" t="s">
        <v>1194</v>
      </c>
      <c r="O238" s="329" t="s">
        <v>1189</v>
      </c>
      <c r="P238" s="329" t="s">
        <v>1104</v>
      </c>
      <c r="Q238" s="329" t="s">
        <v>1105</v>
      </c>
      <c r="R238" s="329" t="s">
        <v>1105</v>
      </c>
      <c r="AV238" s="329" t="s">
        <v>378</v>
      </c>
      <c r="AW238" s="329" t="s">
        <v>2487</v>
      </c>
      <c r="AX238" s="329" t="s">
        <v>378</v>
      </c>
      <c r="AY238" s="329" t="s">
        <v>378</v>
      </c>
    </row>
    <row r="239" spans="1:51" ht="30" customHeight="1">
      <c r="A239" s="333" t="s">
        <v>341</v>
      </c>
      <c r="B239" s="333" t="s">
        <v>342</v>
      </c>
      <c r="C239" s="333" t="s">
        <v>343</v>
      </c>
      <c r="D239" s="334">
        <v>5.6440000000000001</v>
      </c>
      <c r="E239" s="370">
        <f>신규_일위대가목록!E35</f>
        <v>6606</v>
      </c>
      <c r="F239" s="361">
        <f t="shared" si="51"/>
        <v>37284.199999999997</v>
      </c>
      <c r="G239" s="370">
        <f>신규_일위대가목록!F35</f>
        <v>525</v>
      </c>
      <c r="H239" s="361">
        <f t="shared" si="52"/>
        <v>2963.1</v>
      </c>
      <c r="I239" s="370">
        <f>신규_일위대가목록!G35</f>
        <v>419</v>
      </c>
      <c r="J239" s="361">
        <f t="shared" si="53"/>
        <v>2364.8000000000002</v>
      </c>
      <c r="K239" s="370">
        <f t="shared" si="54"/>
        <v>7550</v>
      </c>
      <c r="L239" s="361">
        <f t="shared" si="54"/>
        <v>42612.1</v>
      </c>
      <c r="M239" s="333" t="s">
        <v>1720</v>
      </c>
      <c r="N239" s="329" t="s">
        <v>1194</v>
      </c>
      <c r="O239" s="329" t="s">
        <v>1191</v>
      </c>
      <c r="P239" s="329" t="s">
        <v>1104</v>
      </c>
      <c r="Q239" s="329" t="s">
        <v>1105</v>
      </c>
      <c r="R239" s="329" t="s">
        <v>1105</v>
      </c>
      <c r="AV239" s="329" t="s">
        <v>378</v>
      </c>
      <c r="AW239" s="329" t="s">
        <v>2488</v>
      </c>
      <c r="AX239" s="329" t="s">
        <v>378</v>
      </c>
      <c r="AY239" s="329" t="s">
        <v>378</v>
      </c>
    </row>
    <row r="240" spans="1:51" ht="30" customHeight="1">
      <c r="A240" s="333" t="s">
        <v>1826</v>
      </c>
      <c r="B240" s="333" t="s">
        <v>1827</v>
      </c>
      <c r="C240" s="333" t="s">
        <v>343</v>
      </c>
      <c r="D240" s="334">
        <v>7.5810000000000004</v>
      </c>
      <c r="E240" s="370">
        <f>신규_일위대가목록!E103</f>
        <v>0</v>
      </c>
      <c r="F240" s="361">
        <f t="shared" si="51"/>
        <v>0</v>
      </c>
      <c r="G240" s="370">
        <f>신규_일위대가목록!F103</f>
        <v>27814</v>
      </c>
      <c r="H240" s="361">
        <f t="shared" si="52"/>
        <v>210857.9</v>
      </c>
      <c r="I240" s="370">
        <f>신규_일위대가목록!G103</f>
        <v>0</v>
      </c>
      <c r="J240" s="361">
        <f t="shared" si="53"/>
        <v>0</v>
      </c>
      <c r="K240" s="370">
        <f t="shared" si="54"/>
        <v>27814</v>
      </c>
      <c r="L240" s="361">
        <f t="shared" si="54"/>
        <v>210857.9</v>
      </c>
      <c r="M240" s="333" t="s">
        <v>1828</v>
      </c>
      <c r="N240" s="329" t="s">
        <v>1194</v>
      </c>
      <c r="O240" s="329" t="s">
        <v>1825</v>
      </c>
      <c r="P240" s="329" t="s">
        <v>1104</v>
      </c>
      <c r="Q240" s="329" t="s">
        <v>1105</v>
      </c>
      <c r="R240" s="329" t="s">
        <v>1105</v>
      </c>
      <c r="AV240" s="329" t="s">
        <v>378</v>
      </c>
      <c r="AW240" s="329" t="s">
        <v>2489</v>
      </c>
      <c r="AX240" s="329" t="s">
        <v>378</v>
      </c>
      <c r="AY240" s="329" t="s">
        <v>378</v>
      </c>
    </row>
    <row r="241" spans="1:51" ht="30" customHeight="1">
      <c r="A241" s="333" t="s">
        <v>2490</v>
      </c>
      <c r="B241" s="333" t="s">
        <v>2490</v>
      </c>
      <c r="C241" s="333" t="s">
        <v>265</v>
      </c>
      <c r="D241" s="334">
        <v>1</v>
      </c>
      <c r="E241" s="370">
        <f>신규_단가대비표!O31</f>
        <v>398443.5</v>
      </c>
      <c r="F241" s="361">
        <f t="shared" si="51"/>
        <v>398443.5</v>
      </c>
      <c r="G241" s="370">
        <f>신규_단가대비표!P31</f>
        <v>0</v>
      </c>
      <c r="H241" s="361">
        <f t="shared" si="52"/>
        <v>0</v>
      </c>
      <c r="I241" s="370">
        <f>신규_단가대비표!V31</f>
        <v>0</v>
      </c>
      <c r="J241" s="361">
        <f t="shared" si="53"/>
        <v>0</v>
      </c>
      <c r="K241" s="370">
        <f t="shared" si="54"/>
        <v>398443.5</v>
      </c>
      <c r="L241" s="361">
        <f t="shared" si="54"/>
        <v>398443.5</v>
      </c>
      <c r="M241" s="333" t="s">
        <v>378</v>
      </c>
      <c r="N241" s="329" t="s">
        <v>1194</v>
      </c>
      <c r="O241" s="329" t="s">
        <v>2491</v>
      </c>
      <c r="P241" s="329" t="s">
        <v>1105</v>
      </c>
      <c r="Q241" s="329" t="s">
        <v>1105</v>
      </c>
      <c r="R241" s="329" t="s">
        <v>1104</v>
      </c>
      <c r="AV241" s="329" t="s">
        <v>378</v>
      </c>
      <c r="AW241" s="329" t="s">
        <v>2492</v>
      </c>
      <c r="AX241" s="329" t="s">
        <v>378</v>
      </c>
      <c r="AY241" s="329" t="s">
        <v>378</v>
      </c>
    </row>
    <row r="242" spans="1:51" ht="30" customHeight="1">
      <c r="A242" s="333" t="s">
        <v>356</v>
      </c>
      <c r="B242" s="333" t="s">
        <v>2493</v>
      </c>
      <c r="C242" s="333" t="s">
        <v>262</v>
      </c>
      <c r="D242" s="334">
        <v>1</v>
      </c>
      <c r="E242" s="370">
        <f>신규_단가대비표!O28</f>
        <v>327609.10000000003</v>
      </c>
      <c r="F242" s="361">
        <f t="shared" si="51"/>
        <v>327609.09999999998</v>
      </c>
      <c r="G242" s="370">
        <f>신규_단가대비표!P28</f>
        <v>0</v>
      </c>
      <c r="H242" s="361">
        <f t="shared" si="52"/>
        <v>0</v>
      </c>
      <c r="I242" s="370">
        <f>신규_단가대비표!V28</f>
        <v>0</v>
      </c>
      <c r="J242" s="361">
        <f t="shared" si="53"/>
        <v>0</v>
      </c>
      <c r="K242" s="370">
        <f t="shared" si="54"/>
        <v>327609.09999999998</v>
      </c>
      <c r="L242" s="361">
        <f t="shared" si="54"/>
        <v>327609.09999999998</v>
      </c>
      <c r="M242" s="333" t="s">
        <v>378</v>
      </c>
      <c r="N242" s="329" t="s">
        <v>1194</v>
      </c>
      <c r="O242" s="329" t="s">
        <v>2494</v>
      </c>
      <c r="P242" s="329" t="s">
        <v>1105</v>
      </c>
      <c r="Q242" s="329" t="s">
        <v>1105</v>
      </c>
      <c r="R242" s="329" t="s">
        <v>1104</v>
      </c>
      <c r="AV242" s="329" t="s">
        <v>378</v>
      </c>
      <c r="AW242" s="329" t="s">
        <v>2495</v>
      </c>
      <c r="AX242" s="329" t="s">
        <v>378</v>
      </c>
      <c r="AY242" s="329" t="s">
        <v>378</v>
      </c>
    </row>
    <row r="243" spans="1:51" ht="30" customHeight="1">
      <c r="A243" s="333" t="s">
        <v>2496</v>
      </c>
      <c r="B243" s="333" t="s">
        <v>2497</v>
      </c>
      <c r="C243" s="333" t="s">
        <v>265</v>
      </c>
      <c r="D243" s="334">
        <v>2</v>
      </c>
      <c r="E243" s="370">
        <f>신규_단가대비표!O107</f>
        <v>7673.1363800000008</v>
      </c>
      <c r="F243" s="361">
        <f t="shared" si="51"/>
        <v>15346.2</v>
      </c>
      <c r="G243" s="370">
        <f>신규_단가대비표!P107</f>
        <v>0</v>
      </c>
      <c r="H243" s="361">
        <f t="shared" si="52"/>
        <v>0</v>
      </c>
      <c r="I243" s="370">
        <f>신규_단가대비표!V107</f>
        <v>0</v>
      </c>
      <c r="J243" s="361">
        <f t="shared" si="53"/>
        <v>0</v>
      </c>
      <c r="K243" s="370">
        <f t="shared" si="54"/>
        <v>7673.1</v>
      </c>
      <c r="L243" s="361">
        <f t="shared" si="54"/>
        <v>15346.2</v>
      </c>
      <c r="M243" s="333" t="s">
        <v>378</v>
      </c>
      <c r="N243" s="329" t="s">
        <v>1194</v>
      </c>
      <c r="O243" s="329" t="s">
        <v>2498</v>
      </c>
      <c r="P243" s="329" t="s">
        <v>1105</v>
      </c>
      <c r="Q243" s="329" t="s">
        <v>1105</v>
      </c>
      <c r="R243" s="329" t="s">
        <v>1104</v>
      </c>
      <c r="AV243" s="329" t="s">
        <v>378</v>
      </c>
      <c r="AW243" s="329" t="s">
        <v>2499</v>
      </c>
      <c r="AX243" s="329" t="s">
        <v>378</v>
      </c>
      <c r="AY243" s="329" t="s">
        <v>378</v>
      </c>
    </row>
    <row r="244" spans="1:51" ht="30" customHeight="1">
      <c r="A244" s="333" t="s">
        <v>2500</v>
      </c>
      <c r="B244" s="333" t="s">
        <v>2501</v>
      </c>
      <c r="C244" s="333" t="s">
        <v>1811</v>
      </c>
      <c r="D244" s="334">
        <v>2.2799999999999998</v>
      </c>
      <c r="E244" s="370">
        <f>신규_단가대비표!O35</f>
        <v>8421.3247300000003</v>
      </c>
      <c r="F244" s="361">
        <f t="shared" si="51"/>
        <v>19200.599999999999</v>
      </c>
      <c r="G244" s="370">
        <f>신규_단가대비표!P35</f>
        <v>50686</v>
      </c>
      <c r="H244" s="361">
        <f t="shared" si="52"/>
        <v>115564</v>
      </c>
      <c r="I244" s="370">
        <f>신규_단가대비표!V35</f>
        <v>46303.561850000006</v>
      </c>
      <c r="J244" s="361">
        <f t="shared" si="53"/>
        <v>105572.1</v>
      </c>
      <c r="K244" s="370">
        <f t="shared" si="54"/>
        <v>105410.8</v>
      </c>
      <c r="L244" s="361">
        <f t="shared" si="54"/>
        <v>240336.7</v>
      </c>
      <c r="M244" s="333" t="s">
        <v>378</v>
      </c>
      <c r="N244" s="329" t="s">
        <v>1194</v>
      </c>
      <c r="O244" s="329" t="s">
        <v>2502</v>
      </c>
      <c r="P244" s="329" t="s">
        <v>1105</v>
      </c>
      <c r="Q244" s="329" t="s">
        <v>1105</v>
      </c>
      <c r="R244" s="329" t="s">
        <v>1104</v>
      </c>
      <c r="AV244" s="329" t="s">
        <v>378</v>
      </c>
      <c r="AW244" s="329" t="s">
        <v>2503</v>
      </c>
      <c r="AX244" s="329" t="s">
        <v>378</v>
      </c>
      <c r="AY244" s="329" t="s">
        <v>378</v>
      </c>
    </row>
    <row r="245" spans="1:51" ht="30" customHeight="1">
      <c r="A245" s="333" t="s">
        <v>2504</v>
      </c>
      <c r="B245" s="333" t="s">
        <v>2505</v>
      </c>
      <c r="C245" s="333" t="s">
        <v>265</v>
      </c>
      <c r="D245" s="334">
        <v>2</v>
      </c>
      <c r="E245" s="370">
        <f>신규_단가대비표!O106</f>
        <v>2469.4642699999999</v>
      </c>
      <c r="F245" s="361">
        <f t="shared" si="51"/>
        <v>4938.8999999999996</v>
      </c>
      <c r="G245" s="370">
        <f>신규_단가대비표!P106</f>
        <v>0</v>
      </c>
      <c r="H245" s="361">
        <f t="shared" si="52"/>
        <v>0</v>
      </c>
      <c r="I245" s="370">
        <f>신규_단가대비표!V106</f>
        <v>0</v>
      </c>
      <c r="J245" s="361">
        <f t="shared" si="53"/>
        <v>0</v>
      </c>
      <c r="K245" s="370">
        <f t="shared" si="54"/>
        <v>2469.4</v>
      </c>
      <c r="L245" s="361">
        <f t="shared" si="54"/>
        <v>4938.8999999999996</v>
      </c>
      <c r="M245" s="333" t="s">
        <v>378</v>
      </c>
      <c r="N245" s="329" t="s">
        <v>1194</v>
      </c>
      <c r="O245" s="329" t="s">
        <v>2506</v>
      </c>
      <c r="P245" s="329" t="s">
        <v>1105</v>
      </c>
      <c r="Q245" s="329" t="s">
        <v>1105</v>
      </c>
      <c r="R245" s="329" t="s">
        <v>1104</v>
      </c>
      <c r="AV245" s="329" t="s">
        <v>378</v>
      </c>
      <c r="AW245" s="329" t="s">
        <v>2507</v>
      </c>
      <c r="AX245" s="329" t="s">
        <v>378</v>
      </c>
      <c r="AY245" s="329" t="s">
        <v>378</v>
      </c>
    </row>
    <row r="246" spans="1:51" ht="30" customHeight="1">
      <c r="A246" s="333" t="s">
        <v>2508</v>
      </c>
      <c r="B246" s="333" t="s">
        <v>2509</v>
      </c>
      <c r="C246" s="333" t="s">
        <v>265</v>
      </c>
      <c r="D246" s="334">
        <v>4</v>
      </c>
      <c r="E246" s="370">
        <f>신규_단가대비표!O109</f>
        <v>2715.6138100000003</v>
      </c>
      <c r="F246" s="361">
        <f t="shared" si="51"/>
        <v>10862.4</v>
      </c>
      <c r="G246" s="370">
        <f>신규_단가대비표!P109</f>
        <v>0</v>
      </c>
      <c r="H246" s="361">
        <f t="shared" si="52"/>
        <v>0</v>
      </c>
      <c r="I246" s="370">
        <f>신규_단가대비표!V109</f>
        <v>0</v>
      </c>
      <c r="J246" s="361">
        <f t="shared" si="53"/>
        <v>0</v>
      </c>
      <c r="K246" s="370">
        <f t="shared" si="54"/>
        <v>2715.6</v>
      </c>
      <c r="L246" s="361">
        <f t="shared" si="54"/>
        <v>10862.4</v>
      </c>
      <c r="M246" s="333" t="s">
        <v>378</v>
      </c>
      <c r="N246" s="329" t="s">
        <v>1194</v>
      </c>
      <c r="O246" s="329" t="s">
        <v>2510</v>
      </c>
      <c r="P246" s="329" t="s">
        <v>1105</v>
      </c>
      <c r="Q246" s="329" t="s">
        <v>1105</v>
      </c>
      <c r="R246" s="329" t="s">
        <v>1104</v>
      </c>
      <c r="AV246" s="329" t="s">
        <v>378</v>
      </c>
      <c r="AW246" s="329" t="s">
        <v>2511</v>
      </c>
      <c r="AX246" s="329" t="s">
        <v>378</v>
      </c>
      <c r="AY246" s="329" t="s">
        <v>378</v>
      </c>
    </row>
    <row r="247" spans="1:51" ht="30" customHeight="1">
      <c r="A247" s="333" t="s">
        <v>2356</v>
      </c>
      <c r="B247" s="333" t="s">
        <v>2279</v>
      </c>
      <c r="C247" s="333" t="s">
        <v>1852</v>
      </c>
      <c r="D247" s="334">
        <f>신규_공량산출근거서_일위대가!K124</f>
        <v>0.28000000000000003</v>
      </c>
      <c r="E247" s="370">
        <f>신규_단가대비표!O147</f>
        <v>0</v>
      </c>
      <c r="F247" s="361">
        <f t="shared" si="51"/>
        <v>0</v>
      </c>
      <c r="G247" s="370">
        <f>신규_단가대비표!P147</f>
        <v>174913.15478000001</v>
      </c>
      <c r="H247" s="361">
        <f t="shared" si="52"/>
        <v>48975.6</v>
      </c>
      <c r="I247" s="370">
        <f>신규_단가대비표!V147</f>
        <v>0</v>
      </c>
      <c r="J247" s="361">
        <f t="shared" si="53"/>
        <v>0</v>
      </c>
      <c r="K247" s="370">
        <f t="shared" si="54"/>
        <v>174913.1</v>
      </c>
      <c r="L247" s="361">
        <f t="shared" si="54"/>
        <v>48975.6</v>
      </c>
      <c r="M247" s="333" t="s">
        <v>378</v>
      </c>
      <c r="N247" s="329" t="s">
        <v>1194</v>
      </c>
      <c r="O247" s="329" t="s">
        <v>2357</v>
      </c>
      <c r="P247" s="329" t="s">
        <v>1105</v>
      </c>
      <c r="Q247" s="329" t="s">
        <v>1105</v>
      </c>
      <c r="R247" s="329" t="s">
        <v>1104</v>
      </c>
      <c r="V247" s="330">
        <v>1</v>
      </c>
      <c r="AV247" s="329" t="s">
        <v>378</v>
      </c>
      <c r="AW247" s="329" t="s">
        <v>2512</v>
      </c>
      <c r="AX247" s="329" t="s">
        <v>378</v>
      </c>
      <c r="AY247" s="329" t="s">
        <v>378</v>
      </c>
    </row>
    <row r="248" spans="1:51" ht="30" customHeight="1">
      <c r="A248" s="333" t="s">
        <v>1889</v>
      </c>
      <c r="B248" s="333" t="s">
        <v>378</v>
      </c>
      <c r="C248" s="333" t="s">
        <v>1852</v>
      </c>
      <c r="D248" s="334">
        <f>신규_공량산출근거서_일위대가!K125</f>
        <v>0.47599999999999998</v>
      </c>
      <c r="E248" s="370">
        <f>신규_단가대비표!O148</f>
        <v>0</v>
      </c>
      <c r="F248" s="361">
        <f t="shared" si="51"/>
        <v>0</v>
      </c>
      <c r="G248" s="370">
        <f>신규_단가대비표!P148</f>
        <v>139072.71924000001</v>
      </c>
      <c r="H248" s="361">
        <f t="shared" si="52"/>
        <v>66198.600000000006</v>
      </c>
      <c r="I248" s="370">
        <f>신규_단가대비표!V148</f>
        <v>0</v>
      </c>
      <c r="J248" s="361">
        <f t="shared" si="53"/>
        <v>0</v>
      </c>
      <c r="K248" s="370">
        <f t="shared" si="54"/>
        <v>139072.70000000001</v>
      </c>
      <c r="L248" s="361">
        <f t="shared" si="54"/>
        <v>66198.600000000006</v>
      </c>
      <c r="M248" s="333" t="s">
        <v>378</v>
      </c>
      <c r="N248" s="329" t="s">
        <v>1194</v>
      </c>
      <c r="O248" s="329" t="s">
        <v>2277</v>
      </c>
      <c r="P248" s="329" t="s">
        <v>1105</v>
      </c>
      <c r="Q248" s="329" t="s">
        <v>1105</v>
      </c>
      <c r="R248" s="329" t="s">
        <v>1104</v>
      </c>
      <c r="V248" s="330">
        <v>1</v>
      </c>
      <c r="AV248" s="329" t="s">
        <v>378</v>
      </c>
      <c r="AW248" s="329" t="s">
        <v>2513</v>
      </c>
      <c r="AX248" s="329" t="s">
        <v>378</v>
      </c>
      <c r="AY248" s="329" t="s">
        <v>378</v>
      </c>
    </row>
    <row r="249" spans="1:51" ht="30" customHeight="1">
      <c r="A249" s="333" t="s">
        <v>1891</v>
      </c>
      <c r="B249" s="333" t="s">
        <v>2279</v>
      </c>
      <c r="C249" s="333" t="s">
        <v>1852</v>
      </c>
      <c r="D249" s="334">
        <f>신규_공량산출근거서_일위대가!K126</f>
        <v>1.33</v>
      </c>
      <c r="E249" s="370">
        <f>신규_단가대비표!O149</f>
        <v>0</v>
      </c>
      <c r="F249" s="361">
        <f t="shared" si="51"/>
        <v>0</v>
      </c>
      <c r="G249" s="370">
        <f>신규_단가대비표!P149</f>
        <v>174828.15350000001</v>
      </c>
      <c r="H249" s="361">
        <f t="shared" si="52"/>
        <v>232521.4</v>
      </c>
      <c r="I249" s="370">
        <f>신규_단가대비표!V149</f>
        <v>0</v>
      </c>
      <c r="J249" s="361">
        <f t="shared" si="53"/>
        <v>0</v>
      </c>
      <c r="K249" s="370">
        <f t="shared" si="54"/>
        <v>174828.1</v>
      </c>
      <c r="L249" s="361">
        <f t="shared" si="54"/>
        <v>232521.4</v>
      </c>
      <c r="M249" s="333" t="s">
        <v>378</v>
      </c>
      <c r="N249" s="329" t="s">
        <v>1194</v>
      </c>
      <c r="O249" s="329" t="s">
        <v>2359</v>
      </c>
      <c r="P249" s="329" t="s">
        <v>1105</v>
      </c>
      <c r="Q249" s="329" t="s">
        <v>1105</v>
      </c>
      <c r="R249" s="329" t="s">
        <v>1104</v>
      </c>
      <c r="V249" s="330">
        <v>1</v>
      </c>
      <c r="AV249" s="329" t="s">
        <v>378</v>
      </c>
      <c r="AW249" s="329" t="s">
        <v>2514</v>
      </c>
      <c r="AX249" s="329" t="s">
        <v>378</v>
      </c>
      <c r="AY249" s="329" t="s">
        <v>378</v>
      </c>
    </row>
    <row r="250" spans="1:51" ht="30" customHeight="1">
      <c r="A250" s="333" t="s">
        <v>2361</v>
      </c>
      <c r="B250" s="333" t="s">
        <v>2279</v>
      </c>
      <c r="C250" s="333" t="s">
        <v>1852</v>
      </c>
      <c r="D250" s="334">
        <f>신규_공량산출근거서_일위대가!K127</f>
        <v>0.03</v>
      </c>
      <c r="E250" s="370">
        <f>신규_단가대비표!O150</f>
        <v>0</v>
      </c>
      <c r="F250" s="361">
        <f t="shared" si="51"/>
        <v>0</v>
      </c>
      <c r="G250" s="370">
        <f>신규_단가대비표!P150</f>
        <v>164210.96237000002</v>
      </c>
      <c r="H250" s="361">
        <f t="shared" si="52"/>
        <v>4926.3</v>
      </c>
      <c r="I250" s="370">
        <f>신규_단가대비표!V150</f>
        <v>0</v>
      </c>
      <c r="J250" s="361">
        <f t="shared" si="53"/>
        <v>0</v>
      </c>
      <c r="K250" s="370">
        <f t="shared" si="54"/>
        <v>164210.9</v>
      </c>
      <c r="L250" s="361">
        <f t="shared" si="54"/>
        <v>4926.3</v>
      </c>
      <c r="M250" s="333" t="s">
        <v>378</v>
      </c>
      <c r="N250" s="329" t="s">
        <v>1194</v>
      </c>
      <c r="O250" s="329" t="s">
        <v>2362</v>
      </c>
      <c r="P250" s="329" t="s">
        <v>1105</v>
      </c>
      <c r="Q250" s="329" t="s">
        <v>1105</v>
      </c>
      <c r="R250" s="329" t="s">
        <v>1104</v>
      </c>
      <c r="V250" s="330">
        <v>1</v>
      </c>
      <c r="AV250" s="329" t="s">
        <v>378</v>
      </c>
      <c r="AW250" s="329" t="s">
        <v>2515</v>
      </c>
      <c r="AX250" s="329" t="s">
        <v>378</v>
      </c>
      <c r="AY250" s="329" t="s">
        <v>378</v>
      </c>
    </row>
    <row r="251" spans="1:51" ht="30" customHeight="1">
      <c r="A251" s="333" t="s">
        <v>1992</v>
      </c>
      <c r="B251" s="333" t="s">
        <v>2279</v>
      </c>
      <c r="C251" s="333" t="s">
        <v>1852</v>
      </c>
      <c r="D251" s="334">
        <f>신규_공량산출근거서_일위대가!K128</f>
        <v>0.47599999999999998</v>
      </c>
      <c r="E251" s="370">
        <f>신규_단가대비표!O155</f>
        <v>0</v>
      </c>
      <c r="F251" s="361">
        <f t="shared" si="51"/>
        <v>0</v>
      </c>
      <c r="G251" s="370">
        <f>신규_단가대비표!P155</f>
        <v>255395.20006</v>
      </c>
      <c r="H251" s="361">
        <f t="shared" si="52"/>
        <v>121568.1</v>
      </c>
      <c r="I251" s="370">
        <f>신규_단가대비표!V155</f>
        <v>0</v>
      </c>
      <c r="J251" s="361">
        <f t="shared" si="53"/>
        <v>0</v>
      </c>
      <c r="K251" s="370">
        <f t="shared" si="54"/>
        <v>255395.20000000001</v>
      </c>
      <c r="L251" s="361">
        <f t="shared" si="54"/>
        <v>121568.1</v>
      </c>
      <c r="M251" s="333" t="s">
        <v>378</v>
      </c>
      <c r="N251" s="329" t="s">
        <v>1194</v>
      </c>
      <c r="O251" s="329" t="s">
        <v>2280</v>
      </c>
      <c r="P251" s="329" t="s">
        <v>1105</v>
      </c>
      <c r="Q251" s="329" t="s">
        <v>1105</v>
      </c>
      <c r="R251" s="329" t="s">
        <v>1104</v>
      </c>
      <c r="V251" s="330">
        <v>1</v>
      </c>
      <c r="AV251" s="329" t="s">
        <v>378</v>
      </c>
      <c r="AW251" s="329" t="s">
        <v>2516</v>
      </c>
      <c r="AX251" s="329" t="s">
        <v>378</v>
      </c>
      <c r="AY251" s="329" t="s">
        <v>378</v>
      </c>
    </row>
    <row r="252" spans="1:51" ht="30" customHeight="1">
      <c r="A252" s="333" t="s">
        <v>2217</v>
      </c>
      <c r="B252" s="333" t="s">
        <v>2218</v>
      </c>
      <c r="C252" s="333" t="s">
        <v>212</v>
      </c>
      <c r="D252" s="334">
        <v>1</v>
      </c>
      <c r="E252" s="370">
        <f>TRUNC(SUMIF(V238:V252, RIGHTB(O252, 1), H238:H252)*U252, 2)</f>
        <v>14225.7</v>
      </c>
      <c r="F252" s="361">
        <f t="shared" si="51"/>
        <v>14225.7</v>
      </c>
      <c r="G252" s="370">
        <v>0</v>
      </c>
      <c r="H252" s="361">
        <f t="shared" si="52"/>
        <v>0</v>
      </c>
      <c r="I252" s="370">
        <v>0</v>
      </c>
      <c r="J252" s="361">
        <f t="shared" si="53"/>
        <v>0</v>
      </c>
      <c r="K252" s="370">
        <f t="shared" si="54"/>
        <v>14225.7</v>
      </c>
      <c r="L252" s="361">
        <f t="shared" si="54"/>
        <v>14225.7</v>
      </c>
      <c r="M252" s="333" t="s">
        <v>378</v>
      </c>
      <c r="N252" s="329" t="s">
        <v>1194</v>
      </c>
      <c r="O252" s="329" t="s">
        <v>2211</v>
      </c>
      <c r="P252" s="329" t="s">
        <v>1105</v>
      </c>
      <c r="Q252" s="329" t="s">
        <v>1105</v>
      </c>
      <c r="R252" s="329" t="s">
        <v>1105</v>
      </c>
      <c r="S252" s="330">
        <v>1</v>
      </c>
      <c r="T252" s="330">
        <v>0</v>
      </c>
      <c r="U252" s="330">
        <v>0.03</v>
      </c>
      <c r="AV252" s="329" t="s">
        <v>378</v>
      </c>
      <c r="AW252" s="329" t="s">
        <v>2517</v>
      </c>
      <c r="AX252" s="329" t="s">
        <v>378</v>
      </c>
      <c r="AY252" s="329" t="s">
        <v>378</v>
      </c>
    </row>
    <row r="253" spans="1:51" ht="30" customHeight="1">
      <c r="A253" s="333" t="s">
        <v>2224</v>
      </c>
      <c r="B253" s="333" t="s">
        <v>378</v>
      </c>
      <c r="C253" s="333" t="s">
        <v>378</v>
      </c>
      <c r="D253" s="334"/>
      <c r="E253" s="370"/>
      <c r="F253" s="361">
        <f>TRUNC(SUMIF(N238:N252, N237, F238:F252),0)</f>
        <v>835710</v>
      </c>
      <c r="G253" s="370"/>
      <c r="H253" s="361">
        <f>TRUNC(SUMIF(N238:N252, N237, H238:H252),0)</f>
        <v>893392</v>
      </c>
      <c r="I253" s="370"/>
      <c r="J253" s="361">
        <f>TRUNC(SUMIF(N238:N252, N237, J238:J252),0)</f>
        <v>118141</v>
      </c>
      <c r="K253" s="370"/>
      <c r="L253" s="361">
        <f>F253+H253+J253</f>
        <v>1847243</v>
      </c>
      <c r="M253" s="333" t="s">
        <v>378</v>
      </c>
      <c r="N253" s="329" t="s">
        <v>1197</v>
      </c>
      <c r="O253" s="329" t="s">
        <v>1197</v>
      </c>
      <c r="P253" s="329" t="s">
        <v>378</v>
      </c>
      <c r="Q253" s="329" t="s">
        <v>378</v>
      </c>
      <c r="R253" s="329" t="s">
        <v>378</v>
      </c>
      <c r="AV253" s="329" t="s">
        <v>378</v>
      </c>
      <c r="AW253" s="329" t="s">
        <v>378</v>
      </c>
      <c r="AX253" s="329" t="s">
        <v>378</v>
      </c>
      <c r="AY253" s="329" t="s">
        <v>378</v>
      </c>
    </row>
    <row r="254" spans="1:51" ht="30" customHeight="1">
      <c r="A254" s="334"/>
      <c r="B254" s="334"/>
      <c r="C254" s="334"/>
      <c r="D254" s="334"/>
      <c r="E254" s="370"/>
      <c r="F254" s="361"/>
      <c r="G254" s="370"/>
      <c r="H254" s="361"/>
      <c r="I254" s="370"/>
      <c r="J254" s="361"/>
      <c r="K254" s="370"/>
      <c r="L254" s="361"/>
      <c r="M254" s="334"/>
    </row>
    <row r="255" spans="1:51" ht="30" customHeight="1">
      <c r="A255" s="718" t="s">
        <v>2518</v>
      </c>
      <c r="B255" s="718"/>
      <c r="C255" s="718"/>
      <c r="D255" s="718"/>
      <c r="E255" s="719"/>
      <c r="F255" s="720"/>
      <c r="G255" s="719"/>
      <c r="H255" s="720"/>
      <c r="I255" s="719"/>
      <c r="J255" s="720"/>
      <c r="K255" s="719"/>
      <c r="L255" s="720"/>
      <c r="M255" s="718"/>
      <c r="N255" s="329" t="s">
        <v>1200</v>
      </c>
    </row>
    <row r="256" spans="1:51" ht="30" customHeight="1">
      <c r="A256" s="333" t="s">
        <v>266</v>
      </c>
      <c r="B256" s="333" t="s">
        <v>2519</v>
      </c>
      <c r="C256" s="333" t="s">
        <v>265</v>
      </c>
      <c r="D256" s="334">
        <v>1</v>
      </c>
      <c r="E256" s="370">
        <f>신규_단가대비표!O84</f>
        <v>2381.8067000000001</v>
      </c>
      <c r="F256" s="361">
        <f>TRUNC(E256*D256,1)</f>
        <v>2381.8000000000002</v>
      </c>
      <c r="G256" s="370">
        <f>신규_단가대비표!P84</f>
        <v>0</v>
      </c>
      <c r="H256" s="361">
        <f>TRUNC(G256*D256,1)</f>
        <v>0</v>
      </c>
      <c r="I256" s="370">
        <f>신규_단가대비표!V84</f>
        <v>0</v>
      </c>
      <c r="J256" s="361">
        <f>TRUNC(I256*D256,1)</f>
        <v>0</v>
      </c>
      <c r="K256" s="370">
        <f t="shared" ref="K256:L258" si="55">TRUNC(E256+G256+I256,1)</f>
        <v>2381.8000000000002</v>
      </c>
      <c r="L256" s="361">
        <f t="shared" si="55"/>
        <v>2381.8000000000002</v>
      </c>
      <c r="M256" s="333" t="s">
        <v>378</v>
      </c>
      <c r="N256" s="329" t="s">
        <v>1200</v>
      </c>
      <c r="O256" s="329" t="s">
        <v>2520</v>
      </c>
      <c r="P256" s="329" t="s">
        <v>1105</v>
      </c>
      <c r="Q256" s="329" t="s">
        <v>1105</v>
      </c>
      <c r="R256" s="329" t="s">
        <v>1104</v>
      </c>
      <c r="AV256" s="329" t="s">
        <v>378</v>
      </c>
      <c r="AW256" s="329" t="s">
        <v>2521</v>
      </c>
      <c r="AX256" s="329" t="s">
        <v>378</v>
      </c>
      <c r="AY256" s="329" t="s">
        <v>378</v>
      </c>
    </row>
    <row r="257" spans="1:51" ht="30" customHeight="1">
      <c r="A257" s="333" t="s">
        <v>1851</v>
      </c>
      <c r="B257" s="333" t="s">
        <v>2221</v>
      </c>
      <c r="C257" s="333" t="s">
        <v>1852</v>
      </c>
      <c r="D257" s="334">
        <f>신규_공량산출근거서_일위대가!K131</f>
        <v>0.04</v>
      </c>
      <c r="E257" s="370">
        <f>신규_단가대비표!O154</f>
        <v>0</v>
      </c>
      <c r="F257" s="361">
        <f>TRUNC(E257*D257,1)</f>
        <v>0</v>
      </c>
      <c r="G257" s="370">
        <f>신규_단가대비표!P154</f>
        <v>234998.43458</v>
      </c>
      <c r="H257" s="361">
        <f>TRUNC(G257*D257,1)</f>
        <v>9399.9</v>
      </c>
      <c r="I257" s="370">
        <f>신규_단가대비표!V154</f>
        <v>0</v>
      </c>
      <c r="J257" s="361">
        <f>TRUNC(I257*D257,1)</f>
        <v>0</v>
      </c>
      <c r="K257" s="370">
        <f t="shared" si="55"/>
        <v>234998.39999999999</v>
      </c>
      <c r="L257" s="361">
        <f t="shared" si="55"/>
        <v>9399.9</v>
      </c>
      <c r="M257" s="333" t="s">
        <v>378</v>
      </c>
      <c r="N257" s="329" t="s">
        <v>1200</v>
      </c>
      <c r="O257" s="329" t="s">
        <v>2222</v>
      </c>
      <c r="P257" s="329" t="s">
        <v>1105</v>
      </c>
      <c r="Q257" s="329" t="s">
        <v>1105</v>
      </c>
      <c r="R257" s="329" t="s">
        <v>1104</v>
      </c>
      <c r="V257" s="330">
        <v>1</v>
      </c>
      <c r="AV257" s="329" t="s">
        <v>378</v>
      </c>
      <c r="AW257" s="329" t="s">
        <v>2522</v>
      </c>
      <c r="AX257" s="329" t="s">
        <v>378</v>
      </c>
      <c r="AY257" s="329" t="s">
        <v>378</v>
      </c>
    </row>
    <row r="258" spans="1:51" ht="30" customHeight="1">
      <c r="A258" s="333" t="s">
        <v>2217</v>
      </c>
      <c r="B258" s="333" t="s">
        <v>2218</v>
      </c>
      <c r="C258" s="333" t="s">
        <v>212</v>
      </c>
      <c r="D258" s="334">
        <v>1</v>
      </c>
      <c r="E258" s="370">
        <f>TRUNC(SUMIF(V256:V258, RIGHTB(O258, 1), H256:H258)*U258, 2)</f>
        <v>281.99</v>
      </c>
      <c r="F258" s="361">
        <f>TRUNC(E258*D258,1)</f>
        <v>281.89999999999998</v>
      </c>
      <c r="G258" s="370">
        <v>0</v>
      </c>
      <c r="H258" s="361">
        <f>TRUNC(G258*D258,1)</f>
        <v>0</v>
      </c>
      <c r="I258" s="370">
        <v>0</v>
      </c>
      <c r="J258" s="361">
        <f>TRUNC(I258*D258,1)</f>
        <v>0</v>
      </c>
      <c r="K258" s="370">
        <f t="shared" si="55"/>
        <v>281.89999999999998</v>
      </c>
      <c r="L258" s="361">
        <f t="shared" si="55"/>
        <v>281.89999999999998</v>
      </c>
      <c r="M258" s="333" t="s">
        <v>378</v>
      </c>
      <c r="N258" s="329" t="s">
        <v>1200</v>
      </c>
      <c r="O258" s="329" t="s">
        <v>2211</v>
      </c>
      <c r="P258" s="329" t="s">
        <v>1105</v>
      </c>
      <c r="Q258" s="329" t="s">
        <v>1105</v>
      </c>
      <c r="R258" s="329" t="s">
        <v>1105</v>
      </c>
      <c r="S258" s="330">
        <v>1</v>
      </c>
      <c r="T258" s="330">
        <v>0</v>
      </c>
      <c r="U258" s="330">
        <v>0.03</v>
      </c>
      <c r="V258" s="330">
        <v>1</v>
      </c>
      <c r="AV258" s="329" t="s">
        <v>378</v>
      </c>
      <c r="AW258" s="329" t="s">
        <v>2523</v>
      </c>
      <c r="AX258" s="329" t="s">
        <v>378</v>
      </c>
      <c r="AY258" s="329" t="s">
        <v>378</v>
      </c>
    </row>
    <row r="259" spans="1:51" ht="30" customHeight="1">
      <c r="A259" s="333" t="s">
        <v>2224</v>
      </c>
      <c r="B259" s="333" t="s">
        <v>378</v>
      </c>
      <c r="C259" s="333" t="s">
        <v>378</v>
      </c>
      <c r="D259" s="334"/>
      <c r="E259" s="370"/>
      <c r="F259" s="361">
        <f>TRUNC(SUMIF(N256:N258, N255, F256:F258),0)</f>
        <v>2663</v>
      </c>
      <c r="G259" s="370"/>
      <c r="H259" s="361">
        <f>TRUNC(SUMIF(N256:N258, N255, H256:H258),0)</f>
        <v>9399</v>
      </c>
      <c r="I259" s="370"/>
      <c r="J259" s="361">
        <f>TRUNC(SUMIF(N256:N258, N255, J256:J258),0)</f>
        <v>0</v>
      </c>
      <c r="K259" s="370"/>
      <c r="L259" s="361">
        <f>F259+H259+J259</f>
        <v>12062</v>
      </c>
      <c r="M259" s="333" t="s">
        <v>378</v>
      </c>
      <c r="N259" s="329" t="s">
        <v>1197</v>
      </c>
      <c r="O259" s="329" t="s">
        <v>1197</v>
      </c>
      <c r="P259" s="329" t="s">
        <v>378</v>
      </c>
      <c r="Q259" s="329" t="s">
        <v>378</v>
      </c>
      <c r="R259" s="329" t="s">
        <v>378</v>
      </c>
      <c r="AV259" s="329" t="s">
        <v>378</v>
      </c>
      <c r="AW259" s="329" t="s">
        <v>378</v>
      </c>
      <c r="AX259" s="329" t="s">
        <v>378</v>
      </c>
      <c r="AY259" s="329" t="s">
        <v>378</v>
      </c>
    </row>
    <row r="260" spans="1:51" ht="30" customHeight="1">
      <c r="A260" s="334"/>
      <c r="B260" s="334"/>
      <c r="C260" s="334"/>
      <c r="D260" s="334"/>
      <c r="E260" s="370"/>
      <c r="F260" s="361"/>
      <c r="G260" s="370"/>
      <c r="H260" s="361"/>
      <c r="I260" s="370"/>
      <c r="J260" s="361"/>
      <c r="K260" s="370"/>
      <c r="L260" s="361"/>
      <c r="M260" s="334"/>
    </row>
    <row r="261" spans="1:51" ht="30" customHeight="1">
      <c r="A261" s="718" t="s">
        <v>2524</v>
      </c>
      <c r="B261" s="718"/>
      <c r="C261" s="718"/>
      <c r="D261" s="718"/>
      <c r="E261" s="719"/>
      <c r="F261" s="720"/>
      <c r="G261" s="719"/>
      <c r="H261" s="720"/>
      <c r="I261" s="719"/>
      <c r="J261" s="720"/>
      <c r="K261" s="719"/>
      <c r="L261" s="720"/>
      <c r="M261" s="718"/>
      <c r="N261" s="329" t="s">
        <v>1203</v>
      </c>
    </row>
    <row r="262" spans="1:51" ht="30" customHeight="1">
      <c r="A262" s="333" t="s">
        <v>2237</v>
      </c>
      <c r="B262" s="333" t="s">
        <v>2238</v>
      </c>
      <c r="C262" s="333" t="s">
        <v>300</v>
      </c>
      <c r="D262" s="334">
        <v>1.05</v>
      </c>
      <c r="E262" s="370">
        <f>신규_단가대비표!O10</f>
        <v>841.1585</v>
      </c>
      <c r="F262" s="361">
        <f>TRUNC(E262*D262,1)</f>
        <v>883.2</v>
      </c>
      <c r="G262" s="370">
        <f>신규_단가대비표!P10</f>
        <v>0</v>
      </c>
      <c r="H262" s="361">
        <f>TRUNC(G262*D262,1)</f>
        <v>0</v>
      </c>
      <c r="I262" s="370">
        <f>신규_단가대비표!V10</f>
        <v>0</v>
      </c>
      <c r="J262" s="361">
        <f>TRUNC(I262*D262,1)</f>
        <v>0</v>
      </c>
      <c r="K262" s="370">
        <f t="shared" ref="K262:L265" si="56">TRUNC(E262+G262+I262,1)</f>
        <v>841.1</v>
      </c>
      <c r="L262" s="361">
        <f t="shared" si="56"/>
        <v>883.2</v>
      </c>
      <c r="M262" s="333" t="s">
        <v>378</v>
      </c>
      <c r="N262" s="329" t="s">
        <v>1203</v>
      </c>
      <c r="O262" s="329" t="s">
        <v>2239</v>
      </c>
      <c r="P262" s="329" t="s">
        <v>1105</v>
      </c>
      <c r="Q262" s="329" t="s">
        <v>1105</v>
      </c>
      <c r="R262" s="329" t="s">
        <v>1104</v>
      </c>
      <c r="V262" s="330">
        <v>1</v>
      </c>
      <c r="AV262" s="329" t="s">
        <v>378</v>
      </c>
      <c r="AW262" s="329" t="s">
        <v>2525</v>
      </c>
      <c r="AX262" s="329" t="s">
        <v>378</v>
      </c>
      <c r="AY262" s="329" t="s">
        <v>378</v>
      </c>
    </row>
    <row r="263" spans="1:51" ht="30" customHeight="1">
      <c r="A263" s="333" t="s">
        <v>2213</v>
      </c>
      <c r="B263" s="333" t="s">
        <v>2214</v>
      </c>
      <c r="C263" s="333" t="s">
        <v>212</v>
      </c>
      <c r="D263" s="334">
        <v>1</v>
      </c>
      <c r="E263" s="370">
        <f>TRUNC(SUMIF(V262:V265, RIGHTB(O263, 1), F262:F265)*U263, 2)</f>
        <v>17.66</v>
      </c>
      <c r="F263" s="361">
        <f>TRUNC(E263*D263,1)</f>
        <v>17.600000000000001</v>
      </c>
      <c r="G263" s="370">
        <v>0</v>
      </c>
      <c r="H263" s="361">
        <f>TRUNC(G263*D263,1)</f>
        <v>0</v>
      </c>
      <c r="I263" s="370">
        <v>0</v>
      </c>
      <c r="J263" s="361">
        <f>TRUNC(I263*D263,1)</f>
        <v>0</v>
      </c>
      <c r="K263" s="370">
        <f t="shared" si="56"/>
        <v>17.600000000000001</v>
      </c>
      <c r="L263" s="361">
        <f t="shared" si="56"/>
        <v>17.600000000000001</v>
      </c>
      <c r="M263" s="333" t="s">
        <v>378</v>
      </c>
      <c r="N263" s="329" t="s">
        <v>1203</v>
      </c>
      <c r="O263" s="329" t="s">
        <v>2211</v>
      </c>
      <c r="P263" s="329" t="s">
        <v>1105</v>
      </c>
      <c r="Q263" s="329" t="s">
        <v>1105</v>
      </c>
      <c r="R263" s="329" t="s">
        <v>1105</v>
      </c>
      <c r="S263" s="330">
        <v>0</v>
      </c>
      <c r="T263" s="330">
        <v>0</v>
      </c>
      <c r="U263" s="330">
        <v>0.02</v>
      </c>
      <c r="AV263" s="329" t="s">
        <v>378</v>
      </c>
      <c r="AW263" s="329" t="s">
        <v>2526</v>
      </c>
      <c r="AX263" s="329" t="s">
        <v>378</v>
      </c>
      <c r="AY263" s="329" t="s">
        <v>378</v>
      </c>
    </row>
    <row r="264" spans="1:51" ht="30" customHeight="1">
      <c r="A264" s="333" t="s">
        <v>1851</v>
      </c>
      <c r="B264" s="333" t="s">
        <v>2221</v>
      </c>
      <c r="C264" s="333" t="s">
        <v>1852</v>
      </c>
      <c r="D264" s="334">
        <f>신규_공량산출근거서_일위대가!K134</f>
        <v>8.9999999999999993E-3</v>
      </c>
      <c r="E264" s="370">
        <f>신규_단가대비표!O154</f>
        <v>0</v>
      </c>
      <c r="F264" s="361">
        <f>TRUNC(E264*D264,1)</f>
        <v>0</v>
      </c>
      <c r="G264" s="370">
        <f>신규_단가대비표!P154</f>
        <v>234998.43458</v>
      </c>
      <c r="H264" s="361">
        <f>TRUNC(G264*D264,1)</f>
        <v>2114.9</v>
      </c>
      <c r="I264" s="370">
        <f>신규_단가대비표!V154</f>
        <v>0</v>
      </c>
      <c r="J264" s="361">
        <f>TRUNC(I264*D264,1)</f>
        <v>0</v>
      </c>
      <c r="K264" s="370">
        <f t="shared" si="56"/>
        <v>234998.39999999999</v>
      </c>
      <c r="L264" s="361">
        <f t="shared" si="56"/>
        <v>2114.9</v>
      </c>
      <c r="M264" s="333" t="s">
        <v>378</v>
      </c>
      <c r="N264" s="329" t="s">
        <v>1203</v>
      </c>
      <c r="O264" s="329" t="s">
        <v>2222</v>
      </c>
      <c r="P264" s="329" t="s">
        <v>1105</v>
      </c>
      <c r="Q264" s="329" t="s">
        <v>1105</v>
      </c>
      <c r="R264" s="329" t="s">
        <v>1104</v>
      </c>
      <c r="W264" s="330">
        <v>2</v>
      </c>
      <c r="AV264" s="329" t="s">
        <v>378</v>
      </c>
      <c r="AW264" s="329" t="s">
        <v>2527</v>
      </c>
      <c r="AX264" s="329" t="s">
        <v>378</v>
      </c>
      <c r="AY264" s="329" t="s">
        <v>378</v>
      </c>
    </row>
    <row r="265" spans="1:51" ht="30" customHeight="1">
      <c r="A265" s="333" t="s">
        <v>2217</v>
      </c>
      <c r="B265" s="333" t="s">
        <v>2218</v>
      </c>
      <c r="C265" s="333" t="s">
        <v>212</v>
      </c>
      <c r="D265" s="334">
        <v>1</v>
      </c>
      <c r="E265" s="370">
        <f>TRUNC(SUMIF(W262:W265, RIGHTB(O265, 1), H262:H265)*U265, 2)</f>
        <v>63.44</v>
      </c>
      <c r="F265" s="361">
        <f>TRUNC(E265*D265,1)</f>
        <v>63.4</v>
      </c>
      <c r="G265" s="370">
        <v>0</v>
      </c>
      <c r="H265" s="361">
        <f>TRUNC(G265*D265,1)</f>
        <v>0</v>
      </c>
      <c r="I265" s="370">
        <v>0</v>
      </c>
      <c r="J265" s="361">
        <f>TRUNC(I265*D265,1)</f>
        <v>0</v>
      </c>
      <c r="K265" s="370">
        <f t="shared" si="56"/>
        <v>63.4</v>
      </c>
      <c r="L265" s="361">
        <f t="shared" si="56"/>
        <v>63.4</v>
      </c>
      <c r="M265" s="333" t="s">
        <v>378</v>
      </c>
      <c r="N265" s="329" t="s">
        <v>1203</v>
      </c>
      <c r="O265" s="329" t="s">
        <v>2215</v>
      </c>
      <c r="P265" s="329" t="s">
        <v>1105</v>
      </c>
      <c r="Q265" s="329" t="s">
        <v>1105</v>
      </c>
      <c r="R265" s="329" t="s">
        <v>1105</v>
      </c>
      <c r="S265" s="330">
        <v>1</v>
      </c>
      <c r="T265" s="330">
        <v>0</v>
      </c>
      <c r="U265" s="330">
        <v>0.03</v>
      </c>
      <c r="AV265" s="329" t="s">
        <v>378</v>
      </c>
      <c r="AW265" s="329" t="s">
        <v>2528</v>
      </c>
      <c r="AX265" s="329" t="s">
        <v>378</v>
      </c>
      <c r="AY265" s="329" t="s">
        <v>378</v>
      </c>
    </row>
    <row r="266" spans="1:51" ht="30" customHeight="1">
      <c r="A266" s="333" t="s">
        <v>2224</v>
      </c>
      <c r="B266" s="333" t="s">
        <v>378</v>
      </c>
      <c r="C266" s="333" t="s">
        <v>378</v>
      </c>
      <c r="D266" s="334"/>
      <c r="E266" s="370"/>
      <c r="F266" s="361">
        <f>TRUNC(SUMIF(N262:N265, N261, F262:F265),0)</f>
        <v>964</v>
      </c>
      <c r="G266" s="370"/>
      <c r="H266" s="361">
        <f>TRUNC(SUMIF(N262:N265, N261, H262:H265),0)</f>
        <v>2114</v>
      </c>
      <c r="I266" s="370"/>
      <c r="J266" s="361">
        <f>TRUNC(SUMIF(N262:N265, N261, J262:J265),0)</f>
        <v>0</v>
      </c>
      <c r="K266" s="370"/>
      <c r="L266" s="361">
        <f>F266+H266+J266</f>
        <v>3078</v>
      </c>
      <c r="M266" s="333" t="s">
        <v>378</v>
      </c>
      <c r="N266" s="329" t="s">
        <v>1197</v>
      </c>
      <c r="O266" s="329" t="s">
        <v>1197</v>
      </c>
      <c r="P266" s="329" t="s">
        <v>378</v>
      </c>
      <c r="Q266" s="329" t="s">
        <v>378</v>
      </c>
      <c r="R266" s="329" t="s">
        <v>378</v>
      </c>
      <c r="AV266" s="329" t="s">
        <v>378</v>
      </c>
      <c r="AW266" s="329" t="s">
        <v>378</v>
      </c>
      <c r="AX266" s="329" t="s">
        <v>378</v>
      </c>
      <c r="AY266" s="329" t="s">
        <v>378</v>
      </c>
    </row>
    <row r="267" spans="1:51" ht="30" customHeight="1">
      <c r="A267" s="334"/>
      <c r="B267" s="334"/>
      <c r="C267" s="334"/>
      <c r="D267" s="334"/>
      <c r="E267" s="370"/>
      <c r="F267" s="361"/>
      <c r="G267" s="370"/>
      <c r="H267" s="361"/>
      <c r="I267" s="370"/>
      <c r="J267" s="361"/>
      <c r="K267" s="370"/>
      <c r="L267" s="361"/>
      <c r="M267" s="334"/>
    </row>
    <row r="268" spans="1:51" ht="30" customHeight="1">
      <c r="A268" s="718" t="s">
        <v>2529</v>
      </c>
      <c r="B268" s="718"/>
      <c r="C268" s="718"/>
      <c r="D268" s="718"/>
      <c r="E268" s="719"/>
      <c r="F268" s="720"/>
      <c r="G268" s="719"/>
      <c r="H268" s="720"/>
      <c r="I268" s="719"/>
      <c r="J268" s="720"/>
      <c r="K268" s="719"/>
      <c r="L268" s="720"/>
      <c r="M268" s="718"/>
      <c r="N268" s="329" t="s">
        <v>1207</v>
      </c>
    </row>
    <row r="269" spans="1:51" ht="30" customHeight="1">
      <c r="A269" s="333" t="s">
        <v>2272</v>
      </c>
      <c r="B269" s="333" t="s">
        <v>2530</v>
      </c>
      <c r="C269" s="333" t="s">
        <v>300</v>
      </c>
      <c r="D269" s="334">
        <v>1.05</v>
      </c>
      <c r="E269" s="370">
        <f>신규_단가대비표!O20</f>
        <v>1911.64337</v>
      </c>
      <c r="F269" s="361">
        <f>TRUNC(E269*D269,1)</f>
        <v>2007.2</v>
      </c>
      <c r="G269" s="370">
        <f>신규_단가대비표!P20</f>
        <v>0</v>
      </c>
      <c r="H269" s="361">
        <f>TRUNC(G269*D269,1)</f>
        <v>0</v>
      </c>
      <c r="I269" s="370">
        <f>신규_단가대비표!V20</f>
        <v>0</v>
      </c>
      <c r="J269" s="361">
        <f>TRUNC(I269*D269,1)</f>
        <v>0</v>
      </c>
      <c r="K269" s="370">
        <f t="shared" ref="K269:L272" si="57">TRUNC(E269+G269+I269,1)</f>
        <v>1911.6</v>
      </c>
      <c r="L269" s="361">
        <f t="shared" si="57"/>
        <v>2007.2</v>
      </c>
      <c r="M269" s="333" t="s">
        <v>378</v>
      </c>
      <c r="N269" s="329" t="s">
        <v>1207</v>
      </c>
      <c r="O269" s="329" t="s">
        <v>2531</v>
      </c>
      <c r="P269" s="329" t="s">
        <v>1105</v>
      </c>
      <c r="Q269" s="329" t="s">
        <v>1105</v>
      </c>
      <c r="R269" s="329" t="s">
        <v>1104</v>
      </c>
      <c r="V269" s="330">
        <v>1</v>
      </c>
      <c r="AV269" s="329" t="s">
        <v>378</v>
      </c>
      <c r="AW269" s="329" t="s">
        <v>2532</v>
      </c>
      <c r="AX269" s="329" t="s">
        <v>378</v>
      </c>
      <c r="AY269" s="329" t="s">
        <v>378</v>
      </c>
    </row>
    <row r="270" spans="1:51" ht="30" customHeight="1">
      <c r="A270" s="333" t="s">
        <v>2213</v>
      </c>
      <c r="B270" s="333" t="s">
        <v>2214</v>
      </c>
      <c r="C270" s="333" t="s">
        <v>212</v>
      </c>
      <c r="D270" s="334">
        <v>1</v>
      </c>
      <c r="E270" s="370">
        <f>TRUNC(SUMIF(V269:V272, RIGHTB(O270, 1), F269:F272)*U270, 2)</f>
        <v>40.14</v>
      </c>
      <c r="F270" s="361">
        <f>TRUNC(E270*D270,1)</f>
        <v>40.1</v>
      </c>
      <c r="G270" s="370">
        <v>0</v>
      </c>
      <c r="H270" s="361">
        <f>TRUNC(G270*D270,1)</f>
        <v>0</v>
      </c>
      <c r="I270" s="370">
        <v>0</v>
      </c>
      <c r="J270" s="361">
        <f>TRUNC(I270*D270,1)</f>
        <v>0</v>
      </c>
      <c r="K270" s="370">
        <f t="shared" si="57"/>
        <v>40.1</v>
      </c>
      <c r="L270" s="361">
        <f t="shared" si="57"/>
        <v>40.1</v>
      </c>
      <c r="M270" s="333" t="s">
        <v>378</v>
      </c>
      <c r="N270" s="329" t="s">
        <v>1207</v>
      </c>
      <c r="O270" s="329" t="s">
        <v>2211</v>
      </c>
      <c r="P270" s="329" t="s">
        <v>1105</v>
      </c>
      <c r="Q270" s="329" t="s">
        <v>1105</v>
      </c>
      <c r="R270" s="329" t="s">
        <v>1105</v>
      </c>
      <c r="S270" s="330">
        <v>0</v>
      </c>
      <c r="T270" s="330">
        <v>0</v>
      </c>
      <c r="U270" s="330">
        <v>0.02</v>
      </c>
      <c r="W270" s="330">
        <v>2</v>
      </c>
      <c r="AV270" s="329" t="s">
        <v>378</v>
      </c>
      <c r="AW270" s="329" t="s">
        <v>2533</v>
      </c>
      <c r="AX270" s="329" t="s">
        <v>378</v>
      </c>
      <c r="AY270" s="329" t="s">
        <v>378</v>
      </c>
    </row>
    <row r="271" spans="1:51" ht="30" customHeight="1">
      <c r="A271" s="333" t="s">
        <v>2217</v>
      </c>
      <c r="B271" s="333" t="s">
        <v>2218</v>
      </c>
      <c r="C271" s="333" t="s">
        <v>212</v>
      </c>
      <c r="D271" s="334">
        <v>1</v>
      </c>
      <c r="E271" s="370">
        <f>TRUNC(SUMIF(W269:W272, RIGHTB(O271, 1), H269:H272)*U271, 2)</f>
        <v>137.91</v>
      </c>
      <c r="F271" s="361">
        <f>TRUNC(E271*D271,1)</f>
        <v>137.9</v>
      </c>
      <c r="G271" s="370">
        <v>0</v>
      </c>
      <c r="H271" s="361">
        <f>TRUNC(G271*D271,1)</f>
        <v>0</v>
      </c>
      <c r="I271" s="370">
        <v>0</v>
      </c>
      <c r="J271" s="361">
        <f>TRUNC(I271*D271,1)</f>
        <v>0</v>
      </c>
      <c r="K271" s="370">
        <f t="shared" si="57"/>
        <v>137.9</v>
      </c>
      <c r="L271" s="361">
        <f t="shared" si="57"/>
        <v>137.9</v>
      </c>
      <c r="M271" s="333" t="s">
        <v>378</v>
      </c>
      <c r="N271" s="329" t="s">
        <v>1207</v>
      </c>
      <c r="O271" s="329" t="s">
        <v>2215</v>
      </c>
      <c r="P271" s="329" t="s">
        <v>1105</v>
      </c>
      <c r="Q271" s="329" t="s">
        <v>1105</v>
      </c>
      <c r="R271" s="329" t="s">
        <v>1105</v>
      </c>
      <c r="S271" s="330">
        <v>1</v>
      </c>
      <c r="T271" s="330">
        <v>0</v>
      </c>
      <c r="U271" s="330">
        <v>0.03</v>
      </c>
      <c r="W271" s="330">
        <v>2</v>
      </c>
      <c r="AV271" s="329" t="s">
        <v>378</v>
      </c>
      <c r="AW271" s="329" t="s">
        <v>2534</v>
      </c>
      <c r="AX271" s="329" t="s">
        <v>378</v>
      </c>
      <c r="AY271" s="329" t="s">
        <v>378</v>
      </c>
    </row>
    <row r="272" spans="1:51" ht="30" customHeight="1">
      <c r="A272" s="333" t="s">
        <v>1992</v>
      </c>
      <c r="B272" s="333" t="s">
        <v>2279</v>
      </c>
      <c r="C272" s="333" t="s">
        <v>1852</v>
      </c>
      <c r="D272" s="334">
        <f>신규_공량산출근거서_일위대가!K137</f>
        <v>1.7999999999999999E-2</v>
      </c>
      <c r="E272" s="370">
        <f>신규_단가대비표!O155</f>
        <v>0</v>
      </c>
      <c r="F272" s="361">
        <f>TRUNC(E272*D272,1)</f>
        <v>0</v>
      </c>
      <c r="G272" s="370">
        <f>신규_단가대비표!P155</f>
        <v>255395.20006</v>
      </c>
      <c r="H272" s="361">
        <f>TRUNC(G272*D272,1)</f>
        <v>4597.1000000000004</v>
      </c>
      <c r="I272" s="370">
        <f>신규_단가대비표!V155</f>
        <v>0</v>
      </c>
      <c r="J272" s="361">
        <f>TRUNC(I272*D272,1)</f>
        <v>0</v>
      </c>
      <c r="K272" s="370">
        <f t="shared" si="57"/>
        <v>255395.20000000001</v>
      </c>
      <c r="L272" s="361">
        <f t="shared" si="57"/>
        <v>4597.1000000000004</v>
      </c>
      <c r="M272" s="333" t="s">
        <v>378</v>
      </c>
      <c r="N272" s="329" t="s">
        <v>1207</v>
      </c>
      <c r="O272" s="329" t="s">
        <v>2280</v>
      </c>
      <c r="P272" s="329" t="s">
        <v>1105</v>
      </c>
      <c r="Q272" s="329" t="s">
        <v>1105</v>
      </c>
      <c r="R272" s="329" t="s">
        <v>1104</v>
      </c>
      <c r="W272" s="330">
        <v>2</v>
      </c>
      <c r="AV272" s="329" t="s">
        <v>378</v>
      </c>
      <c r="AW272" s="329" t="s">
        <v>2535</v>
      </c>
      <c r="AX272" s="329" t="s">
        <v>378</v>
      </c>
      <c r="AY272" s="329" t="s">
        <v>378</v>
      </c>
    </row>
    <row r="273" spans="1:51" ht="30" customHeight="1">
      <c r="A273" s="333" t="s">
        <v>2224</v>
      </c>
      <c r="B273" s="333" t="s">
        <v>378</v>
      </c>
      <c r="C273" s="333" t="s">
        <v>378</v>
      </c>
      <c r="D273" s="334"/>
      <c r="E273" s="370"/>
      <c r="F273" s="361">
        <f>TRUNC(SUMIF(N269:N272, N268, F269:F272),0)</f>
        <v>2185</v>
      </c>
      <c r="G273" s="370"/>
      <c r="H273" s="361">
        <f>TRUNC(SUMIF(N269:N272, N268, H269:H272),0)</f>
        <v>4597</v>
      </c>
      <c r="I273" s="370"/>
      <c r="J273" s="361">
        <f>TRUNC(SUMIF(N269:N272, N268, J269:J272),0)</f>
        <v>0</v>
      </c>
      <c r="K273" s="370"/>
      <c r="L273" s="361">
        <f>F273+H273+J273</f>
        <v>6782</v>
      </c>
      <c r="M273" s="333" t="s">
        <v>378</v>
      </c>
      <c r="N273" s="329" t="s">
        <v>1197</v>
      </c>
      <c r="O273" s="329" t="s">
        <v>1197</v>
      </c>
      <c r="P273" s="329" t="s">
        <v>378</v>
      </c>
      <c r="Q273" s="329" t="s">
        <v>378</v>
      </c>
      <c r="R273" s="329" t="s">
        <v>378</v>
      </c>
      <c r="AV273" s="329" t="s">
        <v>378</v>
      </c>
      <c r="AW273" s="329" t="s">
        <v>378</v>
      </c>
      <c r="AX273" s="329" t="s">
        <v>378</v>
      </c>
      <c r="AY273" s="329" t="s">
        <v>378</v>
      </c>
    </row>
    <row r="274" spans="1:51" ht="30" customHeight="1">
      <c r="A274" s="334"/>
      <c r="B274" s="334"/>
      <c r="C274" s="334"/>
      <c r="D274" s="334"/>
      <c r="E274" s="370"/>
      <c r="F274" s="361"/>
      <c r="G274" s="370"/>
      <c r="H274" s="361"/>
      <c r="I274" s="370"/>
      <c r="J274" s="361"/>
      <c r="K274" s="370"/>
      <c r="L274" s="361"/>
      <c r="M274" s="334"/>
    </row>
    <row r="275" spans="1:51" ht="30" customHeight="1">
      <c r="A275" s="718" t="s">
        <v>2536</v>
      </c>
      <c r="B275" s="718"/>
      <c r="C275" s="718"/>
      <c r="D275" s="718"/>
      <c r="E275" s="719"/>
      <c r="F275" s="720"/>
      <c r="G275" s="719"/>
      <c r="H275" s="720"/>
      <c r="I275" s="719"/>
      <c r="J275" s="720"/>
      <c r="K275" s="719"/>
      <c r="L275" s="720"/>
      <c r="M275" s="718"/>
      <c r="N275" s="329" t="s">
        <v>1209</v>
      </c>
    </row>
    <row r="276" spans="1:51" ht="30" customHeight="1">
      <c r="A276" s="333" t="s">
        <v>305</v>
      </c>
      <c r="B276" s="333" t="s">
        <v>2537</v>
      </c>
      <c r="C276" s="333" t="s">
        <v>265</v>
      </c>
      <c r="D276" s="334">
        <v>1</v>
      </c>
      <c r="E276" s="370">
        <f>신규_단가대비표!O103</f>
        <v>39844.350000000006</v>
      </c>
      <c r="F276" s="361">
        <f>TRUNC(E276*D276,1)</f>
        <v>39844.300000000003</v>
      </c>
      <c r="G276" s="370">
        <f>신규_단가대비표!P103</f>
        <v>0</v>
      </c>
      <c r="H276" s="361">
        <f>TRUNC(G276*D276,1)</f>
        <v>0</v>
      </c>
      <c r="I276" s="370">
        <f>신규_단가대비표!V103</f>
        <v>0</v>
      </c>
      <c r="J276" s="361">
        <f>TRUNC(I276*D276,1)</f>
        <v>0</v>
      </c>
      <c r="K276" s="370">
        <f t="shared" ref="K276:L278" si="58">TRUNC(E276+G276+I276,1)</f>
        <v>39844.300000000003</v>
      </c>
      <c r="L276" s="361">
        <f t="shared" si="58"/>
        <v>39844.300000000003</v>
      </c>
      <c r="M276" s="333" t="s">
        <v>378</v>
      </c>
      <c r="N276" s="329" t="s">
        <v>1209</v>
      </c>
      <c r="O276" s="329" t="s">
        <v>2538</v>
      </c>
      <c r="P276" s="329" t="s">
        <v>1105</v>
      </c>
      <c r="Q276" s="329" t="s">
        <v>1105</v>
      </c>
      <c r="R276" s="329" t="s">
        <v>1104</v>
      </c>
      <c r="AV276" s="329" t="s">
        <v>378</v>
      </c>
      <c r="AW276" s="329" t="s">
        <v>2539</v>
      </c>
      <c r="AX276" s="329" t="s">
        <v>378</v>
      </c>
      <c r="AY276" s="329" t="s">
        <v>378</v>
      </c>
    </row>
    <row r="277" spans="1:51" ht="30" customHeight="1">
      <c r="A277" s="333" t="s">
        <v>1851</v>
      </c>
      <c r="B277" s="333" t="s">
        <v>2221</v>
      </c>
      <c r="C277" s="333" t="s">
        <v>1852</v>
      </c>
      <c r="D277" s="334">
        <f>신규_공량산출근거서_일위대가!K140</f>
        <v>0.13300000000000001</v>
      </c>
      <c r="E277" s="370">
        <f>신규_단가대비표!O154</f>
        <v>0</v>
      </c>
      <c r="F277" s="361">
        <f>TRUNC(E277*D277,1)</f>
        <v>0</v>
      </c>
      <c r="G277" s="370">
        <f>신규_단가대비표!P154</f>
        <v>234998.43458</v>
      </c>
      <c r="H277" s="361">
        <f>TRUNC(G277*D277,1)</f>
        <v>31254.7</v>
      </c>
      <c r="I277" s="370">
        <f>신규_단가대비표!V154</f>
        <v>0</v>
      </c>
      <c r="J277" s="361">
        <f>TRUNC(I277*D277,1)</f>
        <v>0</v>
      </c>
      <c r="K277" s="370">
        <f t="shared" si="58"/>
        <v>234998.39999999999</v>
      </c>
      <c r="L277" s="361">
        <f t="shared" si="58"/>
        <v>31254.7</v>
      </c>
      <c r="M277" s="333" t="s">
        <v>378</v>
      </c>
      <c r="N277" s="329" t="s">
        <v>1209</v>
      </c>
      <c r="O277" s="329" t="s">
        <v>2222</v>
      </c>
      <c r="P277" s="329" t="s">
        <v>1105</v>
      </c>
      <c r="Q277" s="329" t="s">
        <v>1105</v>
      </c>
      <c r="R277" s="329" t="s">
        <v>1104</v>
      </c>
      <c r="V277" s="330">
        <v>1</v>
      </c>
      <c r="AV277" s="329" t="s">
        <v>378</v>
      </c>
      <c r="AW277" s="329" t="s">
        <v>2540</v>
      </c>
      <c r="AX277" s="329" t="s">
        <v>378</v>
      </c>
      <c r="AY277" s="329" t="s">
        <v>378</v>
      </c>
    </row>
    <row r="278" spans="1:51" ht="30" customHeight="1">
      <c r="A278" s="333" t="s">
        <v>2217</v>
      </c>
      <c r="B278" s="333" t="s">
        <v>2218</v>
      </c>
      <c r="C278" s="333" t="s">
        <v>212</v>
      </c>
      <c r="D278" s="334">
        <v>1</v>
      </c>
      <c r="E278" s="370">
        <f>TRUNC(SUMIF(V276:V278, RIGHTB(O278, 1), H276:H278)*U278, 2)</f>
        <v>937.64</v>
      </c>
      <c r="F278" s="361">
        <f>TRUNC(E278*D278,1)</f>
        <v>937.6</v>
      </c>
      <c r="G278" s="370">
        <v>0</v>
      </c>
      <c r="H278" s="361">
        <f>TRUNC(G278*D278,1)</f>
        <v>0</v>
      </c>
      <c r="I278" s="370">
        <v>0</v>
      </c>
      <c r="J278" s="361">
        <f>TRUNC(I278*D278,1)</f>
        <v>0</v>
      </c>
      <c r="K278" s="370">
        <f t="shared" si="58"/>
        <v>937.6</v>
      </c>
      <c r="L278" s="361">
        <f t="shared" si="58"/>
        <v>937.6</v>
      </c>
      <c r="M278" s="333" t="s">
        <v>378</v>
      </c>
      <c r="N278" s="329" t="s">
        <v>1209</v>
      </c>
      <c r="O278" s="329" t="s">
        <v>2211</v>
      </c>
      <c r="P278" s="329" t="s">
        <v>1105</v>
      </c>
      <c r="Q278" s="329" t="s">
        <v>1105</v>
      </c>
      <c r="R278" s="329" t="s">
        <v>1105</v>
      </c>
      <c r="S278" s="330">
        <v>1</v>
      </c>
      <c r="T278" s="330">
        <v>0</v>
      </c>
      <c r="U278" s="330">
        <v>0.03</v>
      </c>
      <c r="V278" s="330">
        <v>1</v>
      </c>
      <c r="AV278" s="329" t="s">
        <v>378</v>
      </c>
      <c r="AW278" s="329" t="s">
        <v>2541</v>
      </c>
      <c r="AX278" s="329" t="s">
        <v>378</v>
      </c>
      <c r="AY278" s="329" t="s">
        <v>378</v>
      </c>
    </row>
    <row r="279" spans="1:51" ht="30" customHeight="1">
      <c r="A279" s="333" t="s">
        <v>2224</v>
      </c>
      <c r="B279" s="333" t="s">
        <v>378</v>
      </c>
      <c r="C279" s="333" t="s">
        <v>378</v>
      </c>
      <c r="D279" s="334"/>
      <c r="E279" s="370"/>
      <c r="F279" s="361">
        <f>TRUNC(SUMIF(N276:N278, N275, F276:F278),0)</f>
        <v>40781</v>
      </c>
      <c r="G279" s="370"/>
      <c r="H279" s="361">
        <f>TRUNC(SUMIF(N276:N278, N275, H276:H278),0)</f>
        <v>31254</v>
      </c>
      <c r="I279" s="370"/>
      <c r="J279" s="361">
        <f>TRUNC(SUMIF(N276:N278, N275, J276:J278),0)</f>
        <v>0</v>
      </c>
      <c r="K279" s="370"/>
      <c r="L279" s="361">
        <f>F279+H279+J279</f>
        <v>72035</v>
      </c>
      <c r="M279" s="333" t="s">
        <v>378</v>
      </c>
      <c r="N279" s="329" t="s">
        <v>1197</v>
      </c>
      <c r="O279" s="329" t="s">
        <v>1197</v>
      </c>
      <c r="P279" s="329" t="s">
        <v>378</v>
      </c>
      <c r="Q279" s="329" t="s">
        <v>378</v>
      </c>
      <c r="R279" s="329" t="s">
        <v>378</v>
      </c>
      <c r="AV279" s="329" t="s">
        <v>378</v>
      </c>
      <c r="AW279" s="329" t="s">
        <v>378</v>
      </c>
      <c r="AX279" s="329" t="s">
        <v>378</v>
      </c>
      <c r="AY279" s="329" t="s">
        <v>378</v>
      </c>
    </row>
    <row r="280" spans="1:51" ht="30" customHeight="1">
      <c r="A280" s="334"/>
      <c r="B280" s="334"/>
      <c r="C280" s="334"/>
      <c r="D280" s="334"/>
      <c r="E280" s="370"/>
      <c r="F280" s="361"/>
      <c r="G280" s="370"/>
      <c r="H280" s="361"/>
      <c r="I280" s="370"/>
      <c r="J280" s="361"/>
      <c r="K280" s="370"/>
      <c r="L280" s="361"/>
      <c r="M280" s="334"/>
    </row>
    <row r="281" spans="1:51" ht="30" customHeight="1">
      <c r="A281" s="718" t="s">
        <v>2542</v>
      </c>
      <c r="B281" s="718"/>
      <c r="C281" s="718"/>
      <c r="D281" s="718"/>
      <c r="E281" s="719"/>
      <c r="F281" s="720"/>
      <c r="G281" s="719"/>
      <c r="H281" s="720"/>
      <c r="I281" s="719"/>
      <c r="J281" s="720"/>
      <c r="K281" s="719"/>
      <c r="L281" s="720"/>
      <c r="M281" s="718"/>
      <c r="N281" s="329" t="s">
        <v>1214</v>
      </c>
    </row>
    <row r="282" spans="1:51" ht="30" customHeight="1">
      <c r="A282" s="333" t="s">
        <v>2543</v>
      </c>
      <c r="B282" s="333" t="s">
        <v>2544</v>
      </c>
      <c r="C282" s="333" t="s">
        <v>300</v>
      </c>
      <c r="D282" s="334">
        <v>1</v>
      </c>
      <c r="E282" s="370">
        <f>신규_단가대비표!O127</f>
        <v>4090.6866000000005</v>
      </c>
      <c r="F282" s="361">
        <f>TRUNC(E282*D282,1)</f>
        <v>4090.6</v>
      </c>
      <c r="G282" s="370">
        <f>신규_단가대비표!P127</f>
        <v>0</v>
      </c>
      <c r="H282" s="361">
        <f>TRUNC(G282*D282,1)</f>
        <v>0</v>
      </c>
      <c r="I282" s="370">
        <f>신규_단가대비표!V127</f>
        <v>0</v>
      </c>
      <c r="J282" s="361">
        <f>TRUNC(I282*D282,1)</f>
        <v>0</v>
      </c>
      <c r="K282" s="370">
        <f t="shared" ref="K282:L284" si="59">TRUNC(E282+G282+I282,1)</f>
        <v>4090.6</v>
      </c>
      <c r="L282" s="361">
        <f t="shared" si="59"/>
        <v>4090.6</v>
      </c>
      <c r="M282" s="333" t="s">
        <v>378</v>
      </c>
      <c r="N282" s="329" t="s">
        <v>1214</v>
      </c>
      <c r="O282" s="329" t="s">
        <v>2545</v>
      </c>
      <c r="P282" s="329" t="s">
        <v>1105</v>
      </c>
      <c r="Q282" s="329" t="s">
        <v>1105</v>
      </c>
      <c r="R282" s="329" t="s">
        <v>1104</v>
      </c>
      <c r="AV282" s="329" t="s">
        <v>378</v>
      </c>
      <c r="AW282" s="329" t="s">
        <v>2546</v>
      </c>
      <c r="AX282" s="329" t="s">
        <v>378</v>
      </c>
      <c r="AY282" s="329" t="s">
        <v>378</v>
      </c>
    </row>
    <row r="283" spans="1:51" ht="30" customHeight="1">
      <c r="A283" s="333" t="s">
        <v>2217</v>
      </c>
      <c r="B283" s="333" t="s">
        <v>2218</v>
      </c>
      <c r="C283" s="333" t="s">
        <v>212</v>
      </c>
      <c r="D283" s="334">
        <v>1</v>
      </c>
      <c r="E283" s="370">
        <f>TRUNC(SUMIF(V282:V284, RIGHTB(O283, 1), H282:H284)*U283, 2)</f>
        <v>916.49</v>
      </c>
      <c r="F283" s="361">
        <f>TRUNC(E283*D283,1)</f>
        <v>916.4</v>
      </c>
      <c r="G283" s="370">
        <v>0</v>
      </c>
      <c r="H283" s="361">
        <f>TRUNC(G283*D283,1)</f>
        <v>0</v>
      </c>
      <c r="I283" s="370">
        <v>0</v>
      </c>
      <c r="J283" s="361">
        <f>TRUNC(I283*D283,1)</f>
        <v>0</v>
      </c>
      <c r="K283" s="370">
        <f t="shared" si="59"/>
        <v>916.4</v>
      </c>
      <c r="L283" s="361">
        <f t="shared" si="59"/>
        <v>916.4</v>
      </c>
      <c r="M283" s="333" t="s">
        <v>378</v>
      </c>
      <c r="N283" s="329" t="s">
        <v>1214</v>
      </c>
      <c r="O283" s="329" t="s">
        <v>2211</v>
      </c>
      <c r="P283" s="329" t="s">
        <v>1105</v>
      </c>
      <c r="Q283" s="329" t="s">
        <v>1105</v>
      </c>
      <c r="R283" s="329" t="s">
        <v>1105</v>
      </c>
      <c r="S283" s="330">
        <v>1</v>
      </c>
      <c r="T283" s="330">
        <v>0</v>
      </c>
      <c r="U283" s="330">
        <v>0.03</v>
      </c>
      <c r="V283" s="330">
        <v>1</v>
      </c>
      <c r="AV283" s="329" t="s">
        <v>378</v>
      </c>
      <c r="AW283" s="329" t="s">
        <v>2547</v>
      </c>
      <c r="AX283" s="329" t="s">
        <v>378</v>
      </c>
      <c r="AY283" s="329" t="s">
        <v>378</v>
      </c>
    </row>
    <row r="284" spans="1:51" ht="30" customHeight="1">
      <c r="A284" s="333" t="s">
        <v>1851</v>
      </c>
      <c r="B284" s="333" t="s">
        <v>2221</v>
      </c>
      <c r="C284" s="333" t="s">
        <v>1852</v>
      </c>
      <c r="D284" s="334">
        <f>신규_공량산출근거서_일위대가!K143</f>
        <v>0.13</v>
      </c>
      <c r="E284" s="370">
        <f>신규_단가대비표!O154</f>
        <v>0</v>
      </c>
      <c r="F284" s="361">
        <f>TRUNC(E284*D284,1)</f>
        <v>0</v>
      </c>
      <c r="G284" s="370">
        <f>신규_단가대비표!P154</f>
        <v>234998.43458</v>
      </c>
      <c r="H284" s="361">
        <f>TRUNC(G284*D284,1)</f>
        <v>30549.7</v>
      </c>
      <c r="I284" s="370">
        <f>신규_단가대비표!V154</f>
        <v>0</v>
      </c>
      <c r="J284" s="361">
        <f>TRUNC(I284*D284,1)</f>
        <v>0</v>
      </c>
      <c r="K284" s="370">
        <f t="shared" si="59"/>
        <v>234998.39999999999</v>
      </c>
      <c r="L284" s="361">
        <f t="shared" si="59"/>
        <v>30549.7</v>
      </c>
      <c r="M284" s="333" t="s">
        <v>378</v>
      </c>
      <c r="N284" s="329" t="s">
        <v>1214</v>
      </c>
      <c r="O284" s="329" t="s">
        <v>2222</v>
      </c>
      <c r="P284" s="329" t="s">
        <v>1105</v>
      </c>
      <c r="Q284" s="329" t="s">
        <v>1105</v>
      </c>
      <c r="R284" s="329" t="s">
        <v>1104</v>
      </c>
      <c r="V284" s="330">
        <v>1</v>
      </c>
      <c r="AV284" s="329" t="s">
        <v>378</v>
      </c>
      <c r="AW284" s="329" t="s">
        <v>2548</v>
      </c>
      <c r="AX284" s="329" t="s">
        <v>378</v>
      </c>
      <c r="AY284" s="329" t="s">
        <v>378</v>
      </c>
    </row>
    <row r="285" spans="1:51" ht="30" customHeight="1">
      <c r="A285" s="333" t="s">
        <v>2224</v>
      </c>
      <c r="B285" s="333" t="s">
        <v>378</v>
      </c>
      <c r="C285" s="333" t="s">
        <v>378</v>
      </c>
      <c r="D285" s="334"/>
      <c r="E285" s="370"/>
      <c r="F285" s="361">
        <f>TRUNC(SUMIF(N282:N284, N281, F282:F284),0)</f>
        <v>5007</v>
      </c>
      <c r="G285" s="370"/>
      <c r="H285" s="361">
        <f>TRUNC(SUMIF(N282:N284, N281, H282:H284),0)</f>
        <v>30549</v>
      </c>
      <c r="I285" s="370"/>
      <c r="J285" s="361">
        <f>TRUNC(SUMIF(N282:N284, N281, J282:J284),0)</f>
        <v>0</v>
      </c>
      <c r="K285" s="370"/>
      <c r="L285" s="361">
        <f>F285+H285+J285</f>
        <v>35556</v>
      </c>
      <c r="M285" s="333" t="s">
        <v>378</v>
      </c>
      <c r="N285" s="329" t="s">
        <v>1197</v>
      </c>
      <c r="O285" s="329" t="s">
        <v>1197</v>
      </c>
      <c r="P285" s="329" t="s">
        <v>378</v>
      </c>
      <c r="Q285" s="329" t="s">
        <v>378</v>
      </c>
      <c r="R285" s="329" t="s">
        <v>378</v>
      </c>
      <c r="AV285" s="329" t="s">
        <v>378</v>
      </c>
      <c r="AW285" s="329" t="s">
        <v>378</v>
      </c>
      <c r="AX285" s="329" t="s">
        <v>378</v>
      </c>
      <c r="AY285" s="329" t="s">
        <v>378</v>
      </c>
    </row>
    <row r="286" spans="1:51" ht="30" customHeight="1">
      <c r="A286" s="334"/>
      <c r="B286" s="334"/>
      <c r="C286" s="334"/>
      <c r="D286" s="334"/>
      <c r="E286" s="370"/>
      <c r="F286" s="361"/>
      <c r="G286" s="370"/>
      <c r="H286" s="361"/>
      <c r="I286" s="370"/>
      <c r="J286" s="361"/>
      <c r="K286" s="370"/>
      <c r="L286" s="361"/>
      <c r="M286" s="334"/>
    </row>
    <row r="287" spans="1:51" ht="30" customHeight="1">
      <c r="A287" s="718" t="s">
        <v>2549</v>
      </c>
      <c r="B287" s="718"/>
      <c r="C287" s="718"/>
      <c r="D287" s="718"/>
      <c r="E287" s="719"/>
      <c r="F287" s="720"/>
      <c r="G287" s="719"/>
      <c r="H287" s="720"/>
      <c r="I287" s="719"/>
      <c r="J287" s="720"/>
      <c r="K287" s="719"/>
      <c r="L287" s="720"/>
      <c r="M287" s="718"/>
      <c r="N287" s="329" t="s">
        <v>1216</v>
      </c>
    </row>
    <row r="288" spans="1:51" ht="30" customHeight="1">
      <c r="A288" s="333" t="s">
        <v>2550</v>
      </c>
      <c r="B288" s="333" t="s">
        <v>315</v>
      </c>
      <c r="C288" s="333" t="s">
        <v>265</v>
      </c>
      <c r="D288" s="334">
        <v>1</v>
      </c>
      <c r="E288" s="370">
        <f>신규_단가대비표!O123</f>
        <v>0</v>
      </c>
      <c r="F288" s="361">
        <f>TRUNC(E288*D288,1)</f>
        <v>0</v>
      </c>
      <c r="G288" s="370">
        <f>신규_단가대비표!P123</f>
        <v>0</v>
      </c>
      <c r="H288" s="361">
        <f>TRUNC(G288*D288,1)</f>
        <v>0</v>
      </c>
      <c r="I288" s="370">
        <f>신규_단가대비표!V123</f>
        <v>0</v>
      </c>
      <c r="J288" s="361">
        <f>TRUNC(I288*D288,1)</f>
        <v>0</v>
      </c>
      <c r="K288" s="370">
        <f t="shared" ref="K288:L290" si="60">TRUNC(E288+G288+I288,1)</f>
        <v>0</v>
      </c>
      <c r="L288" s="361">
        <f t="shared" si="60"/>
        <v>0</v>
      </c>
      <c r="M288" s="333" t="s">
        <v>378</v>
      </c>
      <c r="N288" s="329" t="s">
        <v>1216</v>
      </c>
      <c r="O288" s="329" t="s">
        <v>2551</v>
      </c>
      <c r="P288" s="329" t="s">
        <v>1105</v>
      </c>
      <c r="Q288" s="329" t="s">
        <v>1105</v>
      </c>
      <c r="R288" s="329" t="s">
        <v>1104</v>
      </c>
      <c r="AV288" s="329" t="s">
        <v>378</v>
      </c>
      <c r="AW288" s="329" t="s">
        <v>2552</v>
      </c>
      <c r="AX288" s="329" t="s">
        <v>378</v>
      </c>
      <c r="AY288" s="329" t="s">
        <v>378</v>
      </c>
    </row>
    <row r="289" spans="1:51" ht="30" customHeight="1">
      <c r="A289" s="333" t="s">
        <v>2217</v>
      </c>
      <c r="B289" s="333" t="s">
        <v>2218</v>
      </c>
      <c r="C289" s="333" t="s">
        <v>212</v>
      </c>
      <c r="D289" s="334">
        <v>1</v>
      </c>
      <c r="E289" s="370">
        <f>TRUNC(SUMIF(V288:V290, RIGHTB(O289, 1), H288:H290)*U289, 2)</f>
        <v>972.89</v>
      </c>
      <c r="F289" s="361">
        <f>TRUNC(E289*D289,1)</f>
        <v>972.8</v>
      </c>
      <c r="G289" s="370">
        <v>0</v>
      </c>
      <c r="H289" s="361">
        <f>TRUNC(G289*D289,1)</f>
        <v>0</v>
      </c>
      <c r="I289" s="370">
        <v>0</v>
      </c>
      <c r="J289" s="361">
        <f>TRUNC(I289*D289,1)</f>
        <v>0</v>
      </c>
      <c r="K289" s="370">
        <f t="shared" si="60"/>
        <v>972.8</v>
      </c>
      <c r="L289" s="361">
        <f t="shared" si="60"/>
        <v>972.8</v>
      </c>
      <c r="M289" s="333" t="s">
        <v>378</v>
      </c>
      <c r="N289" s="329" t="s">
        <v>1216</v>
      </c>
      <c r="O289" s="329" t="s">
        <v>2211</v>
      </c>
      <c r="P289" s="329" t="s">
        <v>1105</v>
      </c>
      <c r="Q289" s="329" t="s">
        <v>1105</v>
      </c>
      <c r="R289" s="329" t="s">
        <v>1105</v>
      </c>
      <c r="S289" s="330">
        <v>1</v>
      </c>
      <c r="T289" s="330">
        <v>0</v>
      </c>
      <c r="U289" s="330">
        <v>0.03</v>
      </c>
      <c r="V289" s="330">
        <v>1</v>
      </c>
      <c r="AV289" s="329" t="s">
        <v>378</v>
      </c>
      <c r="AW289" s="329" t="s">
        <v>2553</v>
      </c>
      <c r="AX289" s="329" t="s">
        <v>378</v>
      </c>
      <c r="AY289" s="329" t="s">
        <v>378</v>
      </c>
    </row>
    <row r="290" spans="1:51" ht="30" customHeight="1">
      <c r="A290" s="333" t="s">
        <v>1851</v>
      </c>
      <c r="B290" s="333" t="s">
        <v>2221</v>
      </c>
      <c r="C290" s="333" t="s">
        <v>1852</v>
      </c>
      <c r="D290" s="334">
        <f>신규_공량산출근거서_일위대가!K146</f>
        <v>0.13800000000000001</v>
      </c>
      <c r="E290" s="370">
        <f>신규_단가대비표!O154</f>
        <v>0</v>
      </c>
      <c r="F290" s="361">
        <f>TRUNC(E290*D290,1)</f>
        <v>0</v>
      </c>
      <c r="G290" s="370">
        <f>신규_단가대비표!P154</f>
        <v>234998.43458</v>
      </c>
      <c r="H290" s="361">
        <f>TRUNC(G290*D290,1)</f>
        <v>32429.7</v>
      </c>
      <c r="I290" s="370">
        <f>신규_단가대비표!V154</f>
        <v>0</v>
      </c>
      <c r="J290" s="361">
        <f>TRUNC(I290*D290,1)</f>
        <v>0</v>
      </c>
      <c r="K290" s="370">
        <f t="shared" si="60"/>
        <v>234998.39999999999</v>
      </c>
      <c r="L290" s="361">
        <f t="shared" si="60"/>
        <v>32429.7</v>
      </c>
      <c r="M290" s="333" t="s">
        <v>378</v>
      </c>
      <c r="N290" s="329" t="s">
        <v>1216</v>
      </c>
      <c r="O290" s="329" t="s">
        <v>2222</v>
      </c>
      <c r="P290" s="329" t="s">
        <v>1105</v>
      </c>
      <c r="Q290" s="329" t="s">
        <v>1105</v>
      </c>
      <c r="R290" s="329" t="s">
        <v>1104</v>
      </c>
      <c r="V290" s="330">
        <v>1</v>
      </c>
      <c r="AV290" s="329" t="s">
        <v>378</v>
      </c>
      <c r="AW290" s="329" t="s">
        <v>2554</v>
      </c>
      <c r="AX290" s="329" t="s">
        <v>378</v>
      </c>
      <c r="AY290" s="329" t="s">
        <v>378</v>
      </c>
    </row>
    <row r="291" spans="1:51" ht="30" customHeight="1">
      <c r="A291" s="333" t="s">
        <v>2224</v>
      </c>
      <c r="B291" s="333" t="s">
        <v>378</v>
      </c>
      <c r="C291" s="333" t="s">
        <v>378</v>
      </c>
      <c r="D291" s="334"/>
      <c r="E291" s="370"/>
      <c r="F291" s="361">
        <f>TRUNC(SUMIF(N288:N290, N287, F288:F290),0)</f>
        <v>972</v>
      </c>
      <c r="G291" s="370"/>
      <c r="H291" s="361">
        <f>TRUNC(SUMIF(N288:N290, N287, H288:H290),0)</f>
        <v>32429</v>
      </c>
      <c r="I291" s="370"/>
      <c r="J291" s="361">
        <f>TRUNC(SUMIF(N288:N290, N287, J288:J290),0)</f>
        <v>0</v>
      </c>
      <c r="K291" s="370"/>
      <c r="L291" s="361">
        <f>F291+H291+J291</f>
        <v>33401</v>
      </c>
      <c r="M291" s="333" t="s">
        <v>378</v>
      </c>
      <c r="N291" s="329" t="s">
        <v>1197</v>
      </c>
      <c r="O291" s="329" t="s">
        <v>1197</v>
      </c>
      <c r="P291" s="329" t="s">
        <v>378</v>
      </c>
      <c r="Q291" s="329" t="s">
        <v>378</v>
      </c>
      <c r="R291" s="329" t="s">
        <v>378</v>
      </c>
      <c r="AV291" s="329" t="s">
        <v>378</v>
      </c>
      <c r="AW291" s="329" t="s">
        <v>378</v>
      </c>
      <c r="AX291" s="329" t="s">
        <v>378</v>
      </c>
      <c r="AY291" s="329" t="s">
        <v>378</v>
      </c>
    </row>
    <row r="292" spans="1:51" ht="30" customHeight="1">
      <c r="A292" s="334"/>
      <c r="B292" s="334"/>
      <c r="C292" s="334"/>
      <c r="D292" s="334"/>
      <c r="E292" s="370"/>
      <c r="F292" s="361"/>
      <c r="G292" s="370"/>
      <c r="H292" s="361"/>
      <c r="I292" s="370"/>
      <c r="J292" s="361"/>
      <c r="K292" s="370"/>
      <c r="L292" s="361"/>
      <c r="M292" s="334"/>
    </row>
    <row r="293" spans="1:51" ht="30" customHeight="1">
      <c r="A293" s="718" t="s">
        <v>2555</v>
      </c>
      <c r="B293" s="718"/>
      <c r="C293" s="718"/>
      <c r="D293" s="718"/>
      <c r="E293" s="719"/>
      <c r="F293" s="720"/>
      <c r="G293" s="719"/>
      <c r="H293" s="720"/>
      <c r="I293" s="719"/>
      <c r="J293" s="720"/>
      <c r="K293" s="719"/>
      <c r="L293" s="720"/>
      <c r="M293" s="718"/>
      <c r="N293" s="329" t="s">
        <v>1218</v>
      </c>
    </row>
    <row r="294" spans="1:51" ht="30" customHeight="1">
      <c r="A294" s="333" t="s">
        <v>2556</v>
      </c>
      <c r="B294" s="333" t="s">
        <v>317</v>
      </c>
      <c r="C294" s="333" t="s">
        <v>265</v>
      </c>
      <c r="D294" s="334">
        <v>1</v>
      </c>
      <c r="E294" s="370">
        <f>신규_단가대비표!O124</f>
        <v>0</v>
      </c>
      <c r="F294" s="361">
        <f>TRUNC(E294*D294,1)</f>
        <v>0</v>
      </c>
      <c r="G294" s="370">
        <f>신규_단가대비표!P124</f>
        <v>0</v>
      </c>
      <c r="H294" s="361">
        <f>TRUNC(G294*D294,1)</f>
        <v>0</v>
      </c>
      <c r="I294" s="370">
        <f>신규_단가대비표!V124</f>
        <v>0</v>
      </c>
      <c r="J294" s="361">
        <f>TRUNC(I294*D294,1)</f>
        <v>0</v>
      </c>
      <c r="K294" s="370">
        <f t="shared" ref="K294:L296" si="61">TRUNC(E294+G294+I294,1)</f>
        <v>0</v>
      </c>
      <c r="L294" s="361">
        <f t="shared" si="61"/>
        <v>0</v>
      </c>
      <c r="M294" s="333" t="s">
        <v>378</v>
      </c>
      <c r="N294" s="329" t="s">
        <v>1218</v>
      </c>
      <c r="O294" s="329" t="s">
        <v>2557</v>
      </c>
      <c r="P294" s="329" t="s">
        <v>1105</v>
      </c>
      <c r="Q294" s="329" t="s">
        <v>1105</v>
      </c>
      <c r="R294" s="329" t="s">
        <v>1104</v>
      </c>
      <c r="AV294" s="329" t="s">
        <v>378</v>
      </c>
      <c r="AW294" s="329" t="s">
        <v>2558</v>
      </c>
      <c r="AX294" s="329" t="s">
        <v>378</v>
      </c>
      <c r="AY294" s="329" t="s">
        <v>378</v>
      </c>
    </row>
    <row r="295" spans="1:51" ht="30" customHeight="1">
      <c r="A295" s="333" t="s">
        <v>2217</v>
      </c>
      <c r="B295" s="333" t="s">
        <v>2218</v>
      </c>
      <c r="C295" s="333" t="s">
        <v>212</v>
      </c>
      <c r="D295" s="334">
        <v>1</v>
      </c>
      <c r="E295" s="370">
        <f>TRUNC(SUMIF(V294:V296, RIGHTB(O295, 1), H294:H296)*U295, 2)</f>
        <v>1466.38</v>
      </c>
      <c r="F295" s="361">
        <f>TRUNC(E295*D295,1)</f>
        <v>1466.3</v>
      </c>
      <c r="G295" s="370">
        <v>0</v>
      </c>
      <c r="H295" s="361">
        <f>TRUNC(G295*D295,1)</f>
        <v>0</v>
      </c>
      <c r="I295" s="370">
        <v>0</v>
      </c>
      <c r="J295" s="361">
        <f>TRUNC(I295*D295,1)</f>
        <v>0</v>
      </c>
      <c r="K295" s="370">
        <f t="shared" si="61"/>
        <v>1466.3</v>
      </c>
      <c r="L295" s="361">
        <f t="shared" si="61"/>
        <v>1466.3</v>
      </c>
      <c r="M295" s="333" t="s">
        <v>378</v>
      </c>
      <c r="N295" s="329" t="s">
        <v>1218</v>
      </c>
      <c r="O295" s="329" t="s">
        <v>2211</v>
      </c>
      <c r="P295" s="329" t="s">
        <v>1105</v>
      </c>
      <c r="Q295" s="329" t="s">
        <v>1105</v>
      </c>
      <c r="R295" s="329" t="s">
        <v>1105</v>
      </c>
      <c r="S295" s="330">
        <v>1</v>
      </c>
      <c r="T295" s="330">
        <v>0</v>
      </c>
      <c r="U295" s="330">
        <v>0.03</v>
      </c>
      <c r="V295" s="330">
        <v>1</v>
      </c>
      <c r="AV295" s="329" t="s">
        <v>378</v>
      </c>
      <c r="AW295" s="329" t="s">
        <v>2559</v>
      </c>
      <c r="AX295" s="329" t="s">
        <v>378</v>
      </c>
      <c r="AY295" s="329" t="s">
        <v>378</v>
      </c>
    </row>
    <row r="296" spans="1:51" ht="30" customHeight="1">
      <c r="A296" s="333" t="s">
        <v>1851</v>
      </c>
      <c r="B296" s="333" t="s">
        <v>2221</v>
      </c>
      <c r="C296" s="333" t="s">
        <v>1852</v>
      </c>
      <c r="D296" s="334">
        <f>신규_공량산출근거서_일위대가!K149</f>
        <v>0.20799999999999999</v>
      </c>
      <c r="E296" s="370">
        <f>신규_단가대비표!O154</f>
        <v>0</v>
      </c>
      <c r="F296" s="361">
        <f>TRUNC(E296*D296,1)</f>
        <v>0</v>
      </c>
      <c r="G296" s="370">
        <f>신규_단가대비표!P154</f>
        <v>234998.43458</v>
      </c>
      <c r="H296" s="361">
        <f>TRUNC(G296*D296,1)</f>
        <v>48879.6</v>
      </c>
      <c r="I296" s="370">
        <f>신규_단가대비표!V154</f>
        <v>0</v>
      </c>
      <c r="J296" s="361">
        <f>TRUNC(I296*D296,1)</f>
        <v>0</v>
      </c>
      <c r="K296" s="370">
        <f t="shared" si="61"/>
        <v>234998.39999999999</v>
      </c>
      <c r="L296" s="361">
        <f t="shared" si="61"/>
        <v>48879.6</v>
      </c>
      <c r="M296" s="333" t="s">
        <v>378</v>
      </c>
      <c r="N296" s="329" t="s">
        <v>1218</v>
      </c>
      <c r="O296" s="329" t="s">
        <v>2222</v>
      </c>
      <c r="P296" s="329" t="s">
        <v>1105</v>
      </c>
      <c r="Q296" s="329" t="s">
        <v>1105</v>
      </c>
      <c r="R296" s="329" t="s">
        <v>1104</v>
      </c>
      <c r="V296" s="330">
        <v>1</v>
      </c>
      <c r="AV296" s="329" t="s">
        <v>378</v>
      </c>
      <c r="AW296" s="329" t="s">
        <v>2560</v>
      </c>
      <c r="AX296" s="329" t="s">
        <v>378</v>
      </c>
      <c r="AY296" s="329" t="s">
        <v>378</v>
      </c>
    </row>
    <row r="297" spans="1:51" ht="30" customHeight="1">
      <c r="A297" s="333" t="s">
        <v>2224</v>
      </c>
      <c r="B297" s="333" t="s">
        <v>378</v>
      </c>
      <c r="C297" s="333" t="s">
        <v>378</v>
      </c>
      <c r="D297" s="334"/>
      <c r="E297" s="370"/>
      <c r="F297" s="361">
        <f>TRUNC(SUMIF(N294:N296, N293, F294:F296),0)</f>
        <v>1466</v>
      </c>
      <c r="G297" s="370"/>
      <c r="H297" s="361">
        <f>TRUNC(SUMIF(N294:N296, N293, H294:H296),0)</f>
        <v>48879</v>
      </c>
      <c r="I297" s="370"/>
      <c r="J297" s="361">
        <f>TRUNC(SUMIF(N294:N296, N293, J294:J296),0)</f>
        <v>0</v>
      </c>
      <c r="K297" s="370"/>
      <c r="L297" s="361">
        <f>F297+H297+J297</f>
        <v>50345</v>
      </c>
      <c r="M297" s="333" t="s">
        <v>378</v>
      </c>
      <c r="N297" s="329" t="s">
        <v>1197</v>
      </c>
      <c r="O297" s="329" t="s">
        <v>1197</v>
      </c>
      <c r="P297" s="329" t="s">
        <v>378</v>
      </c>
      <c r="Q297" s="329" t="s">
        <v>378</v>
      </c>
      <c r="R297" s="329" t="s">
        <v>378</v>
      </c>
      <c r="AV297" s="329" t="s">
        <v>378</v>
      </c>
      <c r="AW297" s="329" t="s">
        <v>378</v>
      </c>
      <c r="AX297" s="329" t="s">
        <v>378</v>
      </c>
      <c r="AY297" s="329" t="s">
        <v>378</v>
      </c>
    </row>
    <row r="298" spans="1:51" ht="30" customHeight="1">
      <c r="A298" s="334"/>
      <c r="B298" s="334"/>
      <c r="C298" s="334"/>
      <c r="D298" s="334"/>
      <c r="E298" s="370"/>
      <c r="F298" s="361"/>
      <c r="G298" s="370"/>
      <c r="H298" s="361"/>
      <c r="I298" s="370"/>
      <c r="J298" s="361"/>
      <c r="K298" s="370"/>
      <c r="L298" s="361"/>
      <c r="M298" s="334"/>
    </row>
    <row r="299" spans="1:51" ht="30" customHeight="1">
      <c r="A299" s="718" t="s">
        <v>2561</v>
      </c>
      <c r="B299" s="718"/>
      <c r="C299" s="718"/>
      <c r="D299" s="718"/>
      <c r="E299" s="719"/>
      <c r="F299" s="720"/>
      <c r="G299" s="719"/>
      <c r="H299" s="720"/>
      <c r="I299" s="719"/>
      <c r="J299" s="720"/>
      <c r="K299" s="719"/>
      <c r="L299" s="720"/>
      <c r="M299" s="718"/>
      <c r="N299" s="329" t="s">
        <v>1220</v>
      </c>
    </row>
    <row r="300" spans="1:51" ht="30" customHeight="1">
      <c r="A300" s="333" t="s">
        <v>1889</v>
      </c>
      <c r="B300" s="333" t="s">
        <v>378</v>
      </c>
      <c r="C300" s="333" t="s">
        <v>1852</v>
      </c>
      <c r="D300" s="334">
        <f>신규_공량산출근거서_일위대가!K153</f>
        <v>0.19</v>
      </c>
      <c r="E300" s="370">
        <f>신규_단가대비표!O148</f>
        <v>0</v>
      </c>
      <c r="F300" s="361">
        <f>TRUNC(E300*D300,1)</f>
        <v>0</v>
      </c>
      <c r="G300" s="370">
        <f>신규_단가대비표!P148</f>
        <v>139072.71924000001</v>
      </c>
      <c r="H300" s="361">
        <f>TRUNC(G300*D300,1)</f>
        <v>26423.8</v>
      </c>
      <c r="I300" s="370">
        <f>신규_단가대비표!V148</f>
        <v>0</v>
      </c>
      <c r="J300" s="361">
        <f>TRUNC(I300*D300,1)</f>
        <v>0</v>
      </c>
      <c r="K300" s="370">
        <f t="shared" ref="K300:L304" si="62">TRUNC(E300+G300+I300,1)</f>
        <v>139072.70000000001</v>
      </c>
      <c r="L300" s="361">
        <f t="shared" si="62"/>
        <v>26423.8</v>
      </c>
      <c r="M300" s="333" t="s">
        <v>378</v>
      </c>
      <c r="N300" s="329" t="s">
        <v>1220</v>
      </c>
      <c r="O300" s="329" t="s">
        <v>2277</v>
      </c>
      <c r="P300" s="329" t="s">
        <v>1105</v>
      </c>
      <c r="Q300" s="329" t="s">
        <v>1105</v>
      </c>
      <c r="R300" s="329" t="s">
        <v>1104</v>
      </c>
      <c r="V300" s="330">
        <v>1</v>
      </c>
      <c r="AV300" s="329" t="s">
        <v>378</v>
      </c>
      <c r="AW300" s="329" t="s">
        <v>2562</v>
      </c>
      <c r="AX300" s="329" t="s">
        <v>378</v>
      </c>
      <c r="AY300" s="329" t="s">
        <v>378</v>
      </c>
    </row>
    <row r="301" spans="1:51" ht="30" customHeight="1">
      <c r="A301" s="333" t="s">
        <v>1851</v>
      </c>
      <c r="B301" s="333" t="s">
        <v>2221</v>
      </c>
      <c r="C301" s="333" t="s">
        <v>1852</v>
      </c>
      <c r="D301" s="334">
        <f>신규_공량산출근거서_일위대가!K154</f>
        <v>0.08</v>
      </c>
      <c r="E301" s="370">
        <f>신규_단가대비표!O154</f>
        <v>0</v>
      </c>
      <c r="F301" s="361">
        <f>TRUNC(E301*D301,1)</f>
        <v>0</v>
      </c>
      <c r="G301" s="370">
        <f>신규_단가대비표!P154</f>
        <v>234998.43458</v>
      </c>
      <c r="H301" s="361">
        <f>TRUNC(G301*D301,1)</f>
        <v>18799.8</v>
      </c>
      <c r="I301" s="370">
        <f>신규_단가대비표!V154</f>
        <v>0</v>
      </c>
      <c r="J301" s="361">
        <f>TRUNC(I301*D301,1)</f>
        <v>0</v>
      </c>
      <c r="K301" s="370">
        <f t="shared" si="62"/>
        <v>234998.39999999999</v>
      </c>
      <c r="L301" s="361">
        <f t="shared" si="62"/>
        <v>18799.8</v>
      </c>
      <c r="M301" s="333" t="s">
        <v>378</v>
      </c>
      <c r="N301" s="329" t="s">
        <v>1220</v>
      </c>
      <c r="O301" s="329" t="s">
        <v>2222</v>
      </c>
      <c r="P301" s="329" t="s">
        <v>1105</v>
      </c>
      <c r="Q301" s="329" t="s">
        <v>1105</v>
      </c>
      <c r="R301" s="329" t="s">
        <v>1104</v>
      </c>
      <c r="V301" s="330">
        <v>1</v>
      </c>
      <c r="AV301" s="329" t="s">
        <v>378</v>
      </c>
      <c r="AW301" s="329" t="s">
        <v>2563</v>
      </c>
      <c r="AX301" s="329" t="s">
        <v>378</v>
      </c>
      <c r="AY301" s="329" t="s">
        <v>378</v>
      </c>
    </row>
    <row r="302" spans="1:51" ht="30" customHeight="1">
      <c r="A302" s="333" t="s">
        <v>2564</v>
      </c>
      <c r="B302" s="333" t="s">
        <v>2565</v>
      </c>
      <c r="C302" s="333" t="s">
        <v>1811</v>
      </c>
      <c r="D302" s="334">
        <v>0.43</v>
      </c>
      <c r="E302" s="370">
        <f>신규_단가대비표!O53</f>
        <v>6777.9666500000003</v>
      </c>
      <c r="F302" s="361">
        <f>TRUNC(E302*D302,1)</f>
        <v>2914.5</v>
      </c>
      <c r="G302" s="370">
        <f>신규_단가대비표!P53</f>
        <v>43456</v>
      </c>
      <c r="H302" s="361">
        <f>TRUNC(G302*D302,1)</f>
        <v>18686</v>
      </c>
      <c r="I302" s="370">
        <f>신규_단가대비표!V53</f>
        <v>8611.69218</v>
      </c>
      <c r="J302" s="361">
        <f>TRUNC(I302*D302,1)</f>
        <v>3703</v>
      </c>
      <c r="K302" s="370">
        <f t="shared" si="62"/>
        <v>58845.599999999999</v>
      </c>
      <c r="L302" s="361">
        <f t="shared" si="62"/>
        <v>25303.5</v>
      </c>
      <c r="M302" s="333" t="s">
        <v>378</v>
      </c>
      <c r="N302" s="329" t="s">
        <v>1220</v>
      </c>
      <c r="O302" s="329" t="s">
        <v>2566</v>
      </c>
      <c r="P302" s="329" t="s">
        <v>1105</v>
      </c>
      <c r="Q302" s="329" t="s">
        <v>1105</v>
      </c>
      <c r="R302" s="329" t="s">
        <v>1104</v>
      </c>
      <c r="V302" s="330">
        <v>1</v>
      </c>
      <c r="AV302" s="329" t="s">
        <v>378</v>
      </c>
      <c r="AW302" s="329" t="s">
        <v>2567</v>
      </c>
      <c r="AX302" s="329" t="s">
        <v>378</v>
      </c>
      <c r="AY302" s="329" t="s">
        <v>378</v>
      </c>
    </row>
    <row r="303" spans="1:51" ht="30" customHeight="1">
      <c r="A303" s="333" t="s">
        <v>2217</v>
      </c>
      <c r="B303" s="333" t="s">
        <v>2218</v>
      </c>
      <c r="C303" s="333" t="s">
        <v>212</v>
      </c>
      <c r="D303" s="334">
        <v>1</v>
      </c>
      <c r="E303" s="370">
        <f>TRUNC(SUMIF(V300:V304, RIGHTB(O303, 1), H300:H304)*U303, 2)</f>
        <v>1917.28</v>
      </c>
      <c r="F303" s="361">
        <f>TRUNC(E303*D303,1)</f>
        <v>1917.2</v>
      </c>
      <c r="G303" s="370">
        <v>0</v>
      </c>
      <c r="H303" s="361">
        <f>TRUNC(G303*D303,1)</f>
        <v>0</v>
      </c>
      <c r="I303" s="370">
        <v>0</v>
      </c>
      <c r="J303" s="361">
        <f>TRUNC(I303*D303,1)</f>
        <v>0</v>
      </c>
      <c r="K303" s="370">
        <f t="shared" si="62"/>
        <v>1917.2</v>
      </c>
      <c r="L303" s="361">
        <f t="shared" si="62"/>
        <v>1917.2</v>
      </c>
      <c r="M303" s="333" t="s">
        <v>378</v>
      </c>
      <c r="N303" s="329" t="s">
        <v>1220</v>
      </c>
      <c r="O303" s="329" t="s">
        <v>2211</v>
      </c>
      <c r="P303" s="329" t="s">
        <v>1105</v>
      </c>
      <c r="Q303" s="329" t="s">
        <v>1105</v>
      </c>
      <c r="R303" s="329" t="s">
        <v>1105</v>
      </c>
      <c r="S303" s="330">
        <v>1</v>
      </c>
      <c r="T303" s="330">
        <v>0</v>
      </c>
      <c r="U303" s="330">
        <v>0.03</v>
      </c>
      <c r="V303" s="330">
        <v>1</v>
      </c>
      <c r="AV303" s="329" t="s">
        <v>378</v>
      </c>
      <c r="AW303" s="329" t="s">
        <v>2568</v>
      </c>
      <c r="AX303" s="329" t="s">
        <v>378</v>
      </c>
      <c r="AY303" s="329" t="s">
        <v>378</v>
      </c>
    </row>
    <row r="304" spans="1:51" ht="30" customHeight="1">
      <c r="A304" s="333" t="s">
        <v>2569</v>
      </c>
      <c r="B304" s="333" t="s">
        <v>378</v>
      </c>
      <c r="C304" s="333" t="s">
        <v>265</v>
      </c>
      <c r="D304" s="334">
        <v>1</v>
      </c>
      <c r="E304" s="370">
        <f>신규_단가대비표!O71</f>
        <v>43386.07</v>
      </c>
      <c r="F304" s="361">
        <f>TRUNC(E304*D304,1)</f>
        <v>43386</v>
      </c>
      <c r="G304" s="370">
        <f>신규_단가대비표!P71</f>
        <v>0</v>
      </c>
      <c r="H304" s="361">
        <f>TRUNC(G304*D304,1)</f>
        <v>0</v>
      </c>
      <c r="I304" s="370">
        <f>신규_단가대비표!V71</f>
        <v>0</v>
      </c>
      <c r="J304" s="361">
        <f>TRUNC(I304*D304,1)</f>
        <v>0</v>
      </c>
      <c r="K304" s="370">
        <f t="shared" si="62"/>
        <v>43386</v>
      </c>
      <c r="L304" s="361">
        <f t="shared" si="62"/>
        <v>43386</v>
      </c>
      <c r="M304" s="333" t="s">
        <v>378</v>
      </c>
      <c r="N304" s="329" t="s">
        <v>1220</v>
      </c>
      <c r="O304" s="329" t="s">
        <v>2570</v>
      </c>
      <c r="P304" s="329" t="s">
        <v>1105</v>
      </c>
      <c r="Q304" s="329" t="s">
        <v>1105</v>
      </c>
      <c r="R304" s="329" t="s">
        <v>1104</v>
      </c>
      <c r="AV304" s="329" t="s">
        <v>378</v>
      </c>
      <c r="AW304" s="329" t="s">
        <v>2571</v>
      </c>
      <c r="AX304" s="329" t="s">
        <v>378</v>
      </c>
      <c r="AY304" s="329" t="s">
        <v>378</v>
      </c>
    </row>
    <row r="305" spans="1:51" ht="30" customHeight="1">
      <c r="A305" s="333" t="s">
        <v>2224</v>
      </c>
      <c r="B305" s="333" t="s">
        <v>378</v>
      </c>
      <c r="C305" s="333" t="s">
        <v>378</v>
      </c>
      <c r="D305" s="334"/>
      <c r="E305" s="370"/>
      <c r="F305" s="361">
        <f>TRUNC(SUMIF(N300:N304, N299, F300:F304),0)</f>
        <v>48217</v>
      </c>
      <c r="G305" s="370"/>
      <c r="H305" s="361">
        <f>TRUNC(SUMIF(N300:N304, N299, H300:H304),0)</f>
        <v>63909</v>
      </c>
      <c r="I305" s="370"/>
      <c r="J305" s="361">
        <f>TRUNC(SUMIF(N300:N304, N299, J300:J304),0)</f>
        <v>3703</v>
      </c>
      <c r="K305" s="370"/>
      <c r="L305" s="361">
        <f>F305+H305+J305</f>
        <v>115829</v>
      </c>
      <c r="M305" s="333" t="s">
        <v>378</v>
      </c>
      <c r="N305" s="329" t="s">
        <v>1197</v>
      </c>
      <c r="O305" s="329" t="s">
        <v>1197</v>
      </c>
      <c r="P305" s="329" t="s">
        <v>378</v>
      </c>
      <c r="Q305" s="329" t="s">
        <v>378</v>
      </c>
      <c r="R305" s="329" t="s">
        <v>378</v>
      </c>
      <c r="AV305" s="329" t="s">
        <v>378</v>
      </c>
      <c r="AW305" s="329" t="s">
        <v>378</v>
      </c>
      <c r="AX305" s="329" t="s">
        <v>378</v>
      </c>
      <c r="AY305" s="329" t="s">
        <v>378</v>
      </c>
    </row>
    <row r="306" spans="1:51" ht="30" customHeight="1">
      <c r="A306" s="334"/>
      <c r="B306" s="334"/>
      <c r="C306" s="334"/>
      <c r="D306" s="334"/>
      <c r="E306" s="370"/>
      <c r="F306" s="361"/>
      <c r="G306" s="370"/>
      <c r="H306" s="361"/>
      <c r="I306" s="370"/>
      <c r="J306" s="361"/>
      <c r="K306" s="370"/>
      <c r="L306" s="361"/>
      <c r="M306" s="334"/>
    </row>
    <row r="307" spans="1:51" ht="30" customHeight="1">
      <c r="A307" s="718" t="s">
        <v>2572</v>
      </c>
      <c r="B307" s="718"/>
      <c r="C307" s="718"/>
      <c r="D307" s="718"/>
      <c r="E307" s="719"/>
      <c r="F307" s="720"/>
      <c r="G307" s="719"/>
      <c r="H307" s="720"/>
      <c r="I307" s="719"/>
      <c r="J307" s="720"/>
      <c r="K307" s="719"/>
      <c r="L307" s="720"/>
      <c r="M307" s="718"/>
      <c r="N307" s="329" t="s">
        <v>1222</v>
      </c>
    </row>
    <row r="308" spans="1:51" ht="30" customHeight="1">
      <c r="A308" s="333" t="s">
        <v>2573</v>
      </c>
      <c r="B308" s="333" t="s">
        <v>320</v>
      </c>
      <c r="C308" s="333" t="s">
        <v>321</v>
      </c>
      <c r="D308" s="334">
        <v>1</v>
      </c>
      <c r="E308" s="370">
        <f>신규_단가대비표!O72</f>
        <v>796887</v>
      </c>
      <c r="F308" s="361">
        <f t="shared" ref="F308:F313" si="63">TRUNC(E308*D308,1)</f>
        <v>796887</v>
      </c>
      <c r="G308" s="370">
        <f>신규_단가대비표!P72</f>
        <v>0</v>
      </c>
      <c r="H308" s="361">
        <f t="shared" ref="H308:H313" si="64">TRUNC(G308*D308,1)</f>
        <v>0</v>
      </c>
      <c r="I308" s="370">
        <f>신규_단가대비표!V72</f>
        <v>0</v>
      </c>
      <c r="J308" s="361">
        <f t="shared" ref="J308:J313" si="65">TRUNC(I308*D308,1)</f>
        <v>0</v>
      </c>
      <c r="K308" s="370">
        <f t="shared" ref="K308:L313" si="66">TRUNC(E308+G308+I308,1)</f>
        <v>796887</v>
      </c>
      <c r="L308" s="361">
        <f t="shared" si="66"/>
        <v>796887</v>
      </c>
      <c r="M308" s="333" t="s">
        <v>378</v>
      </c>
      <c r="N308" s="329" t="s">
        <v>1222</v>
      </c>
      <c r="O308" s="329" t="s">
        <v>2574</v>
      </c>
      <c r="P308" s="329" t="s">
        <v>1105</v>
      </c>
      <c r="Q308" s="329" t="s">
        <v>1105</v>
      </c>
      <c r="R308" s="329" t="s">
        <v>1104</v>
      </c>
      <c r="AV308" s="329" t="s">
        <v>378</v>
      </c>
      <c r="AW308" s="329" t="s">
        <v>2575</v>
      </c>
      <c r="AX308" s="329" t="s">
        <v>378</v>
      </c>
      <c r="AY308" s="329" t="s">
        <v>378</v>
      </c>
    </row>
    <row r="309" spans="1:51" ht="30" customHeight="1">
      <c r="A309" s="333" t="s">
        <v>305</v>
      </c>
      <c r="B309" s="333" t="s">
        <v>306</v>
      </c>
      <c r="C309" s="333" t="s">
        <v>265</v>
      </c>
      <c r="D309" s="334">
        <v>1</v>
      </c>
      <c r="E309" s="370">
        <f>신규_일위대가목록!E40</f>
        <v>40781</v>
      </c>
      <c r="F309" s="361">
        <f t="shared" si="63"/>
        <v>40781</v>
      </c>
      <c r="G309" s="370">
        <f>신규_일위대가목록!F40</f>
        <v>31254</v>
      </c>
      <c r="H309" s="361">
        <f t="shared" si="64"/>
        <v>31254</v>
      </c>
      <c r="I309" s="370">
        <f>신규_일위대가목록!G40</f>
        <v>0</v>
      </c>
      <c r="J309" s="361">
        <f t="shared" si="65"/>
        <v>0</v>
      </c>
      <c r="K309" s="370">
        <f t="shared" si="66"/>
        <v>72035</v>
      </c>
      <c r="L309" s="361">
        <f t="shared" si="66"/>
        <v>72035</v>
      </c>
      <c r="M309" s="333" t="s">
        <v>1727</v>
      </c>
      <c r="N309" s="329" t="s">
        <v>1222</v>
      </c>
      <c r="O309" s="329" t="s">
        <v>1209</v>
      </c>
      <c r="P309" s="329" t="s">
        <v>1104</v>
      </c>
      <c r="Q309" s="329" t="s">
        <v>1105</v>
      </c>
      <c r="R309" s="329" t="s">
        <v>1105</v>
      </c>
      <c r="AV309" s="329" t="s">
        <v>378</v>
      </c>
      <c r="AW309" s="329" t="s">
        <v>2576</v>
      </c>
      <c r="AX309" s="329" t="s">
        <v>378</v>
      </c>
      <c r="AY309" s="329" t="s">
        <v>378</v>
      </c>
    </row>
    <row r="310" spans="1:51" ht="30" customHeight="1">
      <c r="A310" s="333" t="s">
        <v>2577</v>
      </c>
      <c r="B310" s="333" t="s">
        <v>2578</v>
      </c>
      <c r="C310" s="333" t="s">
        <v>265</v>
      </c>
      <c r="D310" s="334">
        <v>4</v>
      </c>
      <c r="E310" s="370">
        <f>신규_단가대비표!O73</f>
        <v>132814.5</v>
      </c>
      <c r="F310" s="361">
        <f t="shared" si="63"/>
        <v>531258</v>
      </c>
      <c r="G310" s="370">
        <f>신규_단가대비표!P73</f>
        <v>0</v>
      </c>
      <c r="H310" s="361">
        <f t="shared" si="64"/>
        <v>0</v>
      </c>
      <c r="I310" s="370">
        <f>신규_단가대비표!V73</f>
        <v>0</v>
      </c>
      <c r="J310" s="361">
        <f t="shared" si="65"/>
        <v>0</v>
      </c>
      <c r="K310" s="370">
        <f t="shared" si="66"/>
        <v>132814.5</v>
      </c>
      <c r="L310" s="361">
        <f t="shared" si="66"/>
        <v>531258</v>
      </c>
      <c r="M310" s="333" t="s">
        <v>378</v>
      </c>
      <c r="N310" s="329" t="s">
        <v>1222</v>
      </c>
      <c r="O310" s="329" t="s">
        <v>2579</v>
      </c>
      <c r="P310" s="329" t="s">
        <v>1105</v>
      </c>
      <c r="Q310" s="329" t="s">
        <v>1105</v>
      </c>
      <c r="R310" s="329" t="s">
        <v>1104</v>
      </c>
      <c r="AV310" s="329" t="s">
        <v>378</v>
      </c>
      <c r="AW310" s="329" t="s">
        <v>2580</v>
      </c>
      <c r="AX310" s="329" t="s">
        <v>378</v>
      </c>
      <c r="AY310" s="329" t="s">
        <v>378</v>
      </c>
    </row>
    <row r="311" spans="1:51" ht="30" customHeight="1">
      <c r="A311" s="333" t="s">
        <v>2581</v>
      </c>
      <c r="B311" s="333" t="s">
        <v>2581</v>
      </c>
      <c r="C311" s="333" t="s">
        <v>265</v>
      </c>
      <c r="D311" s="334">
        <v>1</v>
      </c>
      <c r="E311" s="370">
        <f>신규_단가대비표!O74</f>
        <v>1682.317</v>
      </c>
      <c r="F311" s="361">
        <f t="shared" si="63"/>
        <v>1682.3</v>
      </c>
      <c r="G311" s="370">
        <f>신규_단가대비표!P74</f>
        <v>0</v>
      </c>
      <c r="H311" s="361">
        <f t="shared" si="64"/>
        <v>0</v>
      </c>
      <c r="I311" s="370">
        <f>신규_단가대비표!V74</f>
        <v>0</v>
      </c>
      <c r="J311" s="361">
        <f t="shared" si="65"/>
        <v>0</v>
      </c>
      <c r="K311" s="370">
        <f t="shared" si="66"/>
        <v>1682.3</v>
      </c>
      <c r="L311" s="361">
        <f t="shared" si="66"/>
        <v>1682.3</v>
      </c>
      <c r="M311" s="333" t="s">
        <v>378</v>
      </c>
      <c r="N311" s="329" t="s">
        <v>1222</v>
      </c>
      <c r="O311" s="329" t="s">
        <v>2582</v>
      </c>
      <c r="P311" s="329" t="s">
        <v>1105</v>
      </c>
      <c r="Q311" s="329" t="s">
        <v>1105</v>
      </c>
      <c r="R311" s="329" t="s">
        <v>1104</v>
      </c>
      <c r="AV311" s="329" t="s">
        <v>378</v>
      </c>
      <c r="AW311" s="329" t="s">
        <v>2583</v>
      </c>
      <c r="AX311" s="329" t="s">
        <v>378</v>
      </c>
      <c r="AY311" s="329" t="s">
        <v>378</v>
      </c>
    </row>
    <row r="312" spans="1:51" ht="30" customHeight="1">
      <c r="A312" s="333" t="s">
        <v>2217</v>
      </c>
      <c r="B312" s="333" t="s">
        <v>2218</v>
      </c>
      <c r="C312" s="333" t="s">
        <v>212</v>
      </c>
      <c r="D312" s="334">
        <v>1</v>
      </c>
      <c r="E312" s="370">
        <f>TRUNC(SUMIF(V308:V313, RIGHTB(O312, 1), H308:H313)*U312, 2)</f>
        <v>10151.93</v>
      </c>
      <c r="F312" s="361">
        <f t="shared" si="63"/>
        <v>10151.9</v>
      </c>
      <c r="G312" s="370">
        <v>0</v>
      </c>
      <c r="H312" s="361">
        <f t="shared" si="64"/>
        <v>0</v>
      </c>
      <c r="I312" s="370">
        <v>0</v>
      </c>
      <c r="J312" s="361">
        <f t="shared" si="65"/>
        <v>0</v>
      </c>
      <c r="K312" s="370">
        <f t="shared" si="66"/>
        <v>10151.9</v>
      </c>
      <c r="L312" s="361">
        <f t="shared" si="66"/>
        <v>10151.9</v>
      </c>
      <c r="M312" s="333" t="s">
        <v>378</v>
      </c>
      <c r="N312" s="329" t="s">
        <v>1222</v>
      </c>
      <c r="O312" s="329" t="s">
        <v>2211</v>
      </c>
      <c r="P312" s="329" t="s">
        <v>1105</v>
      </c>
      <c r="Q312" s="329" t="s">
        <v>1105</v>
      </c>
      <c r="R312" s="329" t="s">
        <v>1105</v>
      </c>
      <c r="S312" s="330">
        <v>1</v>
      </c>
      <c r="T312" s="330">
        <v>0</v>
      </c>
      <c r="U312" s="330">
        <v>0.03</v>
      </c>
      <c r="V312" s="330">
        <v>1</v>
      </c>
      <c r="AV312" s="329" t="s">
        <v>378</v>
      </c>
      <c r="AW312" s="329" t="s">
        <v>2584</v>
      </c>
      <c r="AX312" s="329" t="s">
        <v>378</v>
      </c>
      <c r="AY312" s="329" t="s">
        <v>378</v>
      </c>
    </row>
    <row r="313" spans="1:51" ht="30" customHeight="1">
      <c r="A313" s="333" t="s">
        <v>1851</v>
      </c>
      <c r="B313" s="333" t="s">
        <v>2221</v>
      </c>
      <c r="C313" s="333" t="s">
        <v>1852</v>
      </c>
      <c r="D313" s="334">
        <f>신규_공량산출근거서_일위대가!K158</f>
        <v>1.44</v>
      </c>
      <c r="E313" s="370">
        <f>신규_단가대비표!O154</f>
        <v>0</v>
      </c>
      <c r="F313" s="361">
        <f t="shared" si="63"/>
        <v>0</v>
      </c>
      <c r="G313" s="370">
        <f>신규_단가대비표!P154</f>
        <v>234998.43458</v>
      </c>
      <c r="H313" s="361">
        <f t="shared" si="64"/>
        <v>338397.7</v>
      </c>
      <c r="I313" s="370">
        <f>신규_단가대비표!V154</f>
        <v>0</v>
      </c>
      <c r="J313" s="361">
        <f t="shared" si="65"/>
        <v>0</v>
      </c>
      <c r="K313" s="370">
        <f t="shared" si="66"/>
        <v>234998.39999999999</v>
      </c>
      <c r="L313" s="361">
        <f t="shared" si="66"/>
        <v>338397.7</v>
      </c>
      <c r="M313" s="333" t="s">
        <v>378</v>
      </c>
      <c r="N313" s="329" t="s">
        <v>1222</v>
      </c>
      <c r="O313" s="329" t="s">
        <v>2222</v>
      </c>
      <c r="P313" s="329" t="s">
        <v>1105</v>
      </c>
      <c r="Q313" s="329" t="s">
        <v>1105</v>
      </c>
      <c r="R313" s="329" t="s">
        <v>1104</v>
      </c>
      <c r="V313" s="330">
        <v>1</v>
      </c>
      <c r="AV313" s="329" t="s">
        <v>378</v>
      </c>
      <c r="AW313" s="329" t="s">
        <v>2585</v>
      </c>
      <c r="AX313" s="329" t="s">
        <v>378</v>
      </c>
      <c r="AY313" s="329" t="s">
        <v>378</v>
      </c>
    </row>
    <row r="314" spans="1:51" ht="30" customHeight="1">
      <c r="A314" s="333" t="s">
        <v>2224</v>
      </c>
      <c r="B314" s="333" t="s">
        <v>378</v>
      </c>
      <c r="C314" s="333" t="s">
        <v>378</v>
      </c>
      <c r="D314" s="334"/>
      <c r="E314" s="370"/>
      <c r="F314" s="361">
        <f>TRUNC(SUMIF(N308:N313, N307, F308:F313),0)</f>
        <v>1380760</v>
      </c>
      <c r="G314" s="370"/>
      <c r="H314" s="361">
        <f>TRUNC(SUMIF(N308:N313, N307, H308:H313),0)</f>
        <v>369651</v>
      </c>
      <c r="I314" s="370"/>
      <c r="J314" s="361">
        <f>TRUNC(SUMIF(N308:N313, N307, J308:J313),0)</f>
        <v>0</v>
      </c>
      <c r="K314" s="370"/>
      <c r="L314" s="361">
        <f>F314+H314+J314</f>
        <v>1750411</v>
      </c>
      <c r="M314" s="333" t="s">
        <v>378</v>
      </c>
      <c r="N314" s="329" t="s">
        <v>1197</v>
      </c>
      <c r="O314" s="329" t="s">
        <v>1197</v>
      </c>
      <c r="P314" s="329" t="s">
        <v>378</v>
      </c>
      <c r="Q314" s="329" t="s">
        <v>378</v>
      </c>
      <c r="R314" s="329" t="s">
        <v>378</v>
      </c>
      <c r="AV314" s="329" t="s">
        <v>378</v>
      </c>
      <c r="AW314" s="329" t="s">
        <v>378</v>
      </c>
      <c r="AX314" s="329" t="s">
        <v>378</v>
      </c>
      <c r="AY314" s="329" t="s">
        <v>378</v>
      </c>
    </row>
    <row r="315" spans="1:51" ht="30" customHeight="1">
      <c r="A315" s="334"/>
      <c r="B315" s="334"/>
      <c r="C315" s="334"/>
      <c r="D315" s="334"/>
      <c r="E315" s="370"/>
      <c r="F315" s="361"/>
      <c r="G315" s="370"/>
      <c r="H315" s="361"/>
      <c r="I315" s="370"/>
      <c r="J315" s="361"/>
      <c r="K315" s="370"/>
      <c r="L315" s="361"/>
      <c r="M315" s="334"/>
    </row>
    <row r="316" spans="1:51" ht="30" customHeight="1">
      <c r="A316" s="718" t="s">
        <v>2586</v>
      </c>
      <c r="B316" s="718"/>
      <c r="C316" s="718"/>
      <c r="D316" s="718"/>
      <c r="E316" s="719"/>
      <c r="F316" s="720"/>
      <c r="G316" s="719"/>
      <c r="H316" s="720"/>
      <c r="I316" s="719"/>
      <c r="J316" s="720"/>
      <c r="K316" s="719"/>
      <c r="L316" s="720"/>
      <c r="M316" s="718"/>
      <c r="N316" s="329" t="s">
        <v>1224</v>
      </c>
    </row>
    <row r="317" spans="1:51" ht="30" customHeight="1">
      <c r="A317" s="333" t="s">
        <v>2573</v>
      </c>
      <c r="B317" s="333" t="s">
        <v>320</v>
      </c>
      <c r="C317" s="333" t="s">
        <v>321</v>
      </c>
      <c r="D317" s="334">
        <v>1</v>
      </c>
      <c r="E317" s="370">
        <f>신규_단가대비표!O72</f>
        <v>796887</v>
      </c>
      <c r="F317" s="361">
        <f t="shared" ref="F317:F322" si="67">TRUNC(E317*D317,1)</f>
        <v>796887</v>
      </c>
      <c r="G317" s="370">
        <f>신규_단가대비표!P72</f>
        <v>0</v>
      </c>
      <c r="H317" s="361">
        <f t="shared" ref="H317:H322" si="68">TRUNC(G317*D317,1)</f>
        <v>0</v>
      </c>
      <c r="I317" s="370">
        <f>신규_단가대비표!V72</f>
        <v>0</v>
      </c>
      <c r="J317" s="361">
        <f t="shared" ref="J317:J322" si="69">TRUNC(I317*D317,1)</f>
        <v>0</v>
      </c>
      <c r="K317" s="370">
        <f t="shared" ref="K317:L322" si="70">TRUNC(E317+G317+I317,1)</f>
        <v>796887</v>
      </c>
      <c r="L317" s="361">
        <f t="shared" si="70"/>
        <v>796887</v>
      </c>
      <c r="M317" s="333" t="s">
        <v>378</v>
      </c>
      <c r="N317" s="329" t="s">
        <v>1224</v>
      </c>
      <c r="O317" s="329" t="s">
        <v>2574</v>
      </c>
      <c r="P317" s="329" t="s">
        <v>1105</v>
      </c>
      <c r="Q317" s="329" t="s">
        <v>1105</v>
      </c>
      <c r="R317" s="329" t="s">
        <v>1104</v>
      </c>
      <c r="AV317" s="329" t="s">
        <v>378</v>
      </c>
      <c r="AW317" s="329" t="s">
        <v>2587</v>
      </c>
      <c r="AX317" s="329" t="s">
        <v>378</v>
      </c>
      <c r="AY317" s="329" t="s">
        <v>378</v>
      </c>
    </row>
    <row r="318" spans="1:51" ht="30" customHeight="1">
      <c r="A318" s="333" t="s">
        <v>305</v>
      </c>
      <c r="B318" s="333" t="s">
        <v>306</v>
      </c>
      <c r="C318" s="333" t="s">
        <v>265</v>
      </c>
      <c r="D318" s="334">
        <v>1</v>
      </c>
      <c r="E318" s="370">
        <f>신규_일위대가목록!E40</f>
        <v>40781</v>
      </c>
      <c r="F318" s="361">
        <f t="shared" si="67"/>
        <v>40781</v>
      </c>
      <c r="G318" s="370">
        <f>신규_일위대가목록!F40</f>
        <v>31254</v>
      </c>
      <c r="H318" s="361">
        <f t="shared" si="68"/>
        <v>31254</v>
      </c>
      <c r="I318" s="370">
        <f>신규_일위대가목록!G40</f>
        <v>0</v>
      </c>
      <c r="J318" s="361">
        <f t="shared" si="69"/>
        <v>0</v>
      </c>
      <c r="K318" s="370">
        <f t="shared" si="70"/>
        <v>72035</v>
      </c>
      <c r="L318" s="361">
        <f t="shared" si="70"/>
        <v>72035</v>
      </c>
      <c r="M318" s="333" t="s">
        <v>1727</v>
      </c>
      <c r="N318" s="329" t="s">
        <v>1224</v>
      </c>
      <c r="O318" s="329" t="s">
        <v>1209</v>
      </c>
      <c r="P318" s="329" t="s">
        <v>1104</v>
      </c>
      <c r="Q318" s="329" t="s">
        <v>1105</v>
      </c>
      <c r="R318" s="329" t="s">
        <v>1105</v>
      </c>
      <c r="AV318" s="329" t="s">
        <v>378</v>
      </c>
      <c r="AW318" s="329" t="s">
        <v>2588</v>
      </c>
      <c r="AX318" s="329" t="s">
        <v>378</v>
      </c>
      <c r="AY318" s="329" t="s">
        <v>378</v>
      </c>
    </row>
    <row r="319" spans="1:51" ht="30" customHeight="1">
      <c r="A319" s="333" t="s">
        <v>2577</v>
      </c>
      <c r="B319" s="333" t="s">
        <v>2589</v>
      </c>
      <c r="C319" s="333" t="s">
        <v>265</v>
      </c>
      <c r="D319" s="334">
        <v>6</v>
      </c>
      <c r="E319" s="370">
        <f>신규_단가대비표!O77</f>
        <v>84115.85</v>
      </c>
      <c r="F319" s="361">
        <f t="shared" si="67"/>
        <v>504695.1</v>
      </c>
      <c r="G319" s="370">
        <f>신규_단가대비표!P77</f>
        <v>0</v>
      </c>
      <c r="H319" s="361">
        <f t="shared" si="68"/>
        <v>0</v>
      </c>
      <c r="I319" s="370">
        <f>신규_단가대비표!V77</f>
        <v>0</v>
      </c>
      <c r="J319" s="361">
        <f t="shared" si="69"/>
        <v>0</v>
      </c>
      <c r="K319" s="370">
        <f t="shared" si="70"/>
        <v>84115.8</v>
      </c>
      <c r="L319" s="361">
        <f t="shared" si="70"/>
        <v>504695.1</v>
      </c>
      <c r="M319" s="333" t="s">
        <v>378</v>
      </c>
      <c r="N319" s="329" t="s">
        <v>1224</v>
      </c>
      <c r="O319" s="329" t="s">
        <v>2590</v>
      </c>
      <c r="P319" s="329" t="s">
        <v>1105</v>
      </c>
      <c r="Q319" s="329" t="s">
        <v>1105</v>
      </c>
      <c r="R319" s="329" t="s">
        <v>1104</v>
      </c>
      <c r="AV319" s="329" t="s">
        <v>378</v>
      </c>
      <c r="AW319" s="329" t="s">
        <v>2591</v>
      </c>
      <c r="AX319" s="329" t="s">
        <v>378</v>
      </c>
      <c r="AY319" s="329" t="s">
        <v>378</v>
      </c>
    </row>
    <row r="320" spans="1:51" ht="30" customHeight="1">
      <c r="A320" s="333" t="s">
        <v>2581</v>
      </c>
      <c r="B320" s="333" t="s">
        <v>2581</v>
      </c>
      <c r="C320" s="333" t="s">
        <v>265</v>
      </c>
      <c r="D320" s="334">
        <v>1</v>
      </c>
      <c r="E320" s="370">
        <f>신규_단가대비표!O74</f>
        <v>1682.317</v>
      </c>
      <c r="F320" s="361">
        <f t="shared" si="67"/>
        <v>1682.3</v>
      </c>
      <c r="G320" s="370">
        <f>신규_단가대비표!P74</f>
        <v>0</v>
      </c>
      <c r="H320" s="361">
        <f t="shared" si="68"/>
        <v>0</v>
      </c>
      <c r="I320" s="370">
        <f>신규_단가대비표!V74</f>
        <v>0</v>
      </c>
      <c r="J320" s="361">
        <f t="shared" si="69"/>
        <v>0</v>
      </c>
      <c r="K320" s="370">
        <f t="shared" si="70"/>
        <v>1682.3</v>
      </c>
      <c r="L320" s="361">
        <f t="shared" si="70"/>
        <v>1682.3</v>
      </c>
      <c r="M320" s="333" t="s">
        <v>378</v>
      </c>
      <c r="N320" s="329" t="s">
        <v>1224</v>
      </c>
      <c r="O320" s="329" t="s">
        <v>2582</v>
      </c>
      <c r="P320" s="329" t="s">
        <v>1105</v>
      </c>
      <c r="Q320" s="329" t="s">
        <v>1105</v>
      </c>
      <c r="R320" s="329" t="s">
        <v>1104</v>
      </c>
      <c r="AV320" s="329" t="s">
        <v>378</v>
      </c>
      <c r="AW320" s="329" t="s">
        <v>2592</v>
      </c>
      <c r="AX320" s="329" t="s">
        <v>378</v>
      </c>
      <c r="AY320" s="329" t="s">
        <v>378</v>
      </c>
    </row>
    <row r="321" spans="1:51" ht="30" customHeight="1">
      <c r="A321" s="333" t="s">
        <v>2217</v>
      </c>
      <c r="B321" s="333" t="s">
        <v>2218</v>
      </c>
      <c r="C321" s="333" t="s">
        <v>212</v>
      </c>
      <c r="D321" s="334">
        <v>1</v>
      </c>
      <c r="E321" s="370">
        <f>TRUNC(SUMIF(V317:V322, RIGHTB(O321, 1), H317:H322)*U321, 2)</f>
        <v>11632.42</v>
      </c>
      <c r="F321" s="361">
        <f t="shared" si="67"/>
        <v>11632.4</v>
      </c>
      <c r="G321" s="370">
        <v>0</v>
      </c>
      <c r="H321" s="361">
        <f t="shared" si="68"/>
        <v>0</v>
      </c>
      <c r="I321" s="370">
        <v>0</v>
      </c>
      <c r="J321" s="361">
        <f t="shared" si="69"/>
        <v>0</v>
      </c>
      <c r="K321" s="370">
        <f t="shared" si="70"/>
        <v>11632.4</v>
      </c>
      <c r="L321" s="361">
        <f t="shared" si="70"/>
        <v>11632.4</v>
      </c>
      <c r="M321" s="333" t="s">
        <v>378</v>
      </c>
      <c r="N321" s="329" t="s">
        <v>1224</v>
      </c>
      <c r="O321" s="329" t="s">
        <v>2211</v>
      </c>
      <c r="P321" s="329" t="s">
        <v>1105</v>
      </c>
      <c r="Q321" s="329" t="s">
        <v>1105</v>
      </c>
      <c r="R321" s="329" t="s">
        <v>1105</v>
      </c>
      <c r="S321" s="330">
        <v>1</v>
      </c>
      <c r="T321" s="330">
        <v>0</v>
      </c>
      <c r="U321" s="330">
        <v>0.03</v>
      </c>
      <c r="V321" s="330">
        <v>1</v>
      </c>
      <c r="AV321" s="329" t="s">
        <v>378</v>
      </c>
      <c r="AW321" s="329" t="s">
        <v>2593</v>
      </c>
      <c r="AX321" s="329" t="s">
        <v>378</v>
      </c>
      <c r="AY321" s="329" t="s">
        <v>378</v>
      </c>
    </row>
    <row r="322" spans="1:51" ht="30" customHeight="1">
      <c r="A322" s="333" t="s">
        <v>1851</v>
      </c>
      <c r="B322" s="333" t="s">
        <v>2221</v>
      </c>
      <c r="C322" s="333" t="s">
        <v>1852</v>
      </c>
      <c r="D322" s="334">
        <f>신규_공량산출근거서_일위대가!K162</f>
        <v>1.65</v>
      </c>
      <c r="E322" s="370">
        <f>신규_단가대비표!O154</f>
        <v>0</v>
      </c>
      <c r="F322" s="361">
        <f t="shared" si="67"/>
        <v>0</v>
      </c>
      <c r="G322" s="370">
        <f>신규_단가대비표!P154</f>
        <v>234998.43458</v>
      </c>
      <c r="H322" s="361">
        <f t="shared" si="68"/>
        <v>387747.4</v>
      </c>
      <c r="I322" s="370">
        <f>신규_단가대비표!V154</f>
        <v>0</v>
      </c>
      <c r="J322" s="361">
        <f t="shared" si="69"/>
        <v>0</v>
      </c>
      <c r="K322" s="370">
        <f t="shared" si="70"/>
        <v>234998.39999999999</v>
      </c>
      <c r="L322" s="361">
        <f t="shared" si="70"/>
        <v>387747.4</v>
      </c>
      <c r="M322" s="333" t="s">
        <v>378</v>
      </c>
      <c r="N322" s="329" t="s">
        <v>1224</v>
      </c>
      <c r="O322" s="329" t="s">
        <v>2222</v>
      </c>
      <c r="P322" s="329" t="s">
        <v>1105</v>
      </c>
      <c r="Q322" s="329" t="s">
        <v>1105</v>
      </c>
      <c r="R322" s="329" t="s">
        <v>1104</v>
      </c>
      <c r="V322" s="330">
        <v>1</v>
      </c>
      <c r="AV322" s="329" t="s">
        <v>378</v>
      </c>
      <c r="AW322" s="329" t="s">
        <v>2594</v>
      </c>
      <c r="AX322" s="329" t="s">
        <v>378</v>
      </c>
      <c r="AY322" s="329" t="s">
        <v>378</v>
      </c>
    </row>
    <row r="323" spans="1:51" ht="30" customHeight="1">
      <c r="A323" s="333" t="s">
        <v>2224</v>
      </c>
      <c r="B323" s="333" t="s">
        <v>378</v>
      </c>
      <c r="C323" s="333" t="s">
        <v>378</v>
      </c>
      <c r="D323" s="334"/>
      <c r="E323" s="370"/>
      <c r="F323" s="361">
        <f>TRUNC(SUMIF(N317:N322, N316, F317:F322),0)</f>
        <v>1355677</v>
      </c>
      <c r="G323" s="370"/>
      <c r="H323" s="361">
        <f>TRUNC(SUMIF(N317:N322, N316, H317:H322),0)</f>
        <v>419001</v>
      </c>
      <c r="I323" s="370"/>
      <c r="J323" s="361">
        <f>TRUNC(SUMIF(N317:N322, N316, J317:J322),0)</f>
        <v>0</v>
      </c>
      <c r="K323" s="370"/>
      <c r="L323" s="361">
        <f>F323+H323+J323</f>
        <v>1774678</v>
      </c>
      <c r="M323" s="333" t="s">
        <v>378</v>
      </c>
      <c r="N323" s="329" t="s">
        <v>1197</v>
      </c>
      <c r="O323" s="329" t="s">
        <v>1197</v>
      </c>
      <c r="P323" s="329" t="s">
        <v>378</v>
      </c>
      <c r="Q323" s="329" t="s">
        <v>378</v>
      </c>
      <c r="R323" s="329" t="s">
        <v>378</v>
      </c>
      <c r="AV323" s="329" t="s">
        <v>378</v>
      </c>
      <c r="AW323" s="329" t="s">
        <v>378</v>
      </c>
      <c r="AX323" s="329" t="s">
        <v>378</v>
      </c>
      <c r="AY323" s="329" t="s">
        <v>378</v>
      </c>
    </row>
    <row r="324" spans="1:51" ht="30" customHeight="1">
      <c r="A324" s="334"/>
      <c r="B324" s="334"/>
      <c r="C324" s="334"/>
      <c r="D324" s="334"/>
      <c r="E324" s="370"/>
      <c r="F324" s="361"/>
      <c r="G324" s="370"/>
      <c r="H324" s="361"/>
      <c r="I324" s="370"/>
      <c r="J324" s="361"/>
      <c r="K324" s="370"/>
      <c r="L324" s="361"/>
      <c r="M324" s="334"/>
    </row>
    <row r="325" spans="1:51" ht="30" customHeight="1">
      <c r="A325" s="718" t="s">
        <v>2595</v>
      </c>
      <c r="B325" s="718"/>
      <c r="C325" s="718"/>
      <c r="D325" s="718"/>
      <c r="E325" s="719"/>
      <c r="F325" s="720"/>
      <c r="G325" s="719"/>
      <c r="H325" s="720"/>
      <c r="I325" s="719"/>
      <c r="J325" s="720"/>
      <c r="K325" s="719"/>
      <c r="L325" s="720"/>
      <c r="M325" s="718"/>
      <c r="N325" s="329" t="s">
        <v>1227</v>
      </c>
    </row>
    <row r="326" spans="1:51" ht="30" customHeight="1">
      <c r="A326" s="333" t="s">
        <v>2433</v>
      </c>
      <c r="B326" s="333" t="s">
        <v>2434</v>
      </c>
      <c r="C326" s="333" t="s">
        <v>343</v>
      </c>
      <c r="D326" s="334">
        <v>0.5</v>
      </c>
      <c r="E326" s="370">
        <f>신규_단가대비표!O36</f>
        <v>2415.4530400000003</v>
      </c>
      <c r="F326" s="361">
        <f>TRUNC(E326*D326,1)</f>
        <v>1207.7</v>
      </c>
      <c r="G326" s="370">
        <f>신규_단가대비표!P36</f>
        <v>21793</v>
      </c>
      <c r="H326" s="361">
        <f>TRUNC(G326*D326,1)</f>
        <v>10896.5</v>
      </c>
      <c r="I326" s="370">
        <f>신규_단가대비표!V36</f>
        <v>1783.25602</v>
      </c>
      <c r="J326" s="361">
        <f>TRUNC(I326*D326,1)</f>
        <v>891.6</v>
      </c>
      <c r="K326" s="370">
        <f t="shared" ref="K326:L328" si="71">TRUNC(E326+G326+I326,1)</f>
        <v>25991.7</v>
      </c>
      <c r="L326" s="361">
        <f t="shared" si="71"/>
        <v>12995.8</v>
      </c>
      <c r="M326" s="333" t="s">
        <v>378</v>
      </c>
      <c r="N326" s="329" t="s">
        <v>1227</v>
      </c>
      <c r="O326" s="329" t="s">
        <v>2435</v>
      </c>
      <c r="P326" s="329" t="s">
        <v>1105</v>
      </c>
      <c r="Q326" s="329" t="s">
        <v>1105</v>
      </c>
      <c r="R326" s="329" t="s">
        <v>1104</v>
      </c>
      <c r="AV326" s="329" t="s">
        <v>378</v>
      </c>
      <c r="AW326" s="329" t="s">
        <v>2596</v>
      </c>
      <c r="AX326" s="329" t="s">
        <v>378</v>
      </c>
      <c r="AY326" s="329" t="s">
        <v>378</v>
      </c>
    </row>
    <row r="327" spans="1:51" ht="30" customHeight="1">
      <c r="A327" s="333" t="s">
        <v>2437</v>
      </c>
      <c r="B327" s="333" t="s">
        <v>378</v>
      </c>
      <c r="C327" s="333" t="s">
        <v>2438</v>
      </c>
      <c r="D327" s="334">
        <v>3</v>
      </c>
      <c r="E327" s="370">
        <f>신규_단가대비표!O32</f>
        <v>10858.02809</v>
      </c>
      <c r="F327" s="361">
        <f>TRUNC(E327*D327,1)</f>
        <v>32574</v>
      </c>
      <c r="G327" s="370">
        <f>신규_단가대비표!P32</f>
        <v>31645</v>
      </c>
      <c r="H327" s="361">
        <f>TRUNC(G327*D327,1)</f>
        <v>94935</v>
      </c>
      <c r="I327" s="370">
        <f>신규_단가대비표!V32</f>
        <v>0</v>
      </c>
      <c r="J327" s="361">
        <f>TRUNC(I327*D327,1)</f>
        <v>0</v>
      </c>
      <c r="K327" s="370">
        <f t="shared" si="71"/>
        <v>42503</v>
      </c>
      <c r="L327" s="361">
        <f t="shared" si="71"/>
        <v>127509</v>
      </c>
      <c r="M327" s="333" t="s">
        <v>378</v>
      </c>
      <c r="N327" s="329" t="s">
        <v>1227</v>
      </c>
      <c r="O327" s="329" t="s">
        <v>2439</v>
      </c>
      <c r="P327" s="329" t="s">
        <v>1105</v>
      </c>
      <c r="Q327" s="329" t="s">
        <v>1105</v>
      </c>
      <c r="R327" s="329" t="s">
        <v>1104</v>
      </c>
      <c r="AV327" s="329" t="s">
        <v>378</v>
      </c>
      <c r="AW327" s="329" t="s">
        <v>2597</v>
      </c>
      <c r="AX327" s="329" t="s">
        <v>378</v>
      </c>
      <c r="AY327" s="329" t="s">
        <v>378</v>
      </c>
    </row>
    <row r="328" spans="1:51" ht="30" customHeight="1">
      <c r="A328" s="333" t="s">
        <v>2441</v>
      </c>
      <c r="B328" s="333" t="s">
        <v>2441</v>
      </c>
      <c r="C328" s="333" t="s">
        <v>343</v>
      </c>
      <c r="D328" s="334">
        <v>0.5</v>
      </c>
      <c r="E328" s="370">
        <f>신규_단가대비표!O27</f>
        <v>77209.495999999999</v>
      </c>
      <c r="F328" s="361">
        <f>TRUNC(E328*D328,1)</f>
        <v>38604.699999999997</v>
      </c>
      <c r="G328" s="370">
        <f>신규_단가대비표!P27</f>
        <v>0</v>
      </c>
      <c r="H328" s="361">
        <f>TRUNC(G328*D328,1)</f>
        <v>0</v>
      </c>
      <c r="I328" s="370">
        <f>신규_단가대비표!V27</f>
        <v>0</v>
      </c>
      <c r="J328" s="361">
        <f>TRUNC(I328*D328,1)</f>
        <v>0</v>
      </c>
      <c r="K328" s="370">
        <f t="shared" si="71"/>
        <v>77209.399999999994</v>
      </c>
      <c r="L328" s="361">
        <f t="shared" si="71"/>
        <v>38604.699999999997</v>
      </c>
      <c r="M328" s="333" t="s">
        <v>378</v>
      </c>
      <c r="N328" s="329" t="s">
        <v>1227</v>
      </c>
      <c r="O328" s="329" t="s">
        <v>2442</v>
      </c>
      <c r="P328" s="329" t="s">
        <v>1105</v>
      </c>
      <c r="Q328" s="329" t="s">
        <v>1105</v>
      </c>
      <c r="R328" s="329" t="s">
        <v>1104</v>
      </c>
      <c r="AV328" s="329" t="s">
        <v>378</v>
      </c>
      <c r="AW328" s="329" t="s">
        <v>2598</v>
      </c>
      <c r="AX328" s="329" t="s">
        <v>378</v>
      </c>
      <c r="AY328" s="329" t="s">
        <v>378</v>
      </c>
    </row>
    <row r="329" spans="1:51" ht="30" customHeight="1">
      <c r="A329" s="333" t="s">
        <v>2224</v>
      </c>
      <c r="B329" s="333" t="s">
        <v>378</v>
      </c>
      <c r="C329" s="333" t="s">
        <v>378</v>
      </c>
      <c r="D329" s="334"/>
      <c r="E329" s="370"/>
      <c r="F329" s="361">
        <f>TRUNC(SUMIF(N326:N328, N325, F326:F328),0)</f>
        <v>72386</v>
      </c>
      <c r="G329" s="370"/>
      <c r="H329" s="361">
        <f>TRUNC(SUMIF(N326:N328, N325, H326:H328),0)</f>
        <v>105831</v>
      </c>
      <c r="I329" s="370"/>
      <c r="J329" s="361">
        <f>TRUNC(SUMIF(N326:N328, N325, J326:J328),0)</f>
        <v>891</v>
      </c>
      <c r="K329" s="370"/>
      <c r="L329" s="361">
        <f>F329+H329+J329</f>
        <v>179108</v>
      </c>
      <c r="M329" s="333" t="s">
        <v>378</v>
      </c>
      <c r="N329" s="329" t="s">
        <v>1197</v>
      </c>
      <c r="O329" s="329" t="s">
        <v>1197</v>
      </c>
      <c r="P329" s="329" t="s">
        <v>378</v>
      </c>
      <c r="Q329" s="329" t="s">
        <v>378</v>
      </c>
      <c r="R329" s="329" t="s">
        <v>378</v>
      </c>
      <c r="AV329" s="329" t="s">
        <v>378</v>
      </c>
      <c r="AW329" s="329" t="s">
        <v>378</v>
      </c>
      <c r="AX329" s="329" t="s">
        <v>378</v>
      </c>
      <c r="AY329" s="329" t="s">
        <v>378</v>
      </c>
    </row>
    <row r="330" spans="1:51" ht="30" customHeight="1">
      <c r="A330" s="334"/>
      <c r="B330" s="334"/>
      <c r="C330" s="334"/>
      <c r="D330" s="334"/>
      <c r="E330" s="370"/>
      <c r="F330" s="361"/>
      <c r="G330" s="370"/>
      <c r="H330" s="361"/>
      <c r="I330" s="370"/>
      <c r="J330" s="361"/>
      <c r="K330" s="370"/>
      <c r="L330" s="361"/>
      <c r="M330" s="334"/>
    </row>
    <row r="331" spans="1:51" ht="30" customHeight="1">
      <c r="A331" s="718" t="s">
        <v>2599</v>
      </c>
      <c r="B331" s="718"/>
      <c r="C331" s="718"/>
      <c r="D331" s="718"/>
      <c r="E331" s="719"/>
      <c r="F331" s="720"/>
      <c r="G331" s="719"/>
      <c r="H331" s="720"/>
      <c r="I331" s="719"/>
      <c r="J331" s="720"/>
      <c r="K331" s="719"/>
      <c r="L331" s="720"/>
      <c r="M331" s="718"/>
      <c r="N331" s="329" t="s">
        <v>1229</v>
      </c>
    </row>
    <row r="332" spans="1:51" ht="30" customHeight="1">
      <c r="A332" s="333" t="s">
        <v>1889</v>
      </c>
      <c r="B332" s="333" t="s">
        <v>378</v>
      </c>
      <c r="C332" s="333" t="s">
        <v>1852</v>
      </c>
      <c r="D332" s="334">
        <v>0.19</v>
      </c>
      <c r="E332" s="370">
        <f>신규_단가대비표!O148</f>
        <v>0</v>
      </c>
      <c r="F332" s="361">
        <f>TRUNC(E332*D332,1)</f>
        <v>0</v>
      </c>
      <c r="G332" s="370">
        <f>신규_단가대비표!P148</f>
        <v>139072.71924000001</v>
      </c>
      <c r="H332" s="361">
        <f>TRUNC(G332*D332,1)</f>
        <v>26423.8</v>
      </c>
      <c r="I332" s="370">
        <f>신규_단가대비표!V148</f>
        <v>0</v>
      </c>
      <c r="J332" s="361">
        <f>TRUNC(I332*D332,1)</f>
        <v>0</v>
      </c>
      <c r="K332" s="370">
        <f t="shared" ref="K332:L336" si="72">TRUNC(E332+G332+I332,1)</f>
        <v>139072.70000000001</v>
      </c>
      <c r="L332" s="361">
        <f t="shared" si="72"/>
        <v>26423.8</v>
      </c>
      <c r="M332" s="333" t="s">
        <v>378</v>
      </c>
      <c r="N332" s="329" t="s">
        <v>1229</v>
      </c>
      <c r="O332" s="329" t="s">
        <v>2277</v>
      </c>
      <c r="P332" s="329" t="s">
        <v>1105</v>
      </c>
      <c r="Q332" s="329" t="s">
        <v>1105</v>
      </c>
      <c r="R332" s="329" t="s">
        <v>1104</v>
      </c>
      <c r="V332" s="330">
        <v>1</v>
      </c>
      <c r="AV332" s="329" t="s">
        <v>378</v>
      </c>
      <c r="AW332" s="329" t="s">
        <v>2600</v>
      </c>
      <c r="AX332" s="329" t="s">
        <v>378</v>
      </c>
      <c r="AY332" s="329" t="s">
        <v>378</v>
      </c>
    </row>
    <row r="333" spans="1:51" ht="30" customHeight="1">
      <c r="A333" s="333" t="s">
        <v>2564</v>
      </c>
      <c r="B333" s="333" t="s">
        <v>2565</v>
      </c>
      <c r="C333" s="333" t="s">
        <v>1811</v>
      </c>
      <c r="D333" s="334">
        <v>0.43</v>
      </c>
      <c r="E333" s="370">
        <f>신규_단가대비표!O53</f>
        <v>6777.9666500000003</v>
      </c>
      <c r="F333" s="361">
        <f>TRUNC(E333*D333,1)</f>
        <v>2914.5</v>
      </c>
      <c r="G333" s="370">
        <f>신규_단가대비표!P53</f>
        <v>43456</v>
      </c>
      <c r="H333" s="361">
        <f>TRUNC(G333*D333,1)</f>
        <v>18686</v>
      </c>
      <c r="I333" s="370">
        <f>신규_단가대비표!V53</f>
        <v>8611.69218</v>
      </c>
      <c r="J333" s="361">
        <f>TRUNC(I333*D333,1)</f>
        <v>3703</v>
      </c>
      <c r="K333" s="370">
        <f t="shared" si="72"/>
        <v>58845.599999999999</v>
      </c>
      <c r="L333" s="361">
        <f t="shared" si="72"/>
        <v>25303.5</v>
      </c>
      <c r="M333" s="333" t="s">
        <v>378</v>
      </c>
      <c r="N333" s="329" t="s">
        <v>1229</v>
      </c>
      <c r="O333" s="329" t="s">
        <v>2566</v>
      </c>
      <c r="P333" s="329" t="s">
        <v>1105</v>
      </c>
      <c r="Q333" s="329" t="s">
        <v>1105</v>
      </c>
      <c r="R333" s="329" t="s">
        <v>1104</v>
      </c>
      <c r="V333" s="330">
        <v>1</v>
      </c>
      <c r="AV333" s="329" t="s">
        <v>378</v>
      </c>
      <c r="AW333" s="329" t="s">
        <v>2601</v>
      </c>
      <c r="AX333" s="329" t="s">
        <v>378</v>
      </c>
      <c r="AY333" s="329" t="s">
        <v>378</v>
      </c>
    </row>
    <row r="334" spans="1:51" ht="30" customHeight="1">
      <c r="A334" s="333" t="s">
        <v>1851</v>
      </c>
      <c r="B334" s="333" t="s">
        <v>2221</v>
      </c>
      <c r="C334" s="333" t="s">
        <v>1852</v>
      </c>
      <c r="D334" s="334">
        <v>0.08</v>
      </c>
      <c r="E334" s="370">
        <f>신규_단가대비표!O154</f>
        <v>0</v>
      </c>
      <c r="F334" s="361">
        <f>TRUNC(E334*D334,1)</f>
        <v>0</v>
      </c>
      <c r="G334" s="370">
        <f>신규_단가대비표!P154</f>
        <v>234998.43458</v>
      </c>
      <c r="H334" s="361">
        <f>TRUNC(G334*D334,1)</f>
        <v>18799.8</v>
      </c>
      <c r="I334" s="370">
        <f>신규_단가대비표!V154</f>
        <v>0</v>
      </c>
      <c r="J334" s="361">
        <f>TRUNC(I334*D334,1)</f>
        <v>0</v>
      </c>
      <c r="K334" s="370">
        <f t="shared" si="72"/>
        <v>234998.39999999999</v>
      </c>
      <c r="L334" s="361">
        <f t="shared" si="72"/>
        <v>18799.8</v>
      </c>
      <c r="M334" s="333" t="s">
        <v>378</v>
      </c>
      <c r="N334" s="329" t="s">
        <v>1229</v>
      </c>
      <c r="O334" s="329" t="s">
        <v>2222</v>
      </c>
      <c r="P334" s="329" t="s">
        <v>1105</v>
      </c>
      <c r="Q334" s="329" t="s">
        <v>1105</v>
      </c>
      <c r="R334" s="329" t="s">
        <v>1104</v>
      </c>
      <c r="V334" s="330">
        <v>1</v>
      </c>
      <c r="AV334" s="329" t="s">
        <v>378</v>
      </c>
      <c r="AW334" s="329" t="s">
        <v>2602</v>
      </c>
      <c r="AX334" s="329" t="s">
        <v>378</v>
      </c>
      <c r="AY334" s="329" t="s">
        <v>378</v>
      </c>
    </row>
    <row r="335" spans="1:51" ht="30" customHeight="1">
      <c r="A335" s="333" t="s">
        <v>2217</v>
      </c>
      <c r="B335" s="333" t="s">
        <v>2218</v>
      </c>
      <c r="C335" s="333" t="s">
        <v>212</v>
      </c>
      <c r="D335" s="334">
        <v>1</v>
      </c>
      <c r="E335" s="370">
        <f>TRUNC(SUMIF(V332:V336, RIGHTB(O335, 1), H332:H336)*U335, 2)</f>
        <v>1917.28</v>
      </c>
      <c r="F335" s="361">
        <f>TRUNC(E335*D335,1)</f>
        <v>1917.2</v>
      </c>
      <c r="G335" s="370">
        <v>0</v>
      </c>
      <c r="H335" s="361">
        <f>TRUNC(G335*D335,1)</f>
        <v>0</v>
      </c>
      <c r="I335" s="370">
        <v>0</v>
      </c>
      <c r="J335" s="361">
        <f>TRUNC(I335*D335,1)</f>
        <v>0</v>
      </c>
      <c r="K335" s="370">
        <f t="shared" si="72"/>
        <v>1917.2</v>
      </c>
      <c r="L335" s="361">
        <f t="shared" si="72"/>
        <v>1917.2</v>
      </c>
      <c r="M335" s="333" t="s">
        <v>378</v>
      </c>
      <c r="N335" s="329" t="s">
        <v>1229</v>
      </c>
      <c r="O335" s="329" t="s">
        <v>2211</v>
      </c>
      <c r="P335" s="329" t="s">
        <v>1105</v>
      </c>
      <c r="Q335" s="329" t="s">
        <v>1105</v>
      </c>
      <c r="R335" s="329" t="s">
        <v>1105</v>
      </c>
      <c r="S335" s="330">
        <v>1</v>
      </c>
      <c r="T335" s="330">
        <v>0</v>
      </c>
      <c r="U335" s="330">
        <v>0.03</v>
      </c>
      <c r="V335" s="330">
        <v>1</v>
      </c>
      <c r="AV335" s="329" t="s">
        <v>378</v>
      </c>
      <c r="AW335" s="329" t="s">
        <v>2603</v>
      </c>
      <c r="AX335" s="329" t="s">
        <v>378</v>
      </c>
      <c r="AY335" s="329" t="s">
        <v>378</v>
      </c>
    </row>
    <row r="336" spans="1:51" ht="30" customHeight="1">
      <c r="A336" s="333" t="s">
        <v>2604</v>
      </c>
      <c r="B336" s="333" t="s">
        <v>378</v>
      </c>
      <c r="C336" s="333" t="s">
        <v>265</v>
      </c>
      <c r="D336" s="334">
        <v>1</v>
      </c>
      <c r="E336" s="370">
        <f>신규_단가대비표!O60</f>
        <v>71896.915999999997</v>
      </c>
      <c r="F336" s="361">
        <f>TRUNC(E336*D336,1)</f>
        <v>71896.899999999994</v>
      </c>
      <c r="G336" s="370">
        <f>신규_단가대비표!P60</f>
        <v>0</v>
      </c>
      <c r="H336" s="361">
        <f>TRUNC(G336*D336,1)</f>
        <v>0</v>
      </c>
      <c r="I336" s="370">
        <f>신규_단가대비표!V60</f>
        <v>0</v>
      </c>
      <c r="J336" s="361">
        <f>TRUNC(I336*D336,1)</f>
        <v>0</v>
      </c>
      <c r="K336" s="370">
        <f t="shared" si="72"/>
        <v>71896.899999999994</v>
      </c>
      <c r="L336" s="361">
        <f t="shared" si="72"/>
        <v>71896.899999999994</v>
      </c>
      <c r="M336" s="333" t="s">
        <v>378</v>
      </c>
      <c r="N336" s="329" t="s">
        <v>1229</v>
      </c>
      <c r="O336" s="329" t="s">
        <v>2605</v>
      </c>
      <c r="P336" s="329" t="s">
        <v>1105</v>
      </c>
      <c r="Q336" s="329" t="s">
        <v>1105</v>
      </c>
      <c r="R336" s="329" t="s">
        <v>1104</v>
      </c>
      <c r="AV336" s="329" t="s">
        <v>378</v>
      </c>
      <c r="AW336" s="329" t="s">
        <v>2606</v>
      </c>
      <c r="AX336" s="329" t="s">
        <v>378</v>
      </c>
      <c r="AY336" s="329" t="s">
        <v>378</v>
      </c>
    </row>
    <row r="337" spans="1:51" ht="30" customHeight="1">
      <c r="A337" s="333" t="s">
        <v>2224</v>
      </c>
      <c r="B337" s="333" t="s">
        <v>378</v>
      </c>
      <c r="C337" s="333" t="s">
        <v>378</v>
      </c>
      <c r="D337" s="334"/>
      <c r="E337" s="370"/>
      <c r="F337" s="361">
        <f>TRUNC(SUMIF(N332:N336, N331, F332:F336),0)</f>
        <v>76728</v>
      </c>
      <c r="G337" s="370"/>
      <c r="H337" s="361">
        <f>TRUNC(SUMIF(N332:N336, N331, H332:H336),0)</f>
        <v>63909</v>
      </c>
      <c r="I337" s="370"/>
      <c r="J337" s="361">
        <f>TRUNC(SUMIF(N332:N336, N331, J332:J336),0)</f>
        <v>3703</v>
      </c>
      <c r="K337" s="370"/>
      <c r="L337" s="361">
        <f>F337+H337+J337</f>
        <v>144340</v>
      </c>
      <c r="M337" s="333" t="s">
        <v>378</v>
      </c>
      <c r="N337" s="329" t="s">
        <v>1197</v>
      </c>
      <c r="O337" s="329" t="s">
        <v>1197</v>
      </c>
      <c r="P337" s="329" t="s">
        <v>378</v>
      </c>
      <c r="Q337" s="329" t="s">
        <v>378</v>
      </c>
      <c r="R337" s="329" t="s">
        <v>378</v>
      </c>
      <c r="AV337" s="329" t="s">
        <v>378</v>
      </c>
      <c r="AW337" s="329" t="s">
        <v>378</v>
      </c>
      <c r="AX337" s="329" t="s">
        <v>378</v>
      </c>
      <c r="AY337" s="329" t="s">
        <v>378</v>
      </c>
    </row>
    <row r="338" spans="1:51" ht="30" customHeight="1">
      <c r="A338" s="334"/>
      <c r="B338" s="334"/>
      <c r="C338" s="334"/>
      <c r="D338" s="334"/>
      <c r="E338" s="370"/>
      <c r="F338" s="361"/>
      <c r="G338" s="370"/>
      <c r="H338" s="361"/>
      <c r="I338" s="370"/>
      <c r="J338" s="361"/>
      <c r="K338" s="370"/>
      <c r="L338" s="361"/>
      <c r="M338" s="334"/>
    </row>
    <row r="339" spans="1:51" ht="30" customHeight="1">
      <c r="A339" s="718" t="s">
        <v>2607</v>
      </c>
      <c r="B339" s="718"/>
      <c r="C339" s="718"/>
      <c r="D339" s="718"/>
      <c r="E339" s="719"/>
      <c r="F339" s="720"/>
      <c r="G339" s="719"/>
      <c r="H339" s="720"/>
      <c r="I339" s="719"/>
      <c r="J339" s="720"/>
      <c r="K339" s="719"/>
      <c r="L339" s="720"/>
      <c r="M339" s="718"/>
      <c r="N339" s="329" t="s">
        <v>1231</v>
      </c>
    </row>
    <row r="340" spans="1:51" ht="30" customHeight="1">
      <c r="A340" s="333" t="s">
        <v>2608</v>
      </c>
      <c r="B340" s="333" t="s">
        <v>1048</v>
      </c>
      <c r="C340" s="333" t="s">
        <v>265</v>
      </c>
      <c r="D340" s="334">
        <v>1</v>
      </c>
      <c r="E340" s="370">
        <f>신규_단가대비표!O59</f>
        <v>0</v>
      </c>
      <c r="F340" s="361">
        <f>TRUNC(E340*D340,1)</f>
        <v>0</v>
      </c>
      <c r="G340" s="370">
        <f>신규_단가대비표!P59</f>
        <v>0</v>
      </c>
      <c r="H340" s="361">
        <f>TRUNC(G340*D340,1)</f>
        <v>0</v>
      </c>
      <c r="I340" s="370">
        <f>신규_단가대비표!V59</f>
        <v>0</v>
      </c>
      <c r="J340" s="361">
        <f>TRUNC(I340*D340,1)</f>
        <v>0</v>
      </c>
      <c r="K340" s="370">
        <f t="shared" ref="K340:L342" si="73">TRUNC(E340+G340+I340,1)</f>
        <v>0</v>
      </c>
      <c r="L340" s="361">
        <f t="shared" si="73"/>
        <v>0</v>
      </c>
      <c r="M340" s="333" t="s">
        <v>378</v>
      </c>
      <c r="N340" s="329" t="s">
        <v>1231</v>
      </c>
      <c r="O340" s="329" t="s">
        <v>2609</v>
      </c>
      <c r="P340" s="329" t="s">
        <v>1105</v>
      </c>
      <c r="Q340" s="329" t="s">
        <v>1105</v>
      </c>
      <c r="R340" s="329" t="s">
        <v>1104</v>
      </c>
      <c r="AV340" s="329" t="s">
        <v>378</v>
      </c>
      <c r="AW340" s="329" t="s">
        <v>2610</v>
      </c>
      <c r="AX340" s="329" t="s">
        <v>378</v>
      </c>
      <c r="AY340" s="329" t="s">
        <v>378</v>
      </c>
    </row>
    <row r="341" spans="1:51" ht="30" customHeight="1">
      <c r="A341" s="333" t="s">
        <v>2217</v>
      </c>
      <c r="B341" s="333" t="s">
        <v>2218</v>
      </c>
      <c r="C341" s="333" t="s">
        <v>212</v>
      </c>
      <c r="D341" s="334">
        <v>1</v>
      </c>
      <c r="E341" s="370">
        <f>TRUNC(SUMIF(V340:V342, RIGHTB(O341, 1), H340:H342)*U341, 2)</f>
        <v>1290.1400000000001</v>
      </c>
      <c r="F341" s="361">
        <f>TRUNC(E341*D341,1)</f>
        <v>1290.0999999999999</v>
      </c>
      <c r="G341" s="370">
        <v>0</v>
      </c>
      <c r="H341" s="361">
        <f>TRUNC(G341*D341,1)</f>
        <v>0</v>
      </c>
      <c r="I341" s="370">
        <v>0</v>
      </c>
      <c r="J341" s="361">
        <f>TRUNC(I341*D341,1)</f>
        <v>0</v>
      </c>
      <c r="K341" s="370">
        <f t="shared" si="73"/>
        <v>1290.0999999999999</v>
      </c>
      <c r="L341" s="361">
        <f t="shared" si="73"/>
        <v>1290.0999999999999</v>
      </c>
      <c r="M341" s="333" t="s">
        <v>378</v>
      </c>
      <c r="N341" s="329" t="s">
        <v>1231</v>
      </c>
      <c r="O341" s="329" t="s">
        <v>2211</v>
      </c>
      <c r="P341" s="329" t="s">
        <v>1105</v>
      </c>
      <c r="Q341" s="329" t="s">
        <v>1105</v>
      </c>
      <c r="R341" s="329" t="s">
        <v>1105</v>
      </c>
      <c r="S341" s="330">
        <v>1</v>
      </c>
      <c r="T341" s="330">
        <v>0</v>
      </c>
      <c r="U341" s="330">
        <v>0.03</v>
      </c>
      <c r="V341" s="330">
        <v>1</v>
      </c>
      <c r="AV341" s="329" t="s">
        <v>378</v>
      </c>
      <c r="AW341" s="329" t="s">
        <v>2611</v>
      </c>
      <c r="AX341" s="329" t="s">
        <v>378</v>
      </c>
      <c r="AY341" s="329" t="s">
        <v>378</v>
      </c>
    </row>
    <row r="342" spans="1:51" ht="30" customHeight="1">
      <c r="A342" s="333" t="s">
        <v>1851</v>
      </c>
      <c r="B342" s="333" t="s">
        <v>2221</v>
      </c>
      <c r="C342" s="333" t="s">
        <v>1852</v>
      </c>
      <c r="D342" s="334">
        <f>신규_공량산출근거서_일위대가!K165</f>
        <v>0.183</v>
      </c>
      <c r="E342" s="370">
        <f>신규_단가대비표!O154</f>
        <v>0</v>
      </c>
      <c r="F342" s="361">
        <f>TRUNC(E342*D342,1)</f>
        <v>0</v>
      </c>
      <c r="G342" s="370">
        <f>신규_단가대비표!P154</f>
        <v>234998.43458</v>
      </c>
      <c r="H342" s="361">
        <f>TRUNC(G342*D342,1)</f>
        <v>43004.7</v>
      </c>
      <c r="I342" s="370">
        <f>신규_단가대비표!V154</f>
        <v>0</v>
      </c>
      <c r="J342" s="361">
        <f>TRUNC(I342*D342,1)</f>
        <v>0</v>
      </c>
      <c r="K342" s="370">
        <f t="shared" si="73"/>
        <v>234998.39999999999</v>
      </c>
      <c r="L342" s="361">
        <f t="shared" si="73"/>
        <v>43004.7</v>
      </c>
      <c r="M342" s="333" t="s">
        <v>378</v>
      </c>
      <c r="N342" s="329" t="s">
        <v>1231</v>
      </c>
      <c r="O342" s="329" t="s">
        <v>2222</v>
      </c>
      <c r="P342" s="329" t="s">
        <v>1105</v>
      </c>
      <c r="Q342" s="329" t="s">
        <v>1105</v>
      </c>
      <c r="R342" s="329" t="s">
        <v>1104</v>
      </c>
      <c r="V342" s="330">
        <v>1</v>
      </c>
      <c r="AV342" s="329" t="s">
        <v>378</v>
      </c>
      <c r="AW342" s="329" t="s">
        <v>2612</v>
      </c>
      <c r="AX342" s="329" t="s">
        <v>378</v>
      </c>
      <c r="AY342" s="329" t="s">
        <v>378</v>
      </c>
    </row>
    <row r="343" spans="1:51" ht="30" customHeight="1">
      <c r="A343" s="333" t="s">
        <v>2224</v>
      </c>
      <c r="B343" s="333" t="s">
        <v>378</v>
      </c>
      <c r="C343" s="333" t="s">
        <v>378</v>
      </c>
      <c r="D343" s="334"/>
      <c r="E343" s="370"/>
      <c r="F343" s="361">
        <f>TRUNC(SUMIF(N340:N342, N339, F340:F342),0)</f>
        <v>1290</v>
      </c>
      <c r="G343" s="370"/>
      <c r="H343" s="361">
        <f>TRUNC(SUMIF(N340:N342, N339, H340:H342),0)</f>
        <v>43004</v>
      </c>
      <c r="I343" s="370"/>
      <c r="J343" s="361">
        <f>TRUNC(SUMIF(N340:N342, N339, J340:J342),0)</f>
        <v>0</v>
      </c>
      <c r="K343" s="370"/>
      <c r="L343" s="361">
        <f>F343+H343+J343</f>
        <v>44294</v>
      </c>
      <c r="M343" s="333" t="s">
        <v>378</v>
      </c>
      <c r="N343" s="329" t="s">
        <v>1197</v>
      </c>
      <c r="O343" s="329" t="s">
        <v>1197</v>
      </c>
      <c r="P343" s="329" t="s">
        <v>378</v>
      </c>
      <c r="Q343" s="329" t="s">
        <v>378</v>
      </c>
      <c r="R343" s="329" t="s">
        <v>378</v>
      </c>
      <c r="AV343" s="329" t="s">
        <v>378</v>
      </c>
      <c r="AW343" s="329" t="s">
        <v>378</v>
      </c>
      <c r="AX343" s="329" t="s">
        <v>378</v>
      </c>
      <c r="AY343" s="329" t="s">
        <v>378</v>
      </c>
    </row>
    <row r="344" spans="1:51" ht="30" customHeight="1">
      <c r="A344" s="334"/>
      <c r="B344" s="334"/>
      <c r="C344" s="334"/>
      <c r="D344" s="334"/>
      <c r="E344" s="370"/>
      <c r="F344" s="361"/>
      <c r="G344" s="370"/>
      <c r="H344" s="361"/>
      <c r="I344" s="370"/>
      <c r="J344" s="361"/>
      <c r="K344" s="370"/>
      <c r="L344" s="361"/>
      <c r="M344" s="334"/>
    </row>
    <row r="345" spans="1:51" ht="30" customHeight="1">
      <c r="A345" s="718" t="s">
        <v>2613</v>
      </c>
      <c r="B345" s="718"/>
      <c r="C345" s="718"/>
      <c r="D345" s="718"/>
      <c r="E345" s="719"/>
      <c r="F345" s="720"/>
      <c r="G345" s="719"/>
      <c r="H345" s="720"/>
      <c r="I345" s="719"/>
      <c r="J345" s="720"/>
      <c r="K345" s="719"/>
      <c r="L345" s="720"/>
      <c r="M345" s="718"/>
      <c r="N345" s="329" t="s">
        <v>1233</v>
      </c>
    </row>
    <row r="346" spans="1:51" ht="30" customHeight="1">
      <c r="A346" s="333" t="s">
        <v>2614</v>
      </c>
      <c r="B346" s="333" t="s">
        <v>2615</v>
      </c>
      <c r="C346" s="333" t="s">
        <v>265</v>
      </c>
      <c r="D346" s="334">
        <v>1</v>
      </c>
      <c r="E346" s="370">
        <f>신규_단가대비표!O45</f>
        <v>0</v>
      </c>
      <c r="F346" s="361">
        <f>TRUNC(E346*D346,1)</f>
        <v>0</v>
      </c>
      <c r="G346" s="370">
        <f>신규_단가대비표!P45</f>
        <v>0</v>
      </c>
      <c r="H346" s="361">
        <f>TRUNC(G346*D346,1)</f>
        <v>0</v>
      </c>
      <c r="I346" s="370">
        <f>신규_단가대비표!V45</f>
        <v>0</v>
      </c>
      <c r="J346" s="361">
        <f>TRUNC(I346*D346,1)</f>
        <v>0</v>
      </c>
      <c r="K346" s="370">
        <f t="shared" ref="K346:L349" si="74">TRUNC(E346+G346+I346,1)</f>
        <v>0</v>
      </c>
      <c r="L346" s="361">
        <f t="shared" si="74"/>
        <v>0</v>
      </c>
      <c r="M346" s="333" t="s">
        <v>378</v>
      </c>
      <c r="N346" s="329" t="s">
        <v>1233</v>
      </c>
      <c r="O346" s="329" t="s">
        <v>2616</v>
      </c>
      <c r="P346" s="329" t="s">
        <v>1105</v>
      </c>
      <c r="Q346" s="329" t="s">
        <v>1105</v>
      </c>
      <c r="R346" s="329" t="s">
        <v>1104</v>
      </c>
      <c r="AV346" s="329" t="s">
        <v>378</v>
      </c>
      <c r="AW346" s="329" t="s">
        <v>2617</v>
      </c>
      <c r="AX346" s="329" t="s">
        <v>378</v>
      </c>
      <c r="AY346" s="329" t="s">
        <v>378</v>
      </c>
    </row>
    <row r="347" spans="1:51" ht="30" customHeight="1">
      <c r="A347" s="333" t="s">
        <v>2564</v>
      </c>
      <c r="B347" s="333" t="s">
        <v>2565</v>
      </c>
      <c r="C347" s="333" t="s">
        <v>1811</v>
      </c>
      <c r="D347" s="334">
        <v>0.55000000000000004</v>
      </c>
      <c r="E347" s="370">
        <f>신규_단가대비표!O53</f>
        <v>6777.9666500000003</v>
      </c>
      <c r="F347" s="361">
        <f>TRUNC(E347*D347,1)</f>
        <v>3727.8</v>
      </c>
      <c r="G347" s="370">
        <f>신규_단가대비표!P53</f>
        <v>43456</v>
      </c>
      <c r="H347" s="361">
        <f>TRUNC(G347*D347,1)</f>
        <v>23900.799999999999</v>
      </c>
      <c r="I347" s="370">
        <f>신규_단가대비표!V53</f>
        <v>8611.69218</v>
      </c>
      <c r="J347" s="361">
        <f>TRUNC(I347*D347,1)</f>
        <v>4736.3999999999996</v>
      </c>
      <c r="K347" s="370">
        <f t="shared" si="74"/>
        <v>58845.599999999999</v>
      </c>
      <c r="L347" s="361">
        <f t="shared" si="74"/>
        <v>32365</v>
      </c>
      <c r="M347" s="333" t="s">
        <v>378</v>
      </c>
      <c r="N347" s="329" t="s">
        <v>1233</v>
      </c>
      <c r="O347" s="329" t="s">
        <v>2566</v>
      </c>
      <c r="P347" s="329" t="s">
        <v>1105</v>
      </c>
      <c r="Q347" s="329" t="s">
        <v>1105</v>
      </c>
      <c r="R347" s="329" t="s">
        <v>1104</v>
      </c>
      <c r="AV347" s="329" t="s">
        <v>378</v>
      </c>
      <c r="AW347" s="329" t="s">
        <v>2618</v>
      </c>
      <c r="AX347" s="329" t="s">
        <v>378</v>
      </c>
      <c r="AY347" s="329" t="s">
        <v>378</v>
      </c>
    </row>
    <row r="348" spans="1:51" ht="30" customHeight="1">
      <c r="A348" s="333" t="s">
        <v>2217</v>
      </c>
      <c r="B348" s="333" t="s">
        <v>2218</v>
      </c>
      <c r="C348" s="333" t="s">
        <v>212</v>
      </c>
      <c r="D348" s="334">
        <v>1</v>
      </c>
      <c r="E348" s="370">
        <f>TRUNC(SUMIF(V346:V349, RIGHTB(O348, 1), H346:H349)*U348, 2)</f>
        <v>2185.48</v>
      </c>
      <c r="F348" s="361">
        <f>TRUNC(E348*D348,1)</f>
        <v>2185.4</v>
      </c>
      <c r="G348" s="370">
        <v>0</v>
      </c>
      <c r="H348" s="361">
        <f>TRUNC(G348*D348,1)</f>
        <v>0</v>
      </c>
      <c r="I348" s="370">
        <v>0</v>
      </c>
      <c r="J348" s="361">
        <f>TRUNC(I348*D348,1)</f>
        <v>0</v>
      </c>
      <c r="K348" s="370">
        <f t="shared" si="74"/>
        <v>2185.4</v>
      </c>
      <c r="L348" s="361">
        <f t="shared" si="74"/>
        <v>2185.4</v>
      </c>
      <c r="M348" s="333" t="s">
        <v>378</v>
      </c>
      <c r="N348" s="329" t="s">
        <v>1233</v>
      </c>
      <c r="O348" s="329" t="s">
        <v>2211</v>
      </c>
      <c r="P348" s="329" t="s">
        <v>1105</v>
      </c>
      <c r="Q348" s="329" t="s">
        <v>1105</v>
      </c>
      <c r="R348" s="329" t="s">
        <v>1105</v>
      </c>
      <c r="S348" s="330">
        <v>1</v>
      </c>
      <c r="T348" s="330">
        <v>0</v>
      </c>
      <c r="U348" s="330">
        <v>0.03</v>
      </c>
      <c r="V348" s="330">
        <v>1</v>
      </c>
      <c r="AV348" s="329" t="s">
        <v>378</v>
      </c>
      <c r="AW348" s="329" t="s">
        <v>2619</v>
      </c>
      <c r="AX348" s="329" t="s">
        <v>378</v>
      </c>
      <c r="AY348" s="329" t="s">
        <v>378</v>
      </c>
    </row>
    <row r="349" spans="1:51" ht="30" customHeight="1">
      <c r="A349" s="333" t="s">
        <v>1851</v>
      </c>
      <c r="B349" s="333" t="s">
        <v>2221</v>
      </c>
      <c r="C349" s="333" t="s">
        <v>1852</v>
      </c>
      <c r="D349" s="334">
        <f>신규_공량산출근거서_일위대가!K168</f>
        <v>0.31</v>
      </c>
      <c r="E349" s="370">
        <f>신규_단가대비표!O154</f>
        <v>0</v>
      </c>
      <c r="F349" s="361">
        <f>TRUNC(E349*D349,1)</f>
        <v>0</v>
      </c>
      <c r="G349" s="370">
        <f>신규_단가대비표!P154</f>
        <v>234998.43458</v>
      </c>
      <c r="H349" s="361">
        <f>TRUNC(G349*D349,1)</f>
        <v>72849.5</v>
      </c>
      <c r="I349" s="370">
        <f>신규_단가대비표!V154</f>
        <v>0</v>
      </c>
      <c r="J349" s="361">
        <f>TRUNC(I349*D349,1)</f>
        <v>0</v>
      </c>
      <c r="K349" s="370">
        <f t="shared" si="74"/>
        <v>234998.39999999999</v>
      </c>
      <c r="L349" s="361">
        <f t="shared" si="74"/>
        <v>72849.5</v>
      </c>
      <c r="M349" s="333" t="s">
        <v>378</v>
      </c>
      <c r="N349" s="329" t="s">
        <v>1233</v>
      </c>
      <c r="O349" s="329" t="s">
        <v>2222</v>
      </c>
      <c r="P349" s="329" t="s">
        <v>1105</v>
      </c>
      <c r="Q349" s="329" t="s">
        <v>1105</v>
      </c>
      <c r="R349" s="329" t="s">
        <v>1104</v>
      </c>
      <c r="V349" s="330">
        <v>1</v>
      </c>
      <c r="AV349" s="329" t="s">
        <v>378</v>
      </c>
      <c r="AW349" s="329" t="s">
        <v>2620</v>
      </c>
      <c r="AX349" s="329" t="s">
        <v>378</v>
      </c>
      <c r="AY349" s="329" t="s">
        <v>378</v>
      </c>
    </row>
    <row r="350" spans="1:51" ht="30" customHeight="1">
      <c r="A350" s="333" t="s">
        <v>2224</v>
      </c>
      <c r="B350" s="333" t="s">
        <v>378</v>
      </c>
      <c r="C350" s="333" t="s">
        <v>378</v>
      </c>
      <c r="D350" s="334"/>
      <c r="E350" s="370"/>
      <c r="F350" s="361">
        <f>TRUNC(SUMIF(N346:N349, N345, F346:F349),0)</f>
        <v>5913</v>
      </c>
      <c r="G350" s="370"/>
      <c r="H350" s="361">
        <f>TRUNC(SUMIF(N346:N349, N345, H346:H349),0)</f>
        <v>96750</v>
      </c>
      <c r="I350" s="370"/>
      <c r="J350" s="361">
        <f>TRUNC(SUMIF(N346:N349, N345, J346:J349),0)</f>
        <v>4736</v>
      </c>
      <c r="K350" s="370"/>
      <c r="L350" s="361">
        <f>F350+H350+J350</f>
        <v>107399</v>
      </c>
      <c r="M350" s="333" t="s">
        <v>378</v>
      </c>
      <c r="N350" s="329" t="s">
        <v>1197</v>
      </c>
      <c r="O350" s="329" t="s">
        <v>1197</v>
      </c>
      <c r="P350" s="329" t="s">
        <v>378</v>
      </c>
      <c r="Q350" s="329" t="s">
        <v>378</v>
      </c>
      <c r="R350" s="329" t="s">
        <v>378</v>
      </c>
      <c r="AV350" s="329" t="s">
        <v>378</v>
      </c>
      <c r="AW350" s="329" t="s">
        <v>378</v>
      </c>
      <c r="AX350" s="329" t="s">
        <v>378</v>
      </c>
      <c r="AY350" s="329" t="s">
        <v>378</v>
      </c>
    </row>
    <row r="351" spans="1:51" ht="30" customHeight="1">
      <c r="A351" s="334"/>
      <c r="B351" s="334"/>
      <c r="C351" s="334"/>
      <c r="D351" s="334"/>
      <c r="E351" s="370"/>
      <c r="F351" s="361"/>
      <c r="G351" s="370"/>
      <c r="H351" s="361"/>
      <c r="I351" s="370"/>
      <c r="J351" s="361"/>
      <c r="K351" s="370"/>
      <c r="L351" s="361"/>
      <c r="M351" s="334"/>
    </row>
    <row r="352" spans="1:51" ht="30" customHeight="1">
      <c r="A352" s="718" t="s">
        <v>2621</v>
      </c>
      <c r="B352" s="718"/>
      <c r="C352" s="718"/>
      <c r="D352" s="718"/>
      <c r="E352" s="719"/>
      <c r="F352" s="720"/>
      <c r="G352" s="719"/>
      <c r="H352" s="720"/>
      <c r="I352" s="719"/>
      <c r="J352" s="720"/>
      <c r="K352" s="719"/>
      <c r="L352" s="720"/>
      <c r="M352" s="718"/>
      <c r="N352" s="329" t="s">
        <v>1235</v>
      </c>
    </row>
    <row r="353" spans="1:51" ht="30" customHeight="1">
      <c r="A353" s="333" t="s">
        <v>2564</v>
      </c>
      <c r="B353" s="333" t="s">
        <v>2565</v>
      </c>
      <c r="C353" s="333" t="s">
        <v>1811</v>
      </c>
      <c r="D353" s="334">
        <v>0.55000000000000004</v>
      </c>
      <c r="E353" s="370">
        <f>신규_단가대비표!O53</f>
        <v>6777.9666500000003</v>
      </c>
      <c r="F353" s="361">
        <f>TRUNC(E353*D353,1)</f>
        <v>3727.8</v>
      </c>
      <c r="G353" s="370">
        <f>신규_단가대비표!P53</f>
        <v>43456</v>
      </c>
      <c r="H353" s="361">
        <f>TRUNC(G353*D353,1)</f>
        <v>23900.799999999999</v>
      </c>
      <c r="I353" s="370">
        <f>신규_단가대비표!V53</f>
        <v>8611.69218</v>
      </c>
      <c r="J353" s="361">
        <f>TRUNC(I353*D353,1)</f>
        <v>4736.3999999999996</v>
      </c>
      <c r="K353" s="370">
        <f t="shared" ref="K353:L356" si="75">TRUNC(E353+G353+I353,1)</f>
        <v>58845.599999999999</v>
      </c>
      <c r="L353" s="361">
        <f t="shared" si="75"/>
        <v>32365</v>
      </c>
      <c r="M353" s="333" t="s">
        <v>378</v>
      </c>
      <c r="N353" s="329" t="s">
        <v>1235</v>
      </c>
      <c r="O353" s="329" t="s">
        <v>2566</v>
      </c>
      <c r="P353" s="329" t="s">
        <v>1105</v>
      </c>
      <c r="Q353" s="329" t="s">
        <v>1105</v>
      </c>
      <c r="R353" s="329" t="s">
        <v>1104</v>
      </c>
      <c r="AV353" s="329" t="s">
        <v>378</v>
      </c>
      <c r="AW353" s="329" t="s">
        <v>2622</v>
      </c>
      <c r="AX353" s="329" t="s">
        <v>378</v>
      </c>
      <c r="AY353" s="329" t="s">
        <v>378</v>
      </c>
    </row>
    <row r="354" spans="1:51" ht="30" customHeight="1">
      <c r="A354" s="333" t="s">
        <v>2623</v>
      </c>
      <c r="B354" s="333" t="s">
        <v>315</v>
      </c>
      <c r="C354" s="333" t="s">
        <v>265</v>
      </c>
      <c r="D354" s="334">
        <v>1</v>
      </c>
      <c r="E354" s="370">
        <f>신규_단가대비표!O54</f>
        <v>0</v>
      </c>
      <c r="F354" s="361">
        <f>TRUNC(E354*D354,1)</f>
        <v>0</v>
      </c>
      <c r="G354" s="370">
        <f>신규_단가대비표!P54</f>
        <v>0</v>
      </c>
      <c r="H354" s="361">
        <f>TRUNC(G354*D354,1)</f>
        <v>0</v>
      </c>
      <c r="I354" s="370">
        <f>신규_단가대비표!V54</f>
        <v>0</v>
      </c>
      <c r="J354" s="361">
        <f>TRUNC(I354*D354,1)</f>
        <v>0</v>
      </c>
      <c r="K354" s="370">
        <f t="shared" si="75"/>
        <v>0</v>
      </c>
      <c r="L354" s="361">
        <f t="shared" si="75"/>
        <v>0</v>
      </c>
      <c r="M354" s="333" t="s">
        <v>378</v>
      </c>
      <c r="N354" s="329" t="s">
        <v>1235</v>
      </c>
      <c r="O354" s="329" t="s">
        <v>2624</v>
      </c>
      <c r="P354" s="329" t="s">
        <v>1105</v>
      </c>
      <c r="Q354" s="329" t="s">
        <v>1105</v>
      </c>
      <c r="R354" s="329" t="s">
        <v>1104</v>
      </c>
      <c r="AV354" s="329" t="s">
        <v>378</v>
      </c>
      <c r="AW354" s="329" t="s">
        <v>2625</v>
      </c>
      <c r="AX354" s="329" t="s">
        <v>378</v>
      </c>
      <c r="AY354" s="329" t="s">
        <v>378</v>
      </c>
    </row>
    <row r="355" spans="1:51" ht="30" customHeight="1">
      <c r="A355" s="333" t="s">
        <v>2217</v>
      </c>
      <c r="B355" s="333" t="s">
        <v>2218</v>
      </c>
      <c r="C355" s="333" t="s">
        <v>212</v>
      </c>
      <c r="D355" s="334">
        <v>1</v>
      </c>
      <c r="E355" s="370">
        <f>TRUNC(SUMIF(V353:V356, RIGHTB(O355, 1), H353:H356)*U355, 2)</f>
        <v>2185.48</v>
      </c>
      <c r="F355" s="361">
        <f>TRUNC(E355*D355,1)</f>
        <v>2185.4</v>
      </c>
      <c r="G355" s="370">
        <v>0</v>
      </c>
      <c r="H355" s="361">
        <f>TRUNC(G355*D355,1)</f>
        <v>0</v>
      </c>
      <c r="I355" s="370">
        <v>0</v>
      </c>
      <c r="J355" s="361">
        <f>TRUNC(I355*D355,1)</f>
        <v>0</v>
      </c>
      <c r="K355" s="370">
        <f t="shared" si="75"/>
        <v>2185.4</v>
      </c>
      <c r="L355" s="361">
        <f t="shared" si="75"/>
        <v>2185.4</v>
      </c>
      <c r="M355" s="333" t="s">
        <v>378</v>
      </c>
      <c r="N355" s="329" t="s">
        <v>1235</v>
      </c>
      <c r="O355" s="329" t="s">
        <v>2211</v>
      </c>
      <c r="P355" s="329" t="s">
        <v>1105</v>
      </c>
      <c r="Q355" s="329" t="s">
        <v>1105</v>
      </c>
      <c r="R355" s="329" t="s">
        <v>1105</v>
      </c>
      <c r="S355" s="330">
        <v>1</v>
      </c>
      <c r="T355" s="330">
        <v>0</v>
      </c>
      <c r="U355" s="330">
        <v>0.03</v>
      </c>
      <c r="V355" s="330">
        <v>1</v>
      </c>
      <c r="AV355" s="329" t="s">
        <v>378</v>
      </c>
      <c r="AW355" s="329" t="s">
        <v>2626</v>
      </c>
      <c r="AX355" s="329" t="s">
        <v>378</v>
      </c>
      <c r="AY355" s="329" t="s">
        <v>378</v>
      </c>
    </row>
    <row r="356" spans="1:51" ht="30" customHeight="1">
      <c r="A356" s="333" t="s">
        <v>1851</v>
      </c>
      <c r="B356" s="333" t="s">
        <v>2221</v>
      </c>
      <c r="C356" s="333" t="s">
        <v>1852</v>
      </c>
      <c r="D356" s="334">
        <f>신규_공량산출근거서_일위대가!K171</f>
        <v>0.31</v>
      </c>
      <c r="E356" s="370">
        <f>신규_단가대비표!O154</f>
        <v>0</v>
      </c>
      <c r="F356" s="361">
        <f>TRUNC(E356*D356,1)</f>
        <v>0</v>
      </c>
      <c r="G356" s="370">
        <f>신규_단가대비표!P154</f>
        <v>234998.43458</v>
      </c>
      <c r="H356" s="361">
        <f>TRUNC(G356*D356,1)</f>
        <v>72849.5</v>
      </c>
      <c r="I356" s="370">
        <f>신규_단가대비표!V154</f>
        <v>0</v>
      </c>
      <c r="J356" s="361">
        <f>TRUNC(I356*D356,1)</f>
        <v>0</v>
      </c>
      <c r="K356" s="370">
        <f t="shared" si="75"/>
        <v>234998.39999999999</v>
      </c>
      <c r="L356" s="361">
        <f t="shared" si="75"/>
        <v>72849.5</v>
      </c>
      <c r="M356" s="333" t="s">
        <v>378</v>
      </c>
      <c r="N356" s="329" t="s">
        <v>1235</v>
      </c>
      <c r="O356" s="329" t="s">
        <v>2222</v>
      </c>
      <c r="P356" s="329" t="s">
        <v>1105</v>
      </c>
      <c r="Q356" s="329" t="s">
        <v>1105</v>
      </c>
      <c r="R356" s="329" t="s">
        <v>1104</v>
      </c>
      <c r="V356" s="330">
        <v>1</v>
      </c>
      <c r="AV356" s="329" t="s">
        <v>378</v>
      </c>
      <c r="AW356" s="329" t="s">
        <v>2627</v>
      </c>
      <c r="AX356" s="329" t="s">
        <v>378</v>
      </c>
      <c r="AY356" s="329" t="s">
        <v>378</v>
      </c>
    </row>
    <row r="357" spans="1:51" ht="30" customHeight="1">
      <c r="A357" s="333" t="s">
        <v>2224</v>
      </c>
      <c r="B357" s="333" t="s">
        <v>378</v>
      </c>
      <c r="C357" s="333" t="s">
        <v>378</v>
      </c>
      <c r="D357" s="334"/>
      <c r="E357" s="370"/>
      <c r="F357" s="361">
        <f>TRUNC(SUMIF(N353:N356, N352, F353:F356),0)</f>
        <v>5913</v>
      </c>
      <c r="G357" s="370"/>
      <c r="H357" s="361">
        <f>TRUNC(SUMIF(N353:N356, N352, H353:H356),0)</f>
        <v>96750</v>
      </c>
      <c r="I357" s="370"/>
      <c r="J357" s="361">
        <f>TRUNC(SUMIF(N353:N356, N352, J353:J356),0)</f>
        <v>4736</v>
      </c>
      <c r="K357" s="370"/>
      <c r="L357" s="361">
        <f>F357+H357+J357</f>
        <v>107399</v>
      </c>
      <c r="M357" s="333" t="s">
        <v>378</v>
      </c>
      <c r="N357" s="329" t="s">
        <v>1197</v>
      </c>
      <c r="O357" s="329" t="s">
        <v>1197</v>
      </c>
      <c r="P357" s="329" t="s">
        <v>378</v>
      </c>
      <c r="Q357" s="329" t="s">
        <v>378</v>
      </c>
      <c r="R357" s="329" t="s">
        <v>378</v>
      </c>
      <c r="AV357" s="329" t="s">
        <v>378</v>
      </c>
      <c r="AW357" s="329" t="s">
        <v>378</v>
      </c>
      <c r="AX357" s="329" t="s">
        <v>378</v>
      </c>
      <c r="AY357" s="329" t="s">
        <v>378</v>
      </c>
    </row>
    <row r="358" spans="1:51" ht="30" customHeight="1">
      <c r="A358" s="334"/>
      <c r="B358" s="334"/>
      <c r="C358" s="334"/>
      <c r="D358" s="334"/>
      <c r="E358" s="370"/>
      <c r="F358" s="361"/>
      <c r="G358" s="370"/>
      <c r="H358" s="361"/>
      <c r="I358" s="370"/>
      <c r="J358" s="361"/>
      <c r="K358" s="370"/>
      <c r="L358" s="361"/>
      <c r="M358" s="334"/>
    </row>
    <row r="359" spans="1:51" ht="30" customHeight="1">
      <c r="A359" s="718" t="s">
        <v>2628</v>
      </c>
      <c r="B359" s="718"/>
      <c r="C359" s="718"/>
      <c r="D359" s="718"/>
      <c r="E359" s="719"/>
      <c r="F359" s="720"/>
      <c r="G359" s="719"/>
      <c r="H359" s="720"/>
      <c r="I359" s="719"/>
      <c r="J359" s="720"/>
      <c r="K359" s="719"/>
      <c r="L359" s="720"/>
      <c r="M359" s="718"/>
      <c r="N359" s="329" t="s">
        <v>1237</v>
      </c>
    </row>
    <row r="360" spans="1:51" ht="30" customHeight="1">
      <c r="A360" s="333" t="s">
        <v>2629</v>
      </c>
      <c r="B360" s="333" t="s">
        <v>2630</v>
      </c>
      <c r="C360" s="333" t="s">
        <v>265</v>
      </c>
      <c r="D360" s="334">
        <v>1</v>
      </c>
      <c r="E360" s="370">
        <f>신규_단가대비표!O34</f>
        <v>0</v>
      </c>
      <c r="F360" s="361">
        <f>TRUNC(E360*D360,1)</f>
        <v>0</v>
      </c>
      <c r="G360" s="370">
        <f>신규_단가대비표!P34</f>
        <v>0</v>
      </c>
      <c r="H360" s="361">
        <f>TRUNC(G360*D360,1)</f>
        <v>0</v>
      </c>
      <c r="I360" s="370">
        <f>신규_단가대비표!V34</f>
        <v>0</v>
      </c>
      <c r="J360" s="361">
        <f>TRUNC(I360*D360,1)</f>
        <v>0</v>
      </c>
      <c r="K360" s="370">
        <f t="shared" ref="K360:L362" si="76">TRUNC(E360+G360+I360,1)</f>
        <v>0</v>
      </c>
      <c r="L360" s="361">
        <f t="shared" si="76"/>
        <v>0</v>
      </c>
      <c r="M360" s="333" t="s">
        <v>378</v>
      </c>
      <c r="N360" s="329" t="s">
        <v>1237</v>
      </c>
      <c r="O360" s="329" t="s">
        <v>2631</v>
      </c>
      <c r="P360" s="329" t="s">
        <v>1105</v>
      </c>
      <c r="Q360" s="329" t="s">
        <v>1105</v>
      </c>
      <c r="R360" s="329" t="s">
        <v>1104</v>
      </c>
      <c r="AV360" s="329" t="s">
        <v>378</v>
      </c>
      <c r="AW360" s="329" t="s">
        <v>2632</v>
      </c>
      <c r="AX360" s="329" t="s">
        <v>378</v>
      </c>
      <c r="AY360" s="329" t="s">
        <v>378</v>
      </c>
    </row>
    <row r="361" spans="1:51" ht="30" customHeight="1">
      <c r="A361" s="333" t="s">
        <v>1851</v>
      </c>
      <c r="B361" s="333" t="s">
        <v>2221</v>
      </c>
      <c r="C361" s="333" t="s">
        <v>1852</v>
      </c>
      <c r="D361" s="334">
        <f>신규_공량산출근거서_일위대가!K174</f>
        <v>0.24199999999999999</v>
      </c>
      <c r="E361" s="370">
        <f>신규_단가대비표!O154</f>
        <v>0</v>
      </c>
      <c r="F361" s="361">
        <f>TRUNC(E361*D361,1)</f>
        <v>0</v>
      </c>
      <c r="G361" s="370">
        <f>신규_단가대비표!P154</f>
        <v>234998.43458</v>
      </c>
      <c r="H361" s="361">
        <f>TRUNC(G361*D361,1)</f>
        <v>56869.599999999999</v>
      </c>
      <c r="I361" s="370">
        <f>신규_단가대비표!V154</f>
        <v>0</v>
      </c>
      <c r="J361" s="361">
        <f>TRUNC(I361*D361,1)</f>
        <v>0</v>
      </c>
      <c r="K361" s="370">
        <f t="shared" si="76"/>
        <v>234998.39999999999</v>
      </c>
      <c r="L361" s="361">
        <f t="shared" si="76"/>
        <v>56869.599999999999</v>
      </c>
      <c r="M361" s="333" t="s">
        <v>378</v>
      </c>
      <c r="N361" s="329" t="s">
        <v>1237</v>
      </c>
      <c r="O361" s="329" t="s">
        <v>2222</v>
      </c>
      <c r="P361" s="329" t="s">
        <v>1105</v>
      </c>
      <c r="Q361" s="329" t="s">
        <v>1105</v>
      </c>
      <c r="R361" s="329" t="s">
        <v>1104</v>
      </c>
      <c r="V361" s="330">
        <v>1</v>
      </c>
      <c r="AV361" s="329" t="s">
        <v>378</v>
      </c>
      <c r="AW361" s="329" t="s">
        <v>2633</v>
      </c>
      <c r="AX361" s="329" t="s">
        <v>378</v>
      </c>
      <c r="AY361" s="329" t="s">
        <v>378</v>
      </c>
    </row>
    <row r="362" spans="1:51" ht="30" customHeight="1">
      <c r="A362" s="333" t="s">
        <v>2217</v>
      </c>
      <c r="B362" s="333" t="s">
        <v>2218</v>
      </c>
      <c r="C362" s="333" t="s">
        <v>212</v>
      </c>
      <c r="D362" s="334">
        <v>1</v>
      </c>
      <c r="E362" s="370">
        <f>TRUNC(SUMIF(V360:V362, RIGHTB(O362, 1), H360:H362)*U362, 2)</f>
        <v>1706.08</v>
      </c>
      <c r="F362" s="361">
        <f>TRUNC(E362*D362,1)</f>
        <v>1706</v>
      </c>
      <c r="G362" s="370">
        <v>0</v>
      </c>
      <c r="H362" s="361">
        <f>TRUNC(G362*D362,1)</f>
        <v>0</v>
      </c>
      <c r="I362" s="370">
        <v>0</v>
      </c>
      <c r="J362" s="361">
        <f>TRUNC(I362*D362,1)</f>
        <v>0</v>
      </c>
      <c r="K362" s="370">
        <f t="shared" si="76"/>
        <v>1706</v>
      </c>
      <c r="L362" s="361">
        <f t="shared" si="76"/>
        <v>1706</v>
      </c>
      <c r="M362" s="333" t="s">
        <v>378</v>
      </c>
      <c r="N362" s="329" t="s">
        <v>1237</v>
      </c>
      <c r="O362" s="329" t="s">
        <v>2211</v>
      </c>
      <c r="P362" s="329" t="s">
        <v>1105</v>
      </c>
      <c r="Q362" s="329" t="s">
        <v>1105</v>
      </c>
      <c r="R362" s="329" t="s">
        <v>1105</v>
      </c>
      <c r="S362" s="330">
        <v>1</v>
      </c>
      <c r="T362" s="330">
        <v>0</v>
      </c>
      <c r="U362" s="330">
        <v>0.03</v>
      </c>
      <c r="V362" s="330">
        <v>1</v>
      </c>
      <c r="AV362" s="329" t="s">
        <v>378</v>
      </c>
      <c r="AW362" s="329" t="s">
        <v>2634</v>
      </c>
      <c r="AX362" s="329" t="s">
        <v>378</v>
      </c>
      <c r="AY362" s="329" t="s">
        <v>378</v>
      </c>
    </row>
    <row r="363" spans="1:51" ht="30" customHeight="1">
      <c r="A363" s="333" t="s">
        <v>2224</v>
      </c>
      <c r="B363" s="333" t="s">
        <v>378</v>
      </c>
      <c r="C363" s="333" t="s">
        <v>378</v>
      </c>
      <c r="D363" s="334"/>
      <c r="E363" s="370"/>
      <c r="F363" s="361">
        <f>TRUNC(SUMIF(N360:N362, N359, F360:F362),0)</f>
        <v>1706</v>
      </c>
      <c r="G363" s="370"/>
      <c r="H363" s="361">
        <f>TRUNC(SUMIF(N360:N362, N359, H360:H362),0)</f>
        <v>56869</v>
      </c>
      <c r="I363" s="370"/>
      <c r="J363" s="361">
        <f>TRUNC(SUMIF(N360:N362, N359, J360:J362),0)</f>
        <v>0</v>
      </c>
      <c r="K363" s="370"/>
      <c r="L363" s="361">
        <f>F363+H363+J363</f>
        <v>58575</v>
      </c>
      <c r="M363" s="333" t="s">
        <v>378</v>
      </c>
      <c r="N363" s="329" t="s">
        <v>1197</v>
      </c>
      <c r="O363" s="329" t="s">
        <v>1197</v>
      </c>
      <c r="P363" s="329" t="s">
        <v>378</v>
      </c>
      <c r="Q363" s="329" t="s">
        <v>378</v>
      </c>
      <c r="R363" s="329" t="s">
        <v>378</v>
      </c>
      <c r="AV363" s="329" t="s">
        <v>378</v>
      </c>
      <c r="AW363" s="329" t="s">
        <v>378</v>
      </c>
      <c r="AX363" s="329" t="s">
        <v>378</v>
      </c>
      <c r="AY363" s="329" t="s">
        <v>378</v>
      </c>
    </row>
    <row r="364" spans="1:51" ht="30" customHeight="1">
      <c r="A364" s="334"/>
      <c r="B364" s="334"/>
      <c r="C364" s="334"/>
      <c r="D364" s="334"/>
      <c r="E364" s="370"/>
      <c r="F364" s="361"/>
      <c r="G364" s="370"/>
      <c r="H364" s="361"/>
      <c r="I364" s="370"/>
      <c r="J364" s="361"/>
      <c r="K364" s="370"/>
      <c r="L364" s="361"/>
      <c r="M364" s="334"/>
    </row>
    <row r="365" spans="1:51" ht="30" customHeight="1">
      <c r="A365" s="718" t="s">
        <v>2635</v>
      </c>
      <c r="B365" s="718"/>
      <c r="C365" s="718"/>
      <c r="D365" s="718"/>
      <c r="E365" s="719"/>
      <c r="F365" s="720"/>
      <c r="G365" s="719"/>
      <c r="H365" s="720"/>
      <c r="I365" s="719"/>
      <c r="J365" s="720"/>
      <c r="K365" s="719"/>
      <c r="L365" s="720"/>
      <c r="M365" s="718"/>
      <c r="N365" s="329" t="s">
        <v>1239</v>
      </c>
    </row>
    <row r="366" spans="1:51" ht="30" customHeight="1">
      <c r="A366" s="333" t="s">
        <v>1889</v>
      </c>
      <c r="B366" s="333" t="s">
        <v>378</v>
      </c>
      <c r="C366" s="333" t="s">
        <v>1852</v>
      </c>
      <c r="D366" s="334">
        <f>신규_공량산출근거서_일위대가!K178</f>
        <v>0.19</v>
      </c>
      <c r="E366" s="370">
        <f>신규_단가대비표!O148</f>
        <v>0</v>
      </c>
      <c r="F366" s="361">
        <f>TRUNC(E366*D366,1)</f>
        <v>0</v>
      </c>
      <c r="G366" s="370">
        <f>신규_단가대비표!P148</f>
        <v>139072.71924000001</v>
      </c>
      <c r="H366" s="361">
        <f>TRUNC(G366*D366,1)</f>
        <v>26423.8</v>
      </c>
      <c r="I366" s="370">
        <f>신규_단가대비표!V148</f>
        <v>0</v>
      </c>
      <c r="J366" s="361">
        <f>TRUNC(I366*D366,1)</f>
        <v>0</v>
      </c>
      <c r="K366" s="370">
        <f t="shared" ref="K366:L370" si="77">TRUNC(E366+G366+I366,1)</f>
        <v>139072.70000000001</v>
      </c>
      <c r="L366" s="361">
        <f t="shared" si="77"/>
        <v>26423.8</v>
      </c>
      <c r="M366" s="333" t="s">
        <v>378</v>
      </c>
      <c r="N366" s="329" t="s">
        <v>1239</v>
      </c>
      <c r="O366" s="329" t="s">
        <v>2277</v>
      </c>
      <c r="P366" s="329" t="s">
        <v>1105</v>
      </c>
      <c r="Q366" s="329" t="s">
        <v>1105</v>
      </c>
      <c r="R366" s="329" t="s">
        <v>1104</v>
      </c>
      <c r="V366" s="330">
        <v>1</v>
      </c>
      <c r="AV366" s="329" t="s">
        <v>378</v>
      </c>
      <c r="AW366" s="329" t="s">
        <v>2636</v>
      </c>
      <c r="AX366" s="329" t="s">
        <v>378</v>
      </c>
      <c r="AY366" s="329" t="s">
        <v>378</v>
      </c>
    </row>
    <row r="367" spans="1:51" ht="30" customHeight="1">
      <c r="A367" s="333" t="s">
        <v>2564</v>
      </c>
      <c r="B367" s="333" t="s">
        <v>2565</v>
      </c>
      <c r="C367" s="333" t="s">
        <v>1811</v>
      </c>
      <c r="D367" s="334">
        <v>0.43</v>
      </c>
      <c r="E367" s="370">
        <f>신규_단가대비표!O53</f>
        <v>6777.9666500000003</v>
      </c>
      <c r="F367" s="361">
        <f>TRUNC(E367*D367,1)</f>
        <v>2914.5</v>
      </c>
      <c r="G367" s="370">
        <f>신규_단가대비표!P53</f>
        <v>43456</v>
      </c>
      <c r="H367" s="361">
        <f>TRUNC(G367*D367,1)</f>
        <v>18686</v>
      </c>
      <c r="I367" s="370">
        <f>신규_단가대비표!V53</f>
        <v>8611.69218</v>
      </c>
      <c r="J367" s="361">
        <f>TRUNC(I367*D367,1)</f>
        <v>3703</v>
      </c>
      <c r="K367" s="370">
        <f t="shared" si="77"/>
        <v>58845.599999999999</v>
      </c>
      <c r="L367" s="361">
        <f t="shared" si="77"/>
        <v>25303.5</v>
      </c>
      <c r="M367" s="333" t="s">
        <v>378</v>
      </c>
      <c r="N367" s="329" t="s">
        <v>1239</v>
      </c>
      <c r="O367" s="329" t="s">
        <v>2566</v>
      </c>
      <c r="P367" s="329" t="s">
        <v>1105</v>
      </c>
      <c r="Q367" s="329" t="s">
        <v>1105</v>
      </c>
      <c r="R367" s="329" t="s">
        <v>1104</v>
      </c>
      <c r="V367" s="330">
        <v>1</v>
      </c>
      <c r="AV367" s="329" t="s">
        <v>378</v>
      </c>
      <c r="AW367" s="329" t="s">
        <v>2637</v>
      </c>
      <c r="AX367" s="329" t="s">
        <v>378</v>
      </c>
      <c r="AY367" s="329" t="s">
        <v>378</v>
      </c>
    </row>
    <row r="368" spans="1:51" ht="30" customHeight="1">
      <c r="A368" s="333" t="s">
        <v>1851</v>
      </c>
      <c r="B368" s="333" t="s">
        <v>2221</v>
      </c>
      <c r="C368" s="333" t="s">
        <v>1852</v>
      </c>
      <c r="D368" s="334">
        <f>신규_공량산출근거서_일위대가!K179</f>
        <v>0.08</v>
      </c>
      <c r="E368" s="370">
        <f>신규_단가대비표!O154</f>
        <v>0</v>
      </c>
      <c r="F368" s="361">
        <f>TRUNC(E368*D368,1)</f>
        <v>0</v>
      </c>
      <c r="G368" s="370">
        <f>신규_단가대비표!P154</f>
        <v>234998.43458</v>
      </c>
      <c r="H368" s="361">
        <f>TRUNC(G368*D368,1)</f>
        <v>18799.8</v>
      </c>
      <c r="I368" s="370">
        <f>신규_단가대비표!V154</f>
        <v>0</v>
      </c>
      <c r="J368" s="361">
        <f>TRUNC(I368*D368,1)</f>
        <v>0</v>
      </c>
      <c r="K368" s="370">
        <f t="shared" si="77"/>
        <v>234998.39999999999</v>
      </c>
      <c r="L368" s="361">
        <f t="shared" si="77"/>
        <v>18799.8</v>
      </c>
      <c r="M368" s="333" t="s">
        <v>378</v>
      </c>
      <c r="N368" s="329" t="s">
        <v>1239</v>
      </c>
      <c r="O368" s="329" t="s">
        <v>2222</v>
      </c>
      <c r="P368" s="329" t="s">
        <v>1105</v>
      </c>
      <c r="Q368" s="329" t="s">
        <v>1105</v>
      </c>
      <c r="R368" s="329" t="s">
        <v>1104</v>
      </c>
      <c r="V368" s="330">
        <v>1</v>
      </c>
      <c r="AV368" s="329" t="s">
        <v>378</v>
      </c>
      <c r="AW368" s="329" t="s">
        <v>2638</v>
      </c>
      <c r="AX368" s="329" t="s">
        <v>378</v>
      </c>
      <c r="AY368" s="329" t="s">
        <v>378</v>
      </c>
    </row>
    <row r="369" spans="1:51" ht="30" customHeight="1">
      <c r="A369" s="333" t="s">
        <v>2217</v>
      </c>
      <c r="B369" s="333" t="s">
        <v>2218</v>
      </c>
      <c r="C369" s="333" t="s">
        <v>212</v>
      </c>
      <c r="D369" s="334">
        <v>1</v>
      </c>
      <c r="E369" s="370">
        <f>TRUNC(SUMIF(V366:V370, RIGHTB(O369, 1), H366:H370)*U369, 2)</f>
        <v>1917.28</v>
      </c>
      <c r="F369" s="361">
        <f>TRUNC(E369*D369,1)</f>
        <v>1917.2</v>
      </c>
      <c r="G369" s="370">
        <v>0</v>
      </c>
      <c r="H369" s="361">
        <f>TRUNC(G369*D369,1)</f>
        <v>0</v>
      </c>
      <c r="I369" s="370">
        <v>0</v>
      </c>
      <c r="J369" s="361">
        <f>TRUNC(I369*D369,1)</f>
        <v>0</v>
      </c>
      <c r="K369" s="370">
        <f t="shared" si="77"/>
        <v>1917.2</v>
      </c>
      <c r="L369" s="361">
        <f t="shared" si="77"/>
        <v>1917.2</v>
      </c>
      <c r="M369" s="333" t="s">
        <v>378</v>
      </c>
      <c r="N369" s="329" t="s">
        <v>1239</v>
      </c>
      <c r="O369" s="329" t="s">
        <v>2211</v>
      </c>
      <c r="P369" s="329" t="s">
        <v>1105</v>
      </c>
      <c r="Q369" s="329" t="s">
        <v>1105</v>
      </c>
      <c r="R369" s="329" t="s">
        <v>1105</v>
      </c>
      <c r="S369" s="330">
        <v>1</v>
      </c>
      <c r="T369" s="330">
        <v>0</v>
      </c>
      <c r="U369" s="330">
        <v>0.03</v>
      </c>
      <c r="V369" s="330">
        <v>1</v>
      </c>
      <c r="AV369" s="329" t="s">
        <v>378</v>
      </c>
      <c r="AW369" s="329" t="s">
        <v>2639</v>
      </c>
      <c r="AX369" s="329" t="s">
        <v>378</v>
      </c>
      <c r="AY369" s="329" t="s">
        <v>378</v>
      </c>
    </row>
    <row r="370" spans="1:51" ht="30" customHeight="1">
      <c r="A370" s="333" t="s">
        <v>336</v>
      </c>
      <c r="B370" s="333" t="s">
        <v>336</v>
      </c>
      <c r="C370" s="333" t="s">
        <v>265</v>
      </c>
      <c r="D370" s="334">
        <v>1</v>
      </c>
      <c r="E370" s="370">
        <f>신규_단가대비표!O75</f>
        <v>43386.07</v>
      </c>
      <c r="F370" s="361">
        <f>TRUNC(E370*D370,1)</f>
        <v>43386</v>
      </c>
      <c r="G370" s="370">
        <f>신규_단가대비표!P75</f>
        <v>0</v>
      </c>
      <c r="H370" s="361">
        <f>TRUNC(G370*D370,1)</f>
        <v>0</v>
      </c>
      <c r="I370" s="370">
        <f>신규_단가대비표!V75</f>
        <v>0</v>
      </c>
      <c r="J370" s="361">
        <f>TRUNC(I370*D370,1)</f>
        <v>0</v>
      </c>
      <c r="K370" s="370">
        <f t="shared" si="77"/>
        <v>43386</v>
      </c>
      <c r="L370" s="361">
        <f t="shared" si="77"/>
        <v>43386</v>
      </c>
      <c r="M370" s="333" t="s">
        <v>378</v>
      </c>
      <c r="N370" s="329" t="s">
        <v>1239</v>
      </c>
      <c r="O370" s="329" t="s">
        <v>2640</v>
      </c>
      <c r="P370" s="329" t="s">
        <v>1105</v>
      </c>
      <c r="Q370" s="329" t="s">
        <v>1105</v>
      </c>
      <c r="R370" s="329" t="s">
        <v>1104</v>
      </c>
      <c r="AV370" s="329" t="s">
        <v>378</v>
      </c>
      <c r="AW370" s="329" t="s">
        <v>2641</v>
      </c>
      <c r="AX370" s="329" t="s">
        <v>378</v>
      </c>
      <c r="AY370" s="329" t="s">
        <v>378</v>
      </c>
    </row>
    <row r="371" spans="1:51" ht="30" customHeight="1">
      <c r="A371" s="333" t="s">
        <v>2224</v>
      </c>
      <c r="B371" s="333" t="s">
        <v>378</v>
      </c>
      <c r="C371" s="333" t="s">
        <v>378</v>
      </c>
      <c r="D371" s="334"/>
      <c r="E371" s="370"/>
      <c r="F371" s="361">
        <f>TRUNC(SUMIF(N366:N370, N365, F366:F370),0)</f>
        <v>48217</v>
      </c>
      <c r="G371" s="370"/>
      <c r="H371" s="361">
        <f>TRUNC(SUMIF(N366:N370, N365, H366:H370),0)</f>
        <v>63909</v>
      </c>
      <c r="I371" s="370"/>
      <c r="J371" s="361">
        <f>TRUNC(SUMIF(N366:N370, N365, J366:J370),0)</f>
        <v>3703</v>
      </c>
      <c r="K371" s="370"/>
      <c r="L371" s="361">
        <f>F371+H371+J371</f>
        <v>115829</v>
      </c>
      <c r="M371" s="333" t="s">
        <v>378</v>
      </c>
      <c r="N371" s="329" t="s">
        <v>1197</v>
      </c>
      <c r="O371" s="329" t="s">
        <v>1197</v>
      </c>
      <c r="P371" s="329" t="s">
        <v>378</v>
      </c>
      <c r="Q371" s="329" t="s">
        <v>378</v>
      </c>
      <c r="R371" s="329" t="s">
        <v>378</v>
      </c>
      <c r="AV371" s="329" t="s">
        <v>378</v>
      </c>
      <c r="AW371" s="329" t="s">
        <v>378</v>
      </c>
      <c r="AX371" s="329" t="s">
        <v>378</v>
      </c>
      <c r="AY371" s="329" t="s">
        <v>378</v>
      </c>
    </row>
    <row r="372" spans="1:51" ht="30" customHeight="1">
      <c r="A372" s="334"/>
      <c r="B372" s="334"/>
      <c r="C372" s="334"/>
      <c r="D372" s="334"/>
      <c r="E372" s="370"/>
      <c r="F372" s="361"/>
      <c r="G372" s="370"/>
      <c r="H372" s="361"/>
      <c r="I372" s="370"/>
      <c r="J372" s="361"/>
      <c r="K372" s="370"/>
      <c r="L372" s="361"/>
      <c r="M372" s="334"/>
    </row>
    <row r="373" spans="1:51" ht="30" customHeight="1">
      <c r="A373" s="718" t="s">
        <v>2642</v>
      </c>
      <c r="B373" s="718"/>
      <c r="C373" s="718"/>
      <c r="D373" s="718"/>
      <c r="E373" s="719"/>
      <c r="F373" s="720"/>
      <c r="G373" s="719"/>
      <c r="H373" s="720"/>
      <c r="I373" s="719"/>
      <c r="J373" s="720"/>
      <c r="K373" s="719"/>
      <c r="L373" s="720"/>
      <c r="M373" s="718"/>
      <c r="N373" s="329" t="s">
        <v>1241</v>
      </c>
    </row>
    <row r="374" spans="1:51" ht="30" customHeight="1">
      <c r="A374" s="333" t="s">
        <v>337</v>
      </c>
      <c r="B374" s="333" t="s">
        <v>2366</v>
      </c>
      <c r="C374" s="333" t="s">
        <v>265</v>
      </c>
      <c r="D374" s="334">
        <v>1</v>
      </c>
      <c r="E374" s="370">
        <f>신규_단가대비표!O102</f>
        <v>14609.595000000001</v>
      </c>
      <c r="F374" s="361">
        <f>TRUNC(E374*D374,1)</f>
        <v>14609.5</v>
      </c>
      <c r="G374" s="370">
        <f>신규_단가대비표!P102</f>
        <v>0</v>
      </c>
      <c r="H374" s="361">
        <f>TRUNC(G374*D374,1)</f>
        <v>0</v>
      </c>
      <c r="I374" s="370">
        <f>신규_단가대비표!V102</f>
        <v>0</v>
      </c>
      <c r="J374" s="361">
        <f>TRUNC(I374*D374,1)</f>
        <v>0</v>
      </c>
      <c r="K374" s="370">
        <f t="shared" ref="K374:L377" si="78">TRUNC(E374+G374+I374,1)</f>
        <v>14609.5</v>
      </c>
      <c r="L374" s="361">
        <f t="shared" si="78"/>
        <v>14609.5</v>
      </c>
      <c r="M374" s="333" t="s">
        <v>378</v>
      </c>
      <c r="N374" s="329" t="s">
        <v>1241</v>
      </c>
      <c r="O374" s="329" t="s">
        <v>2643</v>
      </c>
      <c r="P374" s="329" t="s">
        <v>1105</v>
      </c>
      <c r="Q374" s="329" t="s">
        <v>1105</v>
      </c>
      <c r="R374" s="329" t="s">
        <v>1104</v>
      </c>
      <c r="AV374" s="329" t="s">
        <v>378</v>
      </c>
      <c r="AW374" s="329" t="s">
        <v>2644</v>
      </c>
      <c r="AX374" s="329" t="s">
        <v>378</v>
      </c>
      <c r="AY374" s="329" t="s">
        <v>378</v>
      </c>
    </row>
    <row r="375" spans="1:51" ht="30" customHeight="1">
      <c r="A375" s="333" t="s">
        <v>1889</v>
      </c>
      <c r="B375" s="333" t="s">
        <v>378</v>
      </c>
      <c r="C375" s="333" t="s">
        <v>1852</v>
      </c>
      <c r="D375" s="334">
        <f>신규_공량산출근거서_일위대가!K183</f>
        <v>0.08</v>
      </c>
      <c r="E375" s="370">
        <f>신규_단가대비표!O148</f>
        <v>0</v>
      </c>
      <c r="F375" s="361">
        <f>TRUNC(E375*D375,1)</f>
        <v>0</v>
      </c>
      <c r="G375" s="370">
        <f>신규_단가대비표!P148</f>
        <v>139072.71924000001</v>
      </c>
      <c r="H375" s="361">
        <f>TRUNC(G375*D375,1)</f>
        <v>11125.8</v>
      </c>
      <c r="I375" s="370">
        <f>신규_단가대비표!V148</f>
        <v>0</v>
      </c>
      <c r="J375" s="361">
        <f>TRUNC(I375*D375,1)</f>
        <v>0</v>
      </c>
      <c r="K375" s="370">
        <f t="shared" si="78"/>
        <v>139072.70000000001</v>
      </c>
      <c r="L375" s="361">
        <f t="shared" si="78"/>
        <v>11125.8</v>
      </c>
      <c r="M375" s="333" t="s">
        <v>378</v>
      </c>
      <c r="N375" s="329" t="s">
        <v>1241</v>
      </c>
      <c r="O375" s="329" t="s">
        <v>2277</v>
      </c>
      <c r="P375" s="329" t="s">
        <v>1105</v>
      </c>
      <c r="Q375" s="329" t="s">
        <v>1105</v>
      </c>
      <c r="R375" s="329" t="s">
        <v>1104</v>
      </c>
      <c r="V375" s="330">
        <v>1</v>
      </c>
      <c r="AV375" s="329" t="s">
        <v>378</v>
      </c>
      <c r="AW375" s="329" t="s">
        <v>2645</v>
      </c>
      <c r="AX375" s="329" t="s">
        <v>378</v>
      </c>
      <c r="AY375" s="329" t="s">
        <v>378</v>
      </c>
    </row>
    <row r="376" spans="1:51" ht="30" customHeight="1">
      <c r="A376" s="333" t="s">
        <v>1851</v>
      </c>
      <c r="B376" s="333" t="s">
        <v>2221</v>
      </c>
      <c r="C376" s="333" t="s">
        <v>1852</v>
      </c>
      <c r="D376" s="334">
        <f>신규_공량산출근거서_일위대가!K184</f>
        <v>0.11</v>
      </c>
      <c r="E376" s="370">
        <f>신규_단가대비표!O154</f>
        <v>0</v>
      </c>
      <c r="F376" s="361">
        <f>TRUNC(E376*D376,1)</f>
        <v>0</v>
      </c>
      <c r="G376" s="370">
        <f>신규_단가대비표!P154</f>
        <v>234998.43458</v>
      </c>
      <c r="H376" s="361">
        <f>TRUNC(G376*D376,1)</f>
        <v>25849.8</v>
      </c>
      <c r="I376" s="370">
        <f>신규_단가대비표!V154</f>
        <v>0</v>
      </c>
      <c r="J376" s="361">
        <f>TRUNC(I376*D376,1)</f>
        <v>0</v>
      </c>
      <c r="K376" s="370">
        <f t="shared" si="78"/>
        <v>234998.39999999999</v>
      </c>
      <c r="L376" s="361">
        <f t="shared" si="78"/>
        <v>25849.8</v>
      </c>
      <c r="M376" s="333" t="s">
        <v>378</v>
      </c>
      <c r="N376" s="329" t="s">
        <v>1241</v>
      </c>
      <c r="O376" s="329" t="s">
        <v>2222</v>
      </c>
      <c r="P376" s="329" t="s">
        <v>1105</v>
      </c>
      <c r="Q376" s="329" t="s">
        <v>1105</v>
      </c>
      <c r="R376" s="329" t="s">
        <v>1104</v>
      </c>
      <c r="V376" s="330">
        <v>1</v>
      </c>
      <c r="AV376" s="329" t="s">
        <v>378</v>
      </c>
      <c r="AW376" s="329" t="s">
        <v>2646</v>
      </c>
      <c r="AX376" s="329" t="s">
        <v>378</v>
      </c>
      <c r="AY376" s="329" t="s">
        <v>378</v>
      </c>
    </row>
    <row r="377" spans="1:51" ht="30" customHeight="1">
      <c r="A377" s="333" t="s">
        <v>2217</v>
      </c>
      <c r="B377" s="333" t="s">
        <v>2218</v>
      </c>
      <c r="C377" s="333" t="s">
        <v>212</v>
      </c>
      <c r="D377" s="334">
        <v>1</v>
      </c>
      <c r="E377" s="370">
        <f>TRUNC(SUMIF(V374:V377, RIGHTB(O377, 1), H374:H377)*U377, 2)</f>
        <v>1109.26</v>
      </c>
      <c r="F377" s="361">
        <f>TRUNC(E377*D377,1)</f>
        <v>1109.2</v>
      </c>
      <c r="G377" s="370">
        <v>0</v>
      </c>
      <c r="H377" s="361">
        <f>TRUNC(G377*D377,1)</f>
        <v>0</v>
      </c>
      <c r="I377" s="370">
        <v>0</v>
      </c>
      <c r="J377" s="361">
        <f>TRUNC(I377*D377,1)</f>
        <v>0</v>
      </c>
      <c r="K377" s="370">
        <f t="shared" si="78"/>
        <v>1109.2</v>
      </c>
      <c r="L377" s="361">
        <f t="shared" si="78"/>
        <v>1109.2</v>
      </c>
      <c r="M377" s="333" t="s">
        <v>378</v>
      </c>
      <c r="N377" s="329" t="s">
        <v>1241</v>
      </c>
      <c r="O377" s="329" t="s">
        <v>2211</v>
      </c>
      <c r="P377" s="329" t="s">
        <v>1105</v>
      </c>
      <c r="Q377" s="329" t="s">
        <v>1105</v>
      </c>
      <c r="R377" s="329" t="s">
        <v>1105</v>
      </c>
      <c r="S377" s="330">
        <v>1</v>
      </c>
      <c r="T377" s="330">
        <v>0</v>
      </c>
      <c r="U377" s="330">
        <v>0.03</v>
      </c>
      <c r="V377" s="330">
        <v>1</v>
      </c>
      <c r="AV377" s="329" t="s">
        <v>378</v>
      </c>
      <c r="AW377" s="329" t="s">
        <v>2647</v>
      </c>
      <c r="AX377" s="329" t="s">
        <v>378</v>
      </c>
      <c r="AY377" s="329" t="s">
        <v>378</v>
      </c>
    </row>
    <row r="378" spans="1:51" ht="30" customHeight="1">
      <c r="A378" s="333" t="s">
        <v>2224</v>
      </c>
      <c r="B378" s="333" t="s">
        <v>378</v>
      </c>
      <c r="C378" s="333" t="s">
        <v>378</v>
      </c>
      <c r="D378" s="334"/>
      <c r="E378" s="370"/>
      <c r="F378" s="361">
        <f>TRUNC(SUMIF(N374:N377, N373, F374:F377),0)</f>
        <v>15718</v>
      </c>
      <c r="G378" s="370"/>
      <c r="H378" s="361">
        <f>TRUNC(SUMIF(N374:N377, N373, H374:H377),0)</f>
        <v>36975</v>
      </c>
      <c r="I378" s="370"/>
      <c r="J378" s="361">
        <f>TRUNC(SUMIF(N374:N377, N373, J374:J377),0)</f>
        <v>0</v>
      </c>
      <c r="K378" s="370"/>
      <c r="L378" s="361">
        <f>F378+H378+J378</f>
        <v>52693</v>
      </c>
      <c r="M378" s="333" t="s">
        <v>378</v>
      </c>
      <c r="N378" s="329" t="s">
        <v>1197</v>
      </c>
      <c r="O378" s="329" t="s">
        <v>1197</v>
      </c>
      <c r="P378" s="329" t="s">
        <v>378</v>
      </c>
      <c r="Q378" s="329" t="s">
        <v>378</v>
      </c>
      <c r="R378" s="329" t="s">
        <v>378</v>
      </c>
      <c r="AV378" s="329" t="s">
        <v>378</v>
      </c>
      <c r="AW378" s="329" t="s">
        <v>378</v>
      </c>
      <c r="AX378" s="329" t="s">
        <v>378</v>
      </c>
      <c r="AY378" s="329" t="s">
        <v>378</v>
      </c>
    </row>
    <row r="379" spans="1:51" ht="30" customHeight="1">
      <c r="A379" s="334"/>
      <c r="B379" s="334"/>
      <c r="C379" s="334"/>
      <c r="D379" s="334"/>
      <c r="E379" s="370"/>
      <c r="F379" s="361"/>
      <c r="G379" s="370"/>
      <c r="H379" s="361"/>
      <c r="I379" s="370"/>
      <c r="J379" s="361"/>
      <c r="K379" s="370"/>
      <c r="L379" s="361"/>
      <c r="M379" s="334"/>
    </row>
    <row r="380" spans="1:51" ht="30" customHeight="1">
      <c r="A380" s="721" t="s">
        <v>2648</v>
      </c>
      <c r="B380" s="721"/>
      <c r="C380" s="721"/>
      <c r="D380" s="721"/>
      <c r="E380" s="722"/>
      <c r="F380" s="723"/>
      <c r="G380" s="722"/>
      <c r="H380" s="723"/>
      <c r="I380" s="722"/>
      <c r="J380" s="723"/>
      <c r="K380" s="722"/>
      <c r="L380" s="723"/>
      <c r="M380" s="721"/>
      <c r="N380" s="329" t="s">
        <v>1249</v>
      </c>
    </row>
    <row r="381" spans="1:51" ht="30" customHeight="1">
      <c r="A381" s="336" t="s">
        <v>344</v>
      </c>
      <c r="B381" s="336" t="s">
        <v>345</v>
      </c>
      <c r="C381" s="336" t="s">
        <v>300</v>
      </c>
      <c r="D381" s="337">
        <v>1.1000000000000001</v>
      </c>
      <c r="E381" s="371">
        <f>신규_단가대비표!O128</f>
        <v>676.46852000000001</v>
      </c>
      <c r="F381" s="362">
        <f>TRUNC(E381*D381,1)</f>
        <v>744.1</v>
      </c>
      <c r="G381" s="371">
        <f>신규_단가대비표!P128</f>
        <v>0</v>
      </c>
      <c r="H381" s="362">
        <f>TRUNC(G381*D381,1)</f>
        <v>0</v>
      </c>
      <c r="I381" s="371">
        <f>신규_단가대비표!V128</f>
        <v>0</v>
      </c>
      <c r="J381" s="362">
        <f>TRUNC(I381*D381,1)</f>
        <v>0</v>
      </c>
      <c r="K381" s="371">
        <f t="shared" ref="K381:L385" si="79">TRUNC(E381+G381+I381,1)</f>
        <v>676.4</v>
      </c>
      <c r="L381" s="362">
        <f t="shared" si="79"/>
        <v>744.1</v>
      </c>
      <c r="M381" s="336" t="s">
        <v>378</v>
      </c>
      <c r="N381" s="329" t="s">
        <v>1249</v>
      </c>
      <c r="O381" s="329" t="s">
        <v>2649</v>
      </c>
      <c r="P381" s="329" t="s">
        <v>1105</v>
      </c>
      <c r="Q381" s="329" t="s">
        <v>1105</v>
      </c>
      <c r="R381" s="329" t="s">
        <v>1104</v>
      </c>
      <c r="V381" s="330">
        <v>1</v>
      </c>
      <c r="W381" s="330">
        <v>2</v>
      </c>
      <c r="AV381" s="329" t="s">
        <v>378</v>
      </c>
      <c r="AW381" s="329" t="s">
        <v>2650</v>
      </c>
      <c r="AX381" s="329" t="s">
        <v>378</v>
      </c>
      <c r="AY381" s="329" t="s">
        <v>378</v>
      </c>
    </row>
    <row r="382" spans="1:51" ht="30" customHeight="1">
      <c r="A382" s="336" t="s">
        <v>2209</v>
      </c>
      <c r="B382" s="336" t="s">
        <v>2210</v>
      </c>
      <c r="C382" s="336" t="s">
        <v>212</v>
      </c>
      <c r="D382" s="337">
        <v>1</v>
      </c>
      <c r="E382" s="371">
        <f>TRUNC(SUMIF(V381:V385, RIGHTB(O382, 1), F381:F385)*U382, 2)</f>
        <v>111.61</v>
      </c>
      <c r="F382" s="362">
        <f>TRUNC(E382*D382,1)</f>
        <v>111.6</v>
      </c>
      <c r="G382" s="371">
        <v>0</v>
      </c>
      <c r="H382" s="362">
        <f>TRUNC(G382*D382,1)</f>
        <v>0</v>
      </c>
      <c r="I382" s="371">
        <v>0</v>
      </c>
      <c r="J382" s="362">
        <f>TRUNC(I382*D382,1)</f>
        <v>0</v>
      </c>
      <c r="K382" s="371">
        <f t="shared" si="79"/>
        <v>111.6</v>
      </c>
      <c r="L382" s="362">
        <f t="shared" si="79"/>
        <v>111.6</v>
      </c>
      <c r="M382" s="336" t="s">
        <v>378</v>
      </c>
      <c r="N382" s="329" t="s">
        <v>1249</v>
      </c>
      <c r="O382" s="329" t="s">
        <v>2211</v>
      </c>
      <c r="P382" s="329" t="s">
        <v>1105</v>
      </c>
      <c r="Q382" s="329" t="s">
        <v>1105</v>
      </c>
      <c r="R382" s="329" t="s">
        <v>1105</v>
      </c>
      <c r="S382" s="330">
        <v>0</v>
      </c>
      <c r="T382" s="330">
        <v>0</v>
      </c>
      <c r="U382" s="330">
        <v>0.15</v>
      </c>
      <c r="X382" s="330">
        <v>3</v>
      </c>
      <c r="AV382" s="329" t="s">
        <v>378</v>
      </c>
      <c r="AW382" s="329" t="s">
        <v>2651</v>
      </c>
      <c r="AX382" s="329" t="s">
        <v>378</v>
      </c>
      <c r="AY382" s="329" t="s">
        <v>378</v>
      </c>
    </row>
    <row r="383" spans="1:51" ht="30" customHeight="1">
      <c r="A383" s="336" t="s">
        <v>2213</v>
      </c>
      <c r="B383" s="336" t="s">
        <v>2214</v>
      </c>
      <c r="C383" s="336" t="s">
        <v>212</v>
      </c>
      <c r="D383" s="337">
        <v>1</v>
      </c>
      <c r="E383" s="371">
        <f>TRUNC(SUMIF(W381:W385, RIGHTB(O383, 1), F381:F385)*U383, 2)</f>
        <v>14.88</v>
      </c>
      <c r="F383" s="362">
        <f>TRUNC(E383*D383,1)</f>
        <v>14.8</v>
      </c>
      <c r="G383" s="371">
        <v>0</v>
      </c>
      <c r="H383" s="362">
        <f>TRUNC(G383*D383,1)</f>
        <v>0</v>
      </c>
      <c r="I383" s="371">
        <v>0</v>
      </c>
      <c r="J383" s="362">
        <f>TRUNC(I383*D383,1)</f>
        <v>0</v>
      </c>
      <c r="K383" s="371">
        <f t="shared" si="79"/>
        <v>14.8</v>
      </c>
      <c r="L383" s="362">
        <f t="shared" si="79"/>
        <v>14.8</v>
      </c>
      <c r="M383" s="336" t="s">
        <v>378</v>
      </c>
      <c r="N383" s="329" t="s">
        <v>1249</v>
      </c>
      <c r="O383" s="329" t="s">
        <v>2215</v>
      </c>
      <c r="P383" s="329" t="s">
        <v>1105</v>
      </c>
      <c r="Q383" s="329" t="s">
        <v>1105</v>
      </c>
      <c r="R383" s="329" t="s">
        <v>1105</v>
      </c>
      <c r="S383" s="330">
        <v>0</v>
      </c>
      <c r="T383" s="330">
        <v>0</v>
      </c>
      <c r="U383" s="330">
        <v>0.02</v>
      </c>
      <c r="X383" s="330">
        <v>3</v>
      </c>
      <c r="AV383" s="329" t="s">
        <v>378</v>
      </c>
      <c r="AW383" s="329" t="s">
        <v>2652</v>
      </c>
      <c r="AX383" s="329" t="s">
        <v>378</v>
      </c>
      <c r="AY383" s="329" t="s">
        <v>378</v>
      </c>
    </row>
    <row r="384" spans="1:51" ht="30" customHeight="1">
      <c r="A384" s="336" t="s">
        <v>2217</v>
      </c>
      <c r="B384" s="336" t="s">
        <v>2395</v>
      </c>
      <c r="C384" s="336" t="s">
        <v>212</v>
      </c>
      <c r="D384" s="337">
        <v>1</v>
      </c>
      <c r="E384" s="371">
        <v>517.79999999999995</v>
      </c>
      <c r="F384" s="362">
        <f>TRUNC(E384*D384,1)</f>
        <v>517.79999999999995</v>
      </c>
      <c r="G384" s="371">
        <v>0</v>
      </c>
      <c r="H384" s="362">
        <f>TRUNC(G384*D384,1)</f>
        <v>0</v>
      </c>
      <c r="I384" s="371">
        <v>0</v>
      </c>
      <c r="J384" s="362">
        <f>TRUNC(I384*D384,1)</f>
        <v>0</v>
      </c>
      <c r="K384" s="371">
        <f t="shared" si="79"/>
        <v>517.79999999999995</v>
      </c>
      <c r="L384" s="362">
        <f t="shared" si="79"/>
        <v>517.79999999999995</v>
      </c>
      <c r="M384" s="336" t="s">
        <v>378</v>
      </c>
      <c r="N384" s="329" t="s">
        <v>1249</v>
      </c>
      <c r="O384" s="329" t="s">
        <v>2219</v>
      </c>
      <c r="P384" s="329" t="s">
        <v>1105</v>
      </c>
      <c r="Q384" s="329" t="s">
        <v>1105</v>
      </c>
      <c r="R384" s="329" t="s">
        <v>1105</v>
      </c>
      <c r="S384" s="330">
        <v>1</v>
      </c>
      <c r="T384" s="330">
        <v>0</v>
      </c>
      <c r="U384" s="330">
        <v>0.03</v>
      </c>
      <c r="X384" s="330">
        <v>3</v>
      </c>
      <c r="AV384" s="329" t="s">
        <v>378</v>
      </c>
      <c r="AW384" s="329" t="s">
        <v>2651</v>
      </c>
      <c r="AX384" s="329" t="s">
        <v>378</v>
      </c>
      <c r="AY384" s="329" t="s">
        <v>378</v>
      </c>
    </row>
    <row r="385" spans="1:51" ht="30" customHeight="1">
      <c r="A385" s="336" t="s">
        <v>1851</v>
      </c>
      <c r="B385" s="336" t="s">
        <v>2221</v>
      </c>
      <c r="C385" s="336" t="s">
        <v>1852</v>
      </c>
      <c r="D385" s="337">
        <f>신규_공량산출근거서_일위대가!K187</f>
        <v>0.1</v>
      </c>
      <c r="E385" s="371">
        <f>신규_단가대비표!O154</f>
        <v>0</v>
      </c>
      <c r="F385" s="362">
        <f>TRUNC(E385*D385,1)</f>
        <v>0</v>
      </c>
      <c r="G385" s="371">
        <v>258917</v>
      </c>
      <c r="H385" s="362">
        <f>TRUNC(G385*D385,1)</f>
        <v>25891.7</v>
      </c>
      <c r="I385" s="371">
        <f>신규_단가대비표!V154</f>
        <v>0</v>
      </c>
      <c r="J385" s="362">
        <f>TRUNC(I385*D385,1)</f>
        <v>0</v>
      </c>
      <c r="K385" s="371">
        <f t="shared" si="79"/>
        <v>258917</v>
      </c>
      <c r="L385" s="362">
        <f t="shared" si="79"/>
        <v>25891.7</v>
      </c>
      <c r="M385" s="336" t="s">
        <v>378</v>
      </c>
      <c r="N385" s="329" t="s">
        <v>1249</v>
      </c>
      <c r="O385" s="329" t="s">
        <v>2222</v>
      </c>
      <c r="P385" s="329" t="s">
        <v>1105</v>
      </c>
      <c r="Q385" s="329" t="s">
        <v>1105</v>
      </c>
      <c r="R385" s="329" t="s">
        <v>1104</v>
      </c>
      <c r="AV385" s="329" t="s">
        <v>378</v>
      </c>
      <c r="AW385" s="329" t="s">
        <v>2653</v>
      </c>
      <c r="AX385" s="329" t="s">
        <v>378</v>
      </c>
      <c r="AY385" s="329" t="s">
        <v>378</v>
      </c>
    </row>
    <row r="386" spans="1:51" ht="30" customHeight="1">
      <c r="A386" s="336" t="s">
        <v>2224</v>
      </c>
      <c r="B386" s="336" t="s">
        <v>378</v>
      </c>
      <c r="C386" s="336" t="s">
        <v>378</v>
      </c>
      <c r="D386" s="337"/>
      <c r="E386" s="371"/>
      <c r="F386" s="362">
        <f>TRUNC(SUMIF(N381:N385, N380, F381:F385),0)</f>
        <v>1388</v>
      </c>
      <c r="G386" s="371"/>
      <c r="H386" s="362">
        <f>TRUNC(SUMIF(N381:N385, N380, H381:H385),0)</f>
        <v>25891</v>
      </c>
      <c r="I386" s="371"/>
      <c r="J386" s="362">
        <f>TRUNC(SUMIF(N381:N385, N380, J381:J385),0)</f>
        <v>0</v>
      </c>
      <c r="K386" s="371"/>
      <c r="L386" s="362">
        <f>F386+H386+J386</f>
        <v>27279</v>
      </c>
      <c r="M386" s="336" t="s">
        <v>378</v>
      </c>
      <c r="N386" s="329" t="s">
        <v>1197</v>
      </c>
      <c r="O386" s="329" t="s">
        <v>1197</v>
      </c>
      <c r="P386" s="329" t="s">
        <v>378</v>
      </c>
      <c r="Q386" s="329" t="s">
        <v>378</v>
      </c>
      <c r="R386" s="329" t="s">
        <v>378</v>
      </c>
      <c r="AV386" s="329" t="s">
        <v>378</v>
      </c>
      <c r="AW386" s="329" t="s">
        <v>378</v>
      </c>
      <c r="AX386" s="329" t="s">
        <v>378</v>
      </c>
      <c r="AY386" s="329" t="s">
        <v>378</v>
      </c>
    </row>
    <row r="387" spans="1:51" ht="30" customHeight="1">
      <c r="A387" s="337"/>
      <c r="B387" s="337"/>
      <c r="C387" s="337"/>
      <c r="D387" s="337"/>
      <c r="E387" s="371"/>
      <c r="F387" s="362"/>
      <c r="G387" s="371"/>
      <c r="H387" s="362"/>
      <c r="I387" s="371"/>
      <c r="J387" s="362"/>
      <c r="K387" s="371"/>
      <c r="L387" s="362"/>
      <c r="M387" s="337"/>
    </row>
    <row r="388" spans="1:51" ht="30" customHeight="1">
      <c r="A388" s="718" t="s">
        <v>2654</v>
      </c>
      <c r="B388" s="718"/>
      <c r="C388" s="718"/>
      <c r="D388" s="718"/>
      <c r="E388" s="719"/>
      <c r="F388" s="720"/>
      <c r="G388" s="719"/>
      <c r="H388" s="720"/>
      <c r="I388" s="719"/>
      <c r="J388" s="720"/>
      <c r="K388" s="719"/>
      <c r="L388" s="720"/>
      <c r="M388" s="718"/>
      <c r="N388" s="329" t="s">
        <v>1252</v>
      </c>
    </row>
    <row r="389" spans="1:51" ht="30" customHeight="1">
      <c r="A389" s="333" t="s">
        <v>344</v>
      </c>
      <c r="B389" s="333" t="s">
        <v>423</v>
      </c>
      <c r="C389" s="333" t="s">
        <v>300</v>
      </c>
      <c r="D389" s="334">
        <v>1.1000000000000001</v>
      </c>
      <c r="E389" s="370">
        <f>신규_단가대비표!O129</f>
        <v>1842.5798300000001</v>
      </c>
      <c r="F389" s="361">
        <f>TRUNC(E389*D389,1)</f>
        <v>2026.8</v>
      </c>
      <c r="G389" s="370">
        <f>신규_단가대비표!P129</f>
        <v>0</v>
      </c>
      <c r="H389" s="361">
        <f>TRUNC(G389*D389,1)</f>
        <v>0</v>
      </c>
      <c r="I389" s="370">
        <f>신규_단가대비표!V129</f>
        <v>0</v>
      </c>
      <c r="J389" s="361">
        <f>TRUNC(I389*D389,1)</f>
        <v>0</v>
      </c>
      <c r="K389" s="370">
        <f t="shared" ref="K389:L393" si="80">TRUNC(E389+G389+I389,1)</f>
        <v>1842.5</v>
      </c>
      <c r="L389" s="361">
        <f t="shared" si="80"/>
        <v>2026.8</v>
      </c>
      <c r="M389" s="333" t="s">
        <v>378</v>
      </c>
      <c r="N389" s="329" t="s">
        <v>1252</v>
      </c>
      <c r="O389" s="329" t="s">
        <v>2655</v>
      </c>
      <c r="P389" s="329" t="s">
        <v>1105</v>
      </c>
      <c r="Q389" s="329" t="s">
        <v>1105</v>
      </c>
      <c r="R389" s="329" t="s">
        <v>1104</v>
      </c>
      <c r="V389" s="330">
        <v>1</v>
      </c>
      <c r="W389" s="330">
        <v>2</v>
      </c>
      <c r="AV389" s="329" t="s">
        <v>378</v>
      </c>
      <c r="AW389" s="329" t="s">
        <v>2656</v>
      </c>
      <c r="AX389" s="329" t="s">
        <v>378</v>
      </c>
      <c r="AY389" s="329" t="s">
        <v>378</v>
      </c>
    </row>
    <row r="390" spans="1:51" ht="30" customHeight="1">
      <c r="A390" s="333" t="s">
        <v>2209</v>
      </c>
      <c r="B390" s="333" t="s">
        <v>2210</v>
      </c>
      <c r="C390" s="333" t="s">
        <v>212</v>
      </c>
      <c r="D390" s="334">
        <v>1</v>
      </c>
      <c r="E390" s="370">
        <f>TRUNC(SUMIF(V389:V393, RIGHTB(O390, 1), F389:F393)*U390, 2)</f>
        <v>304.02</v>
      </c>
      <c r="F390" s="361">
        <f>TRUNC(E390*D390,1)</f>
        <v>304</v>
      </c>
      <c r="G390" s="370">
        <v>0</v>
      </c>
      <c r="H390" s="361">
        <f>TRUNC(G390*D390,1)</f>
        <v>0</v>
      </c>
      <c r="I390" s="370">
        <v>0</v>
      </c>
      <c r="J390" s="361">
        <f>TRUNC(I390*D390,1)</f>
        <v>0</v>
      </c>
      <c r="K390" s="370">
        <f t="shared" si="80"/>
        <v>304</v>
      </c>
      <c r="L390" s="361">
        <f t="shared" si="80"/>
        <v>304</v>
      </c>
      <c r="M390" s="333" t="s">
        <v>378</v>
      </c>
      <c r="N390" s="329" t="s">
        <v>1252</v>
      </c>
      <c r="O390" s="329" t="s">
        <v>2211</v>
      </c>
      <c r="P390" s="329" t="s">
        <v>1105</v>
      </c>
      <c r="Q390" s="329" t="s">
        <v>1105</v>
      </c>
      <c r="R390" s="329" t="s">
        <v>1105</v>
      </c>
      <c r="S390" s="330">
        <v>0</v>
      </c>
      <c r="T390" s="330">
        <v>0</v>
      </c>
      <c r="U390" s="330">
        <v>0.15</v>
      </c>
      <c r="X390" s="330">
        <v>3</v>
      </c>
      <c r="AV390" s="329" t="s">
        <v>378</v>
      </c>
      <c r="AW390" s="329" t="s">
        <v>2657</v>
      </c>
      <c r="AX390" s="329" t="s">
        <v>378</v>
      </c>
      <c r="AY390" s="329" t="s">
        <v>378</v>
      </c>
    </row>
    <row r="391" spans="1:51" ht="30" customHeight="1">
      <c r="A391" s="333" t="s">
        <v>2213</v>
      </c>
      <c r="B391" s="333" t="s">
        <v>2214</v>
      </c>
      <c r="C391" s="333" t="s">
        <v>212</v>
      </c>
      <c r="D391" s="334">
        <v>1</v>
      </c>
      <c r="E391" s="370">
        <f>TRUNC(SUMIF(W389:W393, RIGHTB(O391, 1), F389:F393)*U391, 2)</f>
        <v>40.53</v>
      </c>
      <c r="F391" s="361">
        <f>TRUNC(E391*D391,1)</f>
        <v>40.5</v>
      </c>
      <c r="G391" s="370">
        <v>0</v>
      </c>
      <c r="H391" s="361">
        <f>TRUNC(G391*D391,1)</f>
        <v>0</v>
      </c>
      <c r="I391" s="370">
        <v>0</v>
      </c>
      <c r="J391" s="361">
        <f>TRUNC(I391*D391,1)</f>
        <v>0</v>
      </c>
      <c r="K391" s="370">
        <f t="shared" si="80"/>
        <v>40.5</v>
      </c>
      <c r="L391" s="361">
        <f t="shared" si="80"/>
        <v>40.5</v>
      </c>
      <c r="M391" s="333" t="s">
        <v>378</v>
      </c>
      <c r="N391" s="329" t="s">
        <v>1252</v>
      </c>
      <c r="O391" s="329" t="s">
        <v>2215</v>
      </c>
      <c r="P391" s="329" t="s">
        <v>1105</v>
      </c>
      <c r="Q391" s="329" t="s">
        <v>1105</v>
      </c>
      <c r="R391" s="329" t="s">
        <v>1105</v>
      </c>
      <c r="S391" s="330">
        <v>0</v>
      </c>
      <c r="T391" s="330">
        <v>0</v>
      </c>
      <c r="U391" s="330">
        <v>0.02</v>
      </c>
      <c r="X391" s="330">
        <v>3</v>
      </c>
      <c r="AV391" s="329" t="s">
        <v>378</v>
      </c>
      <c r="AW391" s="329" t="s">
        <v>2658</v>
      </c>
      <c r="AX391" s="329" t="s">
        <v>378</v>
      </c>
      <c r="AY391" s="329" t="s">
        <v>378</v>
      </c>
    </row>
    <row r="392" spans="1:51" ht="30" customHeight="1">
      <c r="A392" s="333" t="s">
        <v>2217</v>
      </c>
      <c r="B392" s="333" t="s">
        <v>2218</v>
      </c>
      <c r="C392" s="333" t="s">
        <v>212</v>
      </c>
      <c r="D392" s="334">
        <v>1</v>
      </c>
      <c r="E392" s="370">
        <f>TRUNC(SUMIF(X389:X393, RIGHTB(O392, 1), H389:H393)*U392, 2)</f>
        <v>0</v>
      </c>
      <c r="F392" s="361">
        <f>TRUNC(E392*D392,1)</f>
        <v>0</v>
      </c>
      <c r="G392" s="370">
        <v>0</v>
      </c>
      <c r="H392" s="361">
        <f>TRUNC(G392*D392,1)</f>
        <v>0</v>
      </c>
      <c r="I392" s="370">
        <v>0</v>
      </c>
      <c r="J392" s="361">
        <f>TRUNC(I392*D392,1)</f>
        <v>0</v>
      </c>
      <c r="K392" s="370">
        <f t="shared" si="80"/>
        <v>0</v>
      </c>
      <c r="L392" s="361">
        <f t="shared" si="80"/>
        <v>0</v>
      </c>
      <c r="M392" s="333" t="s">
        <v>378</v>
      </c>
      <c r="N392" s="329" t="s">
        <v>1252</v>
      </c>
      <c r="O392" s="329" t="s">
        <v>2219</v>
      </c>
      <c r="P392" s="329" t="s">
        <v>1105</v>
      </c>
      <c r="Q392" s="329" t="s">
        <v>1105</v>
      </c>
      <c r="R392" s="329" t="s">
        <v>1105</v>
      </c>
      <c r="S392" s="330">
        <v>1</v>
      </c>
      <c r="T392" s="330">
        <v>0</v>
      </c>
      <c r="U392" s="330">
        <v>0.03</v>
      </c>
      <c r="X392" s="330">
        <v>3</v>
      </c>
      <c r="AV392" s="329" t="s">
        <v>378</v>
      </c>
      <c r="AW392" s="329" t="s">
        <v>2657</v>
      </c>
      <c r="AX392" s="329" t="s">
        <v>378</v>
      </c>
      <c r="AY392" s="329" t="s">
        <v>378</v>
      </c>
    </row>
    <row r="393" spans="1:51" ht="30" customHeight="1">
      <c r="A393" s="333" t="s">
        <v>1851</v>
      </c>
      <c r="B393" s="333" t="s">
        <v>2221</v>
      </c>
      <c r="C393" s="333" t="s">
        <v>1852</v>
      </c>
      <c r="D393" s="334">
        <f>신규_공량산출근거서_일위대가!K190</f>
        <v>0.19</v>
      </c>
      <c r="E393" s="370">
        <f>신규_단가대비표!O154</f>
        <v>0</v>
      </c>
      <c r="F393" s="361">
        <f>TRUNC(E393*D393,1)</f>
        <v>0</v>
      </c>
      <c r="G393" s="370">
        <f>신규_단가대비표!P154</f>
        <v>234998.43458</v>
      </c>
      <c r="H393" s="361">
        <f>TRUNC(G393*D393,1)</f>
        <v>44649.7</v>
      </c>
      <c r="I393" s="370">
        <f>신규_단가대비표!V154</f>
        <v>0</v>
      </c>
      <c r="J393" s="361">
        <f>TRUNC(I393*D393,1)</f>
        <v>0</v>
      </c>
      <c r="K393" s="370">
        <f t="shared" si="80"/>
        <v>234998.39999999999</v>
      </c>
      <c r="L393" s="361">
        <f t="shared" si="80"/>
        <v>44649.7</v>
      </c>
      <c r="M393" s="333" t="s">
        <v>378</v>
      </c>
      <c r="N393" s="329" t="s">
        <v>1252</v>
      </c>
      <c r="O393" s="329" t="s">
        <v>2222</v>
      </c>
      <c r="P393" s="329" t="s">
        <v>1105</v>
      </c>
      <c r="Q393" s="329" t="s">
        <v>1105</v>
      </c>
      <c r="R393" s="329" t="s">
        <v>1104</v>
      </c>
      <c r="AV393" s="329" t="s">
        <v>378</v>
      </c>
      <c r="AW393" s="329" t="s">
        <v>2659</v>
      </c>
      <c r="AX393" s="329" t="s">
        <v>378</v>
      </c>
      <c r="AY393" s="329" t="s">
        <v>378</v>
      </c>
    </row>
    <row r="394" spans="1:51" ht="30" customHeight="1">
      <c r="A394" s="333" t="s">
        <v>2224</v>
      </c>
      <c r="B394" s="333" t="s">
        <v>378</v>
      </c>
      <c r="C394" s="333" t="s">
        <v>378</v>
      </c>
      <c r="D394" s="334"/>
      <c r="E394" s="370"/>
      <c r="F394" s="361">
        <f>TRUNC(SUMIF(N389:N393, N388, F389:F393),0)</f>
        <v>2371</v>
      </c>
      <c r="G394" s="370"/>
      <c r="H394" s="361">
        <f>TRUNC(SUMIF(N389:N393, N388, H389:H393),0)</f>
        <v>44649</v>
      </c>
      <c r="I394" s="370"/>
      <c r="J394" s="361">
        <f>TRUNC(SUMIF(N389:N393, N388, J389:J393),0)</f>
        <v>0</v>
      </c>
      <c r="K394" s="370"/>
      <c r="L394" s="361">
        <f>F394+H394+J394</f>
        <v>47020</v>
      </c>
      <c r="M394" s="333" t="s">
        <v>378</v>
      </c>
      <c r="N394" s="329" t="s">
        <v>1197</v>
      </c>
      <c r="O394" s="329" t="s">
        <v>1197</v>
      </c>
      <c r="P394" s="329" t="s">
        <v>378</v>
      </c>
      <c r="Q394" s="329" t="s">
        <v>378</v>
      </c>
      <c r="R394" s="329" t="s">
        <v>378</v>
      </c>
      <c r="AV394" s="329" t="s">
        <v>378</v>
      </c>
      <c r="AW394" s="329" t="s">
        <v>378</v>
      </c>
      <c r="AX394" s="329" t="s">
        <v>378</v>
      </c>
      <c r="AY394" s="329" t="s">
        <v>378</v>
      </c>
    </row>
    <row r="395" spans="1:51" ht="30" customHeight="1">
      <c r="A395" s="334"/>
      <c r="B395" s="334"/>
      <c r="C395" s="334"/>
      <c r="D395" s="334"/>
      <c r="E395" s="370"/>
      <c r="F395" s="361"/>
      <c r="G395" s="370"/>
      <c r="H395" s="361"/>
      <c r="I395" s="370"/>
      <c r="J395" s="361"/>
      <c r="K395" s="370"/>
      <c r="L395" s="361"/>
      <c r="M395" s="334"/>
    </row>
    <row r="396" spans="1:51" ht="30" customHeight="1">
      <c r="A396" s="721" t="s">
        <v>2660</v>
      </c>
      <c r="B396" s="721"/>
      <c r="C396" s="721"/>
      <c r="D396" s="721"/>
      <c r="E396" s="722"/>
      <c r="F396" s="723"/>
      <c r="G396" s="722"/>
      <c r="H396" s="723"/>
      <c r="I396" s="722"/>
      <c r="J396" s="723"/>
      <c r="K396" s="722"/>
      <c r="L396" s="723"/>
      <c r="M396" s="721"/>
      <c r="N396" s="329" t="s">
        <v>1255</v>
      </c>
    </row>
    <row r="397" spans="1:51" ht="30" customHeight="1">
      <c r="A397" s="336" t="s">
        <v>344</v>
      </c>
      <c r="B397" s="336" t="s">
        <v>2206</v>
      </c>
      <c r="C397" s="336" t="s">
        <v>300</v>
      </c>
      <c r="D397" s="337">
        <v>1.1000000000000001</v>
      </c>
      <c r="E397" s="371">
        <f>신규_단가대비표!O130</f>
        <v>3273.43471</v>
      </c>
      <c r="F397" s="362">
        <f>TRUNC(E397*D397,1)</f>
        <v>3600.7</v>
      </c>
      <c r="G397" s="371">
        <f>신규_단가대비표!P130</f>
        <v>0</v>
      </c>
      <c r="H397" s="362">
        <f>TRUNC(G397*D397,1)</f>
        <v>0</v>
      </c>
      <c r="I397" s="371">
        <f>신규_단가대비표!V130</f>
        <v>0</v>
      </c>
      <c r="J397" s="362">
        <f>TRUNC(I397*D397,1)</f>
        <v>0</v>
      </c>
      <c r="K397" s="371">
        <f t="shared" ref="K397:L401" si="81">TRUNC(E397+G397+I397,1)</f>
        <v>3273.4</v>
      </c>
      <c r="L397" s="362">
        <f t="shared" si="81"/>
        <v>3600.7</v>
      </c>
      <c r="M397" s="336" t="s">
        <v>378</v>
      </c>
      <c r="N397" s="329" t="s">
        <v>1255</v>
      </c>
      <c r="O397" s="329" t="s">
        <v>2207</v>
      </c>
      <c r="P397" s="329" t="s">
        <v>1105</v>
      </c>
      <c r="Q397" s="329" t="s">
        <v>1105</v>
      </c>
      <c r="R397" s="329" t="s">
        <v>1104</v>
      </c>
      <c r="V397" s="330">
        <v>1</v>
      </c>
      <c r="W397" s="330">
        <v>2</v>
      </c>
      <c r="AV397" s="329" t="s">
        <v>378</v>
      </c>
      <c r="AW397" s="329" t="s">
        <v>2661</v>
      </c>
      <c r="AX397" s="329" t="s">
        <v>378</v>
      </c>
      <c r="AY397" s="329" t="s">
        <v>378</v>
      </c>
    </row>
    <row r="398" spans="1:51" ht="30" customHeight="1">
      <c r="A398" s="336" t="s">
        <v>2209</v>
      </c>
      <c r="B398" s="336" t="s">
        <v>2210</v>
      </c>
      <c r="C398" s="336" t="s">
        <v>212</v>
      </c>
      <c r="D398" s="337">
        <v>1</v>
      </c>
      <c r="E398" s="371">
        <f>TRUNC(SUMIF(V397:V401, RIGHTB(O398, 1), F397:F401)*U398, 2)</f>
        <v>540.1</v>
      </c>
      <c r="F398" s="362">
        <f>TRUNC(E398*D398,1)</f>
        <v>540.1</v>
      </c>
      <c r="G398" s="371">
        <v>0</v>
      </c>
      <c r="H398" s="362">
        <f>TRUNC(G398*D398,1)</f>
        <v>0</v>
      </c>
      <c r="I398" s="371">
        <v>0</v>
      </c>
      <c r="J398" s="362">
        <f>TRUNC(I398*D398,1)</f>
        <v>0</v>
      </c>
      <c r="K398" s="371">
        <f t="shared" si="81"/>
        <v>540.1</v>
      </c>
      <c r="L398" s="362">
        <f t="shared" si="81"/>
        <v>540.1</v>
      </c>
      <c r="M398" s="336" t="s">
        <v>378</v>
      </c>
      <c r="N398" s="329" t="s">
        <v>1255</v>
      </c>
      <c r="O398" s="329" t="s">
        <v>2211</v>
      </c>
      <c r="P398" s="329" t="s">
        <v>1105</v>
      </c>
      <c r="Q398" s="329" t="s">
        <v>1105</v>
      </c>
      <c r="R398" s="329" t="s">
        <v>1105</v>
      </c>
      <c r="S398" s="330">
        <v>0</v>
      </c>
      <c r="T398" s="330">
        <v>0</v>
      </c>
      <c r="U398" s="330">
        <v>0.15</v>
      </c>
      <c r="X398" s="330">
        <v>3</v>
      </c>
      <c r="AV398" s="329" t="s">
        <v>378</v>
      </c>
      <c r="AW398" s="329" t="s">
        <v>2662</v>
      </c>
      <c r="AX398" s="329" t="s">
        <v>378</v>
      </c>
      <c r="AY398" s="329" t="s">
        <v>378</v>
      </c>
    </row>
    <row r="399" spans="1:51" ht="30" customHeight="1">
      <c r="A399" s="336" t="s">
        <v>2213</v>
      </c>
      <c r="B399" s="336" t="s">
        <v>2214</v>
      </c>
      <c r="C399" s="336" t="s">
        <v>212</v>
      </c>
      <c r="D399" s="337">
        <v>1</v>
      </c>
      <c r="E399" s="371">
        <f>TRUNC(SUMIF(W397:W401, RIGHTB(O399, 1), F397:F401)*U399, 2)</f>
        <v>72.010000000000005</v>
      </c>
      <c r="F399" s="362">
        <f>TRUNC(E399*D399,1)</f>
        <v>72</v>
      </c>
      <c r="G399" s="371">
        <v>0</v>
      </c>
      <c r="H399" s="362">
        <f>TRUNC(G399*D399,1)</f>
        <v>0</v>
      </c>
      <c r="I399" s="371">
        <v>0</v>
      </c>
      <c r="J399" s="362">
        <f>TRUNC(I399*D399,1)</f>
        <v>0</v>
      </c>
      <c r="K399" s="371">
        <f t="shared" si="81"/>
        <v>72</v>
      </c>
      <c r="L399" s="362">
        <f t="shared" si="81"/>
        <v>72</v>
      </c>
      <c r="M399" s="336" t="s">
        <v>378</v>
      </c>
      <c r="N399" s="329" t="s">
        <v>1255</v>
      </c>
      <c r="O399" s="329" t="s">
        <v>2215</v>
      </c>
      <c r="P399" s="329" t="s">
        <v>1105</v>
      </c>
      <c r="Q399" s="329" t="s">
        <v>1105</v>
      </c>
      <c r="R399" s="329" t="s">
        <v>1105</v>
      </c>
      <c r="S399" s="330">
        <v>0</v>
      </c>
      <c r="T399" s="330">
        <v>0</v>
      </c>
      <c r="U399" s="330">
        <v>0.02</v>
      </c>
      <c r="X399" s="330">
        <v>3</v>
      </c>
      <c r="AV399" s="329" t="s">
        <v>378</v>
      </c>
      <c r="AW399" s="329" t="s">
        <v>2663</v>
      </c>
      <c r="AX399" s="329" t="s">
        <v>378</v>
      </c>
      <c r="AY399" s="329" t="s">
        <v>378</v>
      </c>
    </row>
    <row r="400" spans="1:51" ht="30" customHeight="1">
      <c r="A400" s="336" t="s">
        <v>1851</v>
      </c>
      <c r="B400" s="336" t="s">
        <v>2221</v>
      </c>
      <c r="C400" s="336" t="s">
        <v>1852</v>
      </c>
      <c r="D400" s="337">
        <f>신규_공량산출근거서_일위대가!K193</f>
        <v>0.46</v>
      </c>
      <c r="E400" s="371">
        <f>신규_단가대비표!O154</f>
        <v>0</v>
      </c>
      <c r="F400" s="362">
        <f>TRUNC(E400*D400,1)</f>
        <v>0</v>
      </c>
      <c r="G400" s="371">
        <v>258917</v>
      </c>
      <c r="H400" s="362">
        <f>TRUNC(G400*D400,1)</f>
        <v>119101.8</v>
      </c>
      <c r="I400" s="371">
        <f>신규_단가대비표!V154</f>
        <v>0</v>
      </c>
      <c r="J400" s="362">
        <f>TRUNC(I400*D400,1)</f>
        <v>0</v>
      </c>
      <c r="K400" s="371">
        <f t="shared" si="81"/>
        <v>258917</v>
      </c>
      <c r="L400" s="362">
        <f t="shared" si="81"/>
        <v>119101.8</v>
      </c>
      <c r="M400" s="336" t="s">
        <v>378</v>
      </c>
      <c r="N400" s="329" t="s">
        <v>1255</v>
      </c>
      <c r="O400" s="329" t="s">
        <v>2222</v>
      </c>
      <c r="P400" s="329" t="s">
        <v>1105</v>
      </c>
      <c r="Q400" s="329" t="s">
        <v>1105</v>
      </c>
      <c r="R400" s="329" t="s">
        <v>1104</v>
      </c>
      <c r="X400" s="330">
        <v>3</v>
      </c>
      <c r="AV400" s="329" t="s">
        <v>378</v>
      </c>
      <c r="AW400" s="329" t="s">
        <v>2664</v>
      </c>
      <c r="AX400" s="329" t="s">
        <v>378</v>
      </c>
      <c r="AY400" s="329" t="s">
        <v>378</v>
      </c>
    </row>
    <row r="401" spans="1:51" ht="30" customHeight="1">
      <c r="A401" s="336" t="s">
        <v>2217</v>
      </c>
      <c r="B401" s="336" t="s">
        <v>2395</v>
      </c>
      <c r="C401" s="336" t="s">
        <v>212</v>
      </c>
      <c r="D401" s="337">
        <v>1</v>
      </c>
      <c r="E401" s="371">
        <v>2382</v>
      </c>
      <c r="F401" s="362">
        <f>TRUNC(E401*D401,1)</f>
        <v>2382</v>
      </c>
      <c r="G401" s="371">
        <v>0</v>
      </c>
      <c r="H401" s="362">
        <f>TRUNC(G401*D401,1)</f>
        <v>0</v>
      </c>
      <c r="I401" s="371">
        <v>0</v>
      </c>
      <c r="J401" s="362">
        <f>TRUNC(I401*D401,1)</f>
        <v>0</v>
      </c>
      <c r="K401" s="371">
        <f t="shared" si="81"/>
        <v>2382</v>
      </c>
      <c r="L401" s="362">
        <f t="shared" si="81"/>
        <v>2382</v>
      </c>
      <c r="M401" s="336" t="s">
        <v>378</v>
      </c>
      <c r="N401" s="329" t="s">
        <v>1255</v>
      </c>
      <c r="O401" s="329" t="s">
        <v>2219</v>
      </c>
      <c r="P401" s="329" t="s">
        <v>1105</v>
      </c>
      <c r="Q401" s="329" t="s">
        <v>1105</v>
      </c>
      <c r="R401" s="329" t="s">
        <v>1105</v>
      </c>
      <c r="S401" s="330">
        <v>1</v>
      </c>
      <c r="T401" s="330">
        <v>0</v>
      </c>
      <c r="U401" s="330">
        <v>0.03</v>
      </c>
      <c r="X401" s="330">
        <v>3</v>
      </c>
      <c r="AV401" s="329" t="s">
        <v>378</v>
      </c>
      <c r="AW401" s="329" t="s">
        <v>2665</v>
      </c>
      <c r="AX401" s="329" t="s">
        <v>378</v>
      </c>
      <c r="AY401" s="329" t="s">
        <v>378</v>
      </c>
    </row>
    <row r="402" spans="1:51" ht="30" customHeight="1">
      <c r="A402" s="336" t="s">
        <v>2224</v>
      </c>
      <c r="B402" s="336" t="s">
        <v>378</v>
      </c>
      <c r="C402" s="336" t="s">
        <v>378</v>
      </c>
      <c r="D402" s="337"/>
      <c r="E402" s="371"/>
      <c r="F402" s="362">
        <f>TRUNC(SUMIF(N397:N401, N396, F397:F401),0)</f>
        <v>6594</v>
      </c>
      <c r="G402" s="371"/>
      <c r="H402" s="362">
        <f>TRUNC(SUMIF(N397:N401, N396, H397:H401),0)</f>
        <v>119101</v>
      </c>
      <c r="I402" s="371"/>
      <c r="J402" s="362">
        <f>TRUNC(SUMIF(N397:N401, N396, J397:J401),0)</f>
        <v>0</v>
      </c>
      <c r="K402" s="371"/>
      <c r="L402" s="362">
        <f>F402+H402+J402</f>
        <v>125695</v>
      </c>
      <c r="M402" s="336" t="s">
        <v>378</v>
      </c>
      <c r="N402" s="329" t="s">
        <v>1197</v>
      </c>
      <c r="O402" s="329" t="s">
        <v>1197</v>
      </c>
      <c r="P402" s="329" t="s">
        <v>378</v>
      </c>
      <c r="Q402" s="329" t="s">
        <v>378</v>
      </c>
      <c r="R402" s="329" t="s">
        <v>378</v>
      </c>
      <c r="AV402" s="329" t="s">
        <v>378</v>
      </c>
      <c r="AW402" s="329" t="s">
        <v>378</v>
      </c>
      <c r="AX402" s="329" t="s">
        <v>378</v>
      </c>
      <c r="AY402" s="329" t="s">
        <v>378</v>
      </c>
    </row>
    <row r="403" spans="1:51" ht="30" customHeight="1">
      <c r="A403" s="337"/>
      <c r="B403" s="337"/>
      <c r="C403" s="337"/>
      <c r="D403" s="337"/>
      <c r="E403" s="371"/>
      <c r="F403" s="362"/>
      <c r="G403" s="371"/>
      <c r="H403" s="362"/>
      <c r="I403" s="371"/>
      <c r="J403" s="362"/>
      <c r="K403" s="371"/>
      <c r="L403" s="362"/>
      <c r="M403" s="337"/>
    </row>
    <row r="404" spans="1:51" ht="30" customHeight="1">
      <c r="A404" s="718" t="s">
        <v>2666</v>
      </c>
      <c r="B404" s="718"/>
      <c r="C404" s="718"/>
      <c r="D404" s="718"/>
      <c r="E404" s="719"/>
      <c r="F404" s="720"/>
      <c r="G404" s="719"/>
      <c r="H404" s="720"/>
      <c r="I404" s="719"/>
      <c r="J404" s="720"/>
      <c r="K404" s="719"/>
      <c r="L404" s="720"/>
      <c r="M404" s="718"/>
      <c r="N404" s="329" t="s">
        <v>1261</v>
      </c>
    </row>
    <row r="405" spans="1:51" ht="30" customHeight="1">
      <c r="A405" s="333" t="s">
        <v>2237</v>
      </c>
      <c r="B405" s="333" t="s">
        <v>2667</v>
      </c>
      <c r="C405" s="333" t="s">
        <v>300</v>
      </c>
      <c r="D405" s="334">
        <v>1.05</v>
      </c>
      <c r="E405" s="370">
        <f>신규_단가대비표!O13</f>
        <v>8869.3523100000002</v>
      </c>
      <c r="F405" s="361">
        <f>TRUNC(E405*D405,1)</f>
        <v>9312.7999999999993</v>
      </c>
      <c r="G405" s="370">
        <f>신규_단가대비표!P13</f>
        <v>0</v>
      </c>
      <c r="H405" s="361">
        <f>TRUNC(G405*D405,1)</f>
        <v>0</v>
      </c>
      <c r="I405" s="370">
        <f>신규_단가대비표!V13</f>
        <v>0</v>
      </c>
      <c r="J405" s="361">
        <f>TRUNC(I405*D405,1)</f>
        <v>0</v>
      </c>
      <c r="K405" s="370">
        <f t="shared" ref="K405:L408" si="82">TRUNC(E405+G405+I405,1)</f>
        <v>8869.2999999999993</v>
      </c>
      <c r="L405" s="361">
        <f t="shared" si="82"/>
        <v>9312.7999999999993</v>
      </c>
      <c r="M405" s="333" t="s">
        <v>378</v>
      </c>
      <c r="N405" s="329" t="s">
        <v>1261</v>
      </c>
      <c r="O405" s="329" t="s">
        <v>2668</v>
      </c>
      <c r="P405" s="329" t="s">
        <v>1105</v>
      </c>
      <c r="Q405" s="329" t="s">
        <v>1105</v>
      </c>
      <c r="R405" s="329" t="s">
        <v>1104</v>
      </c>
      <c r="V405" s="330">
        <v>1</v>
      </c>
      <c r="AV405" s="329" t="s">
        <v>378</v>
      </c>
      <c r="AW405" s="329" t="s">
        <v>2669</v>
      </c>
      <c r="AX405" s="329" t="s">
        <v>378</v>
      </c>
      <c r="AY405" s="329" t="s">
        <v>378</v>
      </c>
    </row>
    <row r="406" spans="1:51" ht="30" customHeight="1">
      <c r="A406" s="333" t="s">
        <v>2213</v>
      </c>
      <c r="B406" s="333" t="s">
        <v>2214</v>
      </c>
      <c r="C406" s="333" t="s">
        <v>212</v>
      </c>
      <c r="D406" s="334">
        <v>1</v>
      </c>
      <c r="E406" s="370">
        <f>TRUNC(SUMIF(V405:V408, RIGHTB(O406, 1), F405:F408)*U406, 2)</f>
        <v>186.25</v>
      </c>
      <c r="F406" s="361">
        <f>TRUNC(E406*D406,1)</f>
        <v>186.2</v>
      </c>
      <c r="G406" s="370">
        <v>0</v>
      </c>
      <c r="H406" s="361">
        <f>TRUNC(G406*D406,1)</f>
        <v>0</v>
      </c>
      <c r="I406" s="370">
        <v>0</v>
      </c>
      <c r="J406" s="361">
        <f>TRUNC(I406*D406,1)</f>
        <v>0</v>
      </c>
      <c r="K406" s="370">
        <f t="shared" si="82"/>
        <v>186.2</v>
      </c>
      <c r="L406" s="361">
        <f t="shared" si="82"/>
        <v>186.2</v>
      </c>
      <c r="M406" s="333" t="s">
        <v>378</v>
      </c>
      <c r="N406" s="329" t="s">
        <v>1261</v>
      </c>
      <c r="O406" s="329" t="s">
        <v>2211</v>
      </c>
      <c r="P406" s="329" t="s">
        <v>1105</v>
      </c>
      <c r="Q406" s="329" t="s">
        <v>1105</v>
      </c>
      <c r="R406" s="329" t="s">
        <v>1105</v>
      </c>
      <c r="S406" s="330">
        <v>0</v>
      </c>
      <c r="T406" s="330">
        <v>0</v>
      </c>
      <c r="U406" s="330">
        <v>0.02</v>
      </c>
      <c r="W406" s="330">
        <v>2</v>
      </c>
      <c r="AV406" s="329" t="s">
        <v>378</v>
      </c>
      <c r="AW406" s="329" t="s">
        <v>2670</v>
      </c>
      <c r="AX406" s="329" t="s">
        <v>378</v>
      </c>
      <c r="AY406" s="329" t="s">
        <v>378</v>
      </c>
    </row>
    <row r="407" spans="1:51" ht="30" customHeight="1">
      <c r="A407" s="333" t="s">
        <v>1851</v>
      </c>
      <c r="B407" s="333" t="s">
        <v>2221</v>
      </c>
      <c r="C407" s="333" t="s">
        <v>1852</v>
      </c>
      <c r="D407" s="334">
        <f>신규_공량산출근거서_일위대가!K196</f>
        <v>1.2E-2</v>
      </c>
      <c r="E407" s="370">
        <f>신규_단가대비표!O154</f>
        <v>0</v>
      </c>
      <c r="F407" s="361">
        <f>TRUNC(E407*D407,1)</f>
        <v>0</v>
      </c>
      <c r="G407" s="370">
        <f>신규_단가대비표!P154</f>
        <v>234998.43458</v>
      </c>
      <c r="H407" s="361">
        <f>TRUNC(G407*D407,1)</f>
        <v>2819.9</v>
      </c>
      <c r="I407" s="370">
        <f>신규_단가대비표!V154</f>
        <v>0</v>
      </c>
      <c r="J407" s="361">
        <f>TRUNC(I407*D407,1)</f>
        <v>0</v>
      </c>
      <c r="K407" s="370">
        <f t="shared" si="82"/>
        <v>234998.39999999999</v>
      </c>
      <c r="L407" s="361">
        <f t="shared" si="82"/>
        <v>2819.9</v>
      </c>
      <c r="M407" s="333" t="s">
        <v>378</v>
      </c>
      <c r="N407" s="329" t="s">
        <v>1261</v>
      </c>
      <c r="O407" s="329" t="s">
        <v>2222</v>
      </c>
      <c r="P407" s="329" t="s">
        <v>1105</v>
      </c>
      <c r="Q407" s="329" t="s">
        <v>1105</v>
      </c>
      <c r="R407" s="329" t="s">
        <v>1104</v>
      </c>
      <c r="W407" s="330">
        <v>2</v>
      </c>
      <c r="AV407" s="329" t="s">
        <v>378</v>
      </c>
      <c r="AW407" s="329" t="s">
        <v>2671</v>
      </c>
      <c r="AX407" s="329" t="s">
        <v>378</v>
      </c>
      <c r="AY407" s="329" t="s">
        <v>378</v>
      </c>
    </row>
    <row r="408" spans="1:51" ht="30" customHeight="1">
      <c r="A408" s="333" t="s">
        <v>2217</v>
      </c>
      <c r="B408" s="333" t="s">
        <v>2218</v>
      </c>
      <c r="C408" s="333" t="s">
        <v>212</v>
      </c>
      <c r="D408" s="334">
        <v>1</v>
      </c>
      <c r="E408" s="370">
        <f>TRUNC(SUMIF(W405:W408, RIGHTB(O408, 1), H405:H408)*U408, 2)</f>
        <v>84.59</v>
      </c>
      <c r="F408" s="361">
        <f>TRUNC(E408*D408,1)</f>
        <v>84.5</v>
      </c>
      <c r="G408" s="370">
        <v>0</v>
      </c>
      <c r="H408" s="361">
        <f>TRUNC(G408*D408,1)</f>
        <v>0</v>
      </c>
      <c r="I408" s="370">
        <v>0</v>
      </c>
      <c r="J408" s="361">
        <f>TRUNC(I408*D408,1)</f>
        <v>0</v>
      </c>
      <c r="K408" s="370">
        <f t="shared" si="82"/>
        <v>84.5</v>
      </c>
      <c r="L408" s="361">
        <f t="shared" si="82"/>
        <v>84.5</v>
      </c>
      <c r="M408" s="333" t="s">
        <v>378</v>
      </c>
      <c r="N408" s="329" t="s">
        <v>1261</v>
      </c>
      <c r="O408" s="329" t="s">
        <v>2215</v>
      </c>
      <c r="P408" s="329" t="s">
        <v>1105</v>
      </c>
      <c r="Q408" s="329" t="s">
        <v>1105</v>
      </c>
      <c r="R408" s="329" t="s">
        <v>1105</v>
      </c>
      <c r="S408" s="330">
        <v>1</v>
      </c>
      <c r="T408" s="330">
        <v>0</v>
      </c>
      <c r="U408" s="330">
        <v>0.03</v>
      </c>
      <c r="W408" s="330">
        <v>2</v>
      </c>
      <c r="AV408" s="329" t="s">
        <v>378</v>
      </c>
      <c r="AW408" s="329" t="s">
        <v>2672</v>
      </c>
      <c r="AX408" s="329" t="s">
        <v>378</v>
      </c>
      <c r="AY408" s="329" t="s">
        <v>378</v>
      </c>
    </row>
    <row r="409" spans="1:51" ht="30" customHeight="1">
      <c r="A409" s="333" t="s">
        <v>2224</v>
      </c>
      <c r="B409" s="333" t="s">
        <v>378</v>
      </c>
      <c r="C409" s="333" t="s">
        <v>378</v>
      </c>
      <c r="D409" s="334"/>
      <c r="E409" s="370"/>
      <c r="F409" s="361">
        <f>TRUNC(SUMIF(N405:N408, N404, F405:F408),0)</f>
        <v>9583</v>
      </c>
      <c r="G409" s="370"/>
      <c r="H409" s="361">
        <f>TRUNC(SUMIF(N405:N408, N404, H405:H408),0)</f>
        <v>2819</v>
      </c>
      <c r="I409" s="370"/>
      <c r="J409" s="361">
        <f>TRUNC(SUMIF(N405:N408, N404, J405:J408),0)</f>
        <v>0</v>
      </c>
      <c r="K409" s="370"/>
      <c r="L409" s="361">
        <f>F409+H409+J409</f>
        <v>12402</v>
      </c>
      <c r="M409" s="333" t="s">
        <v>378</v>
      </c>
      <c r="N409" s="329" t="s">
        <v>1197</v>
      </c>
      <c r="O409" s="329" t="s">
        <v>1197</v>
      </c>
      <c r="P409" s="329" t="s">
        <v>378</v>
      </c>
      <c r="Q409" s="329" t="s">
        <v>378</v>
      </c>
      <c r="R409" s="329" t="s">
        <v>378</v>
      </c>
      <c r="AV409" s="329" t="s">
        <v>378</v>
      </c>
      <c r="AW409" s="329" t="s">
        <v>378</v>
      </c>
      <c r="AX409" s="329" t="s">
        <v>378</v>
      </c>
      <c r="AY409" s="329" t="s">
        <v>378</v>
      </c>
    </row>
    <row r="410" spans="1:51" ht="30" customHeight="1">
      <c r="A410" s="334"/>
      <c r="B410" s="334"/>
      <c r="C410" s="334"/>
      <c r="D410" s="334"/>
      <c r="E410" s="370"/>
      <c r="F410" s="361"/>
      <c r="G410" s="370"/>
      <c r="H410" s="361"/>
      <c r="I410" s="370"/>
      <c r="J410" s="361"/>
      <c r="K410" s="370"/>
      <c r="L410" s="361"/>
      <c r="M410" s="334"/>
    </row>
    <row r="411" spans="1:51" ht="30" customHeight="1">
      <c r="A411" s="718" t="s">
        <v>2673</v>
      </c>
      <c r="B411" s="718"/>
      <c r="C411" s="718"/>
      <c r="D411" s="718"/>
      <c r="E411" s="719"/>
      <c r="F411" s="720"/>
      <c r="G411" s="719"/>
      <c r="H411" s="720"/>
      <c r="I411" s="719"/>
      <c r="J411" s="720"/>
      <c r="K411" s="719"/>
      <c r="L411" s="720"/>
      <c r="M411" s="718"/>
      <c r="N411" s="329" t="s">
        <v>1264</v>
      </c>
    </row>
    <row r="412" spans="1:51" ht="30" customHeight="1">
      <c r="A412" s="333" t="s">
        <v>2272</v>
      </c>
      <c r="B412" s="333" t="s">
        <v>2674</v>
      </c>
      <c r="C412" s="333" t="s">
        <v>300</v>
      </c>
      <c r="D412" s="334">
        <v>1.03</v>
      </c>
      <c r="E412" s="370">
        <f>신규_단가대비표!O17</f>
        <v>15387.002540000001</v>
      </c>
      <c r="F412" s="361">
        <f>TRUNC(E412*D412,1)</f>
        <v>15848.6</v>
      </c>
      <c r="G412" s="370">
        <f>신규_단가대비표!P17</f>
        <v>0</v>
      </c>
      <c r="H412" s="361">
        <f>TRUNC(G412*D412,1)</f>
        <v>0</v>
      </c>
      <c r="I412" s="370">
        <f>신규_단가대비표!V17</f>
        <v>0</v>
      </c>
      <c r="J412" s="361">
        <f>TRUNC(I412*D412,1)</f>
        <v>0</v>
      </c>
      <c r="K412" s="370">
        <f t="shared" ref="K412:L415" si="83">TRUNC(E412+G412+I412,1)</f>
        <v>15387</v>
      </c>
      <c r="L412" s="361">
        <f t="shared" si="83"/>
        <v>15848.6</v>
      </c>
      <c r="M412" s="333" t="s">
        <v>378</v>
      </c>
      <c r="N412" s="329" t="s">
        <v>1264</v>
      </c>
      <c r="O412" s="329" t="s">
        <v>2675</v>
      </c>
      <c r="P412" s="329" t="s">
        <v>1105</v>
      </c>
      <c r="Q412" s="329" t="s">
        <v>1105</v>
      </c>
      <c r="R412" s="329" t="s">
        <v>1104</v>
      </c>
      <c r="V412" s="330">
        <v>1</v>
      </c>
      <c r="AV412" s="329" t="s">
        <v>378</v>
      </c>
      <c r="AW412" s="329" t="s">
        <v>2676</v>
      </c>
      <c r="AX412" s="329" t="s">
        <v>378</v>
      </c>
      <c r="AY412" s="329" t="s">
        <v>378</v>
      </c>
    </row>
    <row r="413" spans="1:51" ht="30" customHeight="1">
      <c r="A413" s="333" t="s">
        <v>2213</v>
      </c>
      <c r="B413" s="333" t="s">
        <v>2214</v>
      </c>
      <c r="C413" s="333" t="s">
        <v>212</v>
      </c>
      <c r="D413" s="334">
        <v>1</v>
      </c>
      <c r="E413" s="370">
        <f>TRUNC(SUMIF(V412:V415, RIGHTB(O413, 1), F412:F415)*U413, 2)</f>
        <v>316.97000000000003</v>
      </c>
      <c r="F413" s="361">
        <f>TRUNC(E413*D413,1)</f>
        <v>316.89999999999998</v>
      </c>
      <c r="G413" s="370">
        <v>0</v>
      </c>
      <c r="H413" s="361">
        <f>TRUNC(G413*D413,1)</f>
        <v>0</v>
      </c>
      <c r="I413" s="370">
        <v>0</v>
      </c>
      <c r="J413" s="361">
        <f>TRUNC(I413*D413,1)</f>
        <v>0</v>
      </c>
      <c r="K413" s="370">
        <f t="shared" si="83"/>
        <v>316.89999999999998</v>
      </c>
      <c r="L413" s="361">
        <f t="shared" si="83"/>
        <v>316.89999999999998</v>
      </c>
      <c r="M413" s="333" t="s">
        <v>378</v>
      </c>
      <c r="N413" s="329" t="s">
        <v>1264</v>
      </c>
      <c r="O413" s="329" t="s">
        <v>2211</v>
      </c>
      <c r="P413" s="329" t="s">
        <v>1105</v>
      </c>
      <c r="Q413" s="329" t="s">
        <v>1105</v>
      </c>
      <c r="R413" s="329" t="s">
        <v>1105</v>
      </c>
      <c r="S413" s="330">
        <v>0</v>
      </c>
      <c r="T413" s="330">
        <v>0</v>
      </c>
      <c r="U413" s="330">
        <v>0.02</v>
      </c>
      <c r="W413" s="330">
        <v>2</v>
      </c>
      <c r="AV413" s="329" t="s">
        <v>378</v>
      </c>
      <c r="AW413" s="329" t="s">
        <v>2677</v>
      </c>
      <c r="AX413" s="329" t="s">
        <v>378</v>
      </c>
      <c r="AY413" s="329" t="s">
        <v>378</v>
      </c>
    </row>
    <row r="414" spans="1:51" ht="30" customHeight="1">
      <c r="A414" s="333" t="s">
        <v>1992</v>
      </c>
      <c r="B414" s="333" t="s">
        <v>2279</v>
      </c>
      <c r="C414" s="333" t="s">
        <v>1852</v>
      </c>
      <c r="D414" s="334">
        <f>신규_공량산출근거서_일위대가!K199</f>
        <v>8.2400000000000001E-2</v>
      </c>
      <c r="E414" s="370">
        <f>신규_단가대비표!O155</f>
        <v>0</v>
      </c>
      <c r="F414" s="361">
        <f>TRUNC(E414*D414,1)</f>
        <v>0</v>
      </c>
      <c r="G414" s="370">
        <f>신규_단가대비표!P155</f>
        <v>255395.20006</v>
      </c>
      <c r="H414" s="361">
        <f>TRUNC(G414*D414,1)</f>
        <v>21044.5</v>
      </c>
      <c r="I414" s="370">
        <f>신규_단가대비표!V155</f>
        <v>0</v>
      </c>
      <c r="J414" s="361">
        <f>TRUNC(I414*D414,1)</f>
        <v>0</v>
      </c>
      <c r="K414" s="370">
        <f t="shared" si="83"/>
        <v>255395.20000000001</v>
      </c>
      <c r="L414" s="361">
        <f t="shared" si="83"/>
        <v>21044.5</v>
      </c>
      <c r="M414" s="333" t="s">
        <v>378</v>
      </c>
      <c r="N414" s="329" t="s">
        <v>1264</v>
      </c>
      <c r="O414" s="329" t="s">
        <v>2280</v>
      </c>
      <c r="P414" s="329" t="s">
        <v>1105</v>
      </c>
      <c r="Q414" s="329" t="s">
        <v>1105</v>
      </c>
      <c r="R414" s="329" t="s">
        <v>1104</v>
      </c>
      <c r="W414" s="330">
        <v>2</v>
      </c>
      <c r="AV414" s="329" t="s">
        <v>378</v>
      </c>
      <c r="AW414" s="329" t="s">
        <v>2678</v>
      </c>
      <c r="AX414" s="329" t="s">
        <v>378</v>
      </c>
      <c r="AY414" s="329" t="s">
        <v>378</v>
      </c>
    </row>
    <row r="415" spans="1:51" ht="30" customHeight="1">
      <c r="A415" s="333" t="s">
        <v>2217</v>
      </c>
      <c r="B415" s="333" t="s">
        <v>2218</v>
      </c>
      <c r="C415" s="333" t="s">
        <v>212</v>
      </c>
      <c r="D415" s="334">
        <v>1</v>
      </c>
      <c r="E415" s="370">
        <f>TRUNC(SUMIF(W412:W415, RIGHTB(O415, 1), H412:H415)*U415, 2)</f>
        <v>631.33000000000004</v>
      </c>
      <c r="F415" s="361">
        <f>TRUNC(E415*D415,1)</f>
        <v>631.29999999999995</v>
      </c>
      <c r="G415" s="370">
        <v>0</v>
      </c>
      <c r="H415" s="361">
        <f>TRUNC(G415*D415,1)</f>
        <v>0</v>
      </c>
      <c r="I415" s="370">
        <v>0</v>
      </c>
      <c r="J415" s="361">
        <f>TRUNC(I415*D415,1)</f>
        <v>0</v>
      </c>
      <c r="K415" s="370">
        <f t="shared" si="83"/>
        <v>631.29999999999995</v>
      </c>
      <c r="L415" s="361">
        <f t="shared" si="83"/>
        <v>631.29999999999995</v>
      </c>
      <c r="M415" s="333" t="s">
        <v>378</v>
      </c>
      <c r="N415" s="329" t="s">
        <v>1264</v>
      </c>
      <c r="O415" s="329" t="s">
        <v>2215</v>
      </c>
      <c r="P415" s="329" t="s">
        <v>1105</v>
      </c>
      <c r="Q415" s="329" t="s">
        <v>1105</v>
      </c>
      <c r="R415" s="329" t="s">
        <v>1105</v>
      </c>
      <c r="S415" s="330">
        <v>1</v>
      </c>
      <c r="T415" s="330">
        <v>0</v>
      </c>
      <c r="U415" s="330">
        <v>0.03</v>
      </c>
      <c r="W415" s="330">
        <v>2</v>
      </c>
      <c r="AV415" s="329" t="s">
        <v>378</v>
      </c>
      <c r="AW415" s="329" t="s">
        <v>2679</v>
      </c>
      <c r="AX415" s="329" t="s">
        <v>378</v>
      </c>
      <c r="AY415" s="329" t="s">
        <v>378</v>
      </c>
    </row>
    <row r="416" spans="1:51" ht="30" customHeight="1">
      <c r="A416" s="333" t="s">
        <v>2224</v>
      </c>
      <c r="B416" s="333" t="s">
        <v>378</v>
      </c>
      <c r="C416" s="333" t="s">
        <v>378</v>
      </c>
      <c r="D416" s="334"/>
      <c r="E416" s="370"/>
      <c r="F416" s="361">
        <f>TRUNC(SUMIF(N412:N415, N411, F412:F415),0)</f>
        <v>16796</v>
      </c>
      <c r="G416" s="370"/>
      <c r="H416" s="361">
        <f>TRUNC(SUMIF(N412:N415, N411, H412:H415),0)</f>
        <v>21044</v>
      </c>
      <c r="I416" s="370"/>
      <c r="J416" s="361">
        <f>TRUNC(SUMIF(N412:N415, N411, J412:J415),0)</f>
        <v>0</v>
      </c>
      <c r="K416" s="370"/>
      <c r="L416" s="361">
        <f>F416+H416+J416</f>
        <v>37840</v>
      </c>
      <c r="M416" s="333" t="s">
        <v>378</v>
      </c>
      <c r="N416" s="329" t="s">
        <v>1197</v>
      </c>
      <c r="O416" s="329" t="s">
        <v>1197</v>
      </c>
      <c r="P416" s="329" t="s">
        <v>378</v>
      </c>
      <c r="Q416" s="329" t="s">
        <v>378</v>
      </c>
      <c r="R416" s="329" t="s">
        <v>378</v>
      </c>
      <c r="AV416" s="329" t="s">
        <v>378</v>
      </c>
      <c r="AW416" s="329" t="s">
        <v>378</v>
      </c>
      <c r="AX416" s="329" t="s">
        <v>378</v>
      </c>
      <c r="AY416" s="329" t="s">
        <v>378</v>
      </c>
    </row>
    <row r="417" spans="1:51" ht="30" customHeight="1">
      <c r="A417" s="334"/>
      <c r="B417" s="334"/>
      <c r="C417" s="334"/>
      <c r="D417" s="334"/>
      <c r="E417" s="370"/>
      <c r="F417" s="361"/>
      <c r="G417" s="370"/>
      <c r="H417" s="361"/>
      <c r="I417" s="370"/>
      <c r="J417" s="361"/>
      <c r="K417" s="370"/>
      <c r="L417" s="361"/>
      <c r="M417" s="334"/>
    </row>
    <row r="418" spans="1:51" ht="30" customHeight="1">
      <c r="A418" s="718" t="s">
        <v>2680</v>
      </c>
      <c r="B418" s="718"/>
      <c r="C418" s="718"/>
      <c r="D418" s="718"/>
      <c r="E418" s="719"/>
      <c r="F418" s="720"/>
      <c r="G418" s="719"/>
      <c r="H418" s="720"/>
      <c r="I418" s="719"/>
      <c r="J418" s="720"/>
      <c r="K418" s="719"/>
      <c r="L418" s="720"/>
      <c r="M418" s="718"/>
      <c r="N418" s="329" t="s">
        <v>1270</v>
      </c>
    </row>
    <row r="419" spans="1:51" ht="30" customHeight="1">
      <c r="A419" s="333" t="s">
        <v>2272</v>
      </c>
      <c r="B419" s="333" t="s">
        <v>2681</v>
      </c>
      <c r="C419" s="333" t="s">
        <v>300</v>
      </c>
      <c r="D419" s="334">
        <v>1.05</v>
      </c>
      <c r="E419" s="370">
        <f>신규_단가대비표!O24</f>
        <v>15487.056130000001</v>
      </c>
      <c r="F419" s="361">
        <f>TRUNC(E419*D419,1)</f>
        <v>16261.4</v>
      </c>
      <c r="G419" s="370">
        <f>신규_단가대비표!P24</f>
        <v>0</v>
      </c>
      <c r="H419" s="361">
        <f>TRUNC(G419*D419,1)</f>
        <v>0</v>
      </c>
      <c r="I419" s="370">
        <f>신규_단가대비표!V24</f>
        <v>0</v>
      </c>
      <c r="J419" s="361">
        <f>TRUNC(I419*D419,1)</f>
        <v>0</v>
      </c>
      <c r="K419" s="370">
        <f t="shared" ref="K419:L422" si="84">TRUNC(E419+G419+I419,1)</f>
        <v>15487</v>
      </c>
      <c r="L419" s="361">
        <f t="shared" si="84"/>
        <v>16261.4</v>
      </c>
      <c r="M419" s="333" t="s">
        <v>378</v>
      </c>
      <c r="N419" s="329" t="s">
        <v>1270</v>
      </c>
      <c r="O419" s="329" t="s">
        <v>2682</v>
      </c>
      <c r="P419" s="329" t="s">
        <v>1105</v>
      </c>
      <c r="Q419" s="329" t="s">
        <v>1105</v>
      </c>
      <c r="R419" s="329" t="s">
        <v>1104</v>
      </c>
      <c r="V419" s="330">
        <v>1</v>
      </c>
      <c r="AV419" s="329" t="s">
        <v>378</v>
      </c>
      <c r="AW419" s="329" t="s">
        <v>2683</v>
      </c>
      <c r="AX419" s="329" t="s">
        <v>378</v>
      </c>
      <c r="AY419" s="329" t="s">
        <v>378</v>
      </c>
    </row>
    <row r="420" spans="1:51" ht="30" customHeight="1">
      <c r="A420" s="333" t="s">
        <v>2213</v>
      </c>
      <c r="B420" s="333" t="s">
        <v>2214</v>
      </c>
      <c r="C420" s="333" t="s">
        <v>212</v>
      </c>
      <c r="D420" s="334">
        <v>1</v>
      </c>
      <c r="E420" s="370">
        <f>TRUNC(SUMIF(V419:V422, RIGHTB(O420, 1), F419:F422)*U420, 2)</f>
        <v>325.22000000000003</v>
      </c>
      <c r="F420" s="361">
        <f>TRUNC(E420*D420,1)</f>
        <v>325.2</v>
      </c>
      <c r="G420" s="370">
        <v>0</v>
      </c>
      <c r="H420" s="361">
        <f>TRUNC(G420*D420,1)</f>
        <v>0</v>
      </c>
      <c r="I420" s="370">
        <v>0</v>
      </c>
      <c r="J420" s="361">
        <f>TRUNC(I420*D420,1)</f>
        <v>0</v>
      </c>
      <c r="K420" s="370">
        <f t="shared" si="84"/>
        <v>325.2</v>
      </c>
      <c r="L420" s="361">
        <f t="shared" si="84"/>
        <v>325.2</v>
      </c>
      <c r="M420" s="333" t="s">
        <v>378</v>
      </c>
      <c r="N420" s="329" t="s">
        <v>1270</v>
      </c>
      <c r="O420" s="329" t="s">
        <v>2211</v>
      </c>
      <c r="P420" s="329" t="s">
        <v>1105</v>
      </c>
      <c r="Q420" s="329" t="s">
        <v>1105</v>
      </c>
      <c r="R420" s="329" t="s">
        <v>1105</v>
      </c>
      <c r="S420" s="330">
        <v>0</v>
      </c>
      <c r="T420" s="330">
        <v>0</v>
      </c>
      <c r="U420" s="330">
        <v>0.02</v>
      </c>
      <c r="W420" s="330">
        <v>2</v>
      </c>
      <c r="AV420" s="329" t="s">
        <v>378</v>
      </c>
      <c r="AW420" s="329" t="s">
        <v>2684</v>
      </c>
      <c r="AX420" s="329" t="s">
        <v>378</v>
      </c>
      <c r="AY420" s="329" t="s">
        <v>378</v>
      </c>
    </row>
    <row r="421" spans="1:51" ht="30" customHeight="1">
      <c r="A421" s="333" t="s">
        <v>2217</v>
      </c>
      <c r="B421" s="333" t="s">
        <v>2218</v>
      </c>
      <c r="C421" s="333" t="s">
        <v>212</v>
      </c>
      <c r="D421" s="334">
        <v>1</v>
      </c>
      <c r="E421" s="370">
        <f>TRUNC(SUMIF(W419:W422, RIGHTB(O421, 1), H419:H422)*U421, 2)</f>
        <v>597.62</v>
      </c>
      <c r="F421" s="361">
        <f>TRUNC(E421*D421,1)</f>
        <v>597.6</v>
      </c>
      <c r="G421" s="370">
        <v>0</v>
      </c>
      <c r="H421" s="361">
        <f>TRUNC(G421*D421,1)</f>
        <v>0</v>
      </c>
      <c r="I421" s="370">
        <v>0</v>
      </c>
      <c r="J421" s="361">
        <f>TRUNC(I421*D421,1)</f>
        <v>0</v>
      </c>
      <c r="K421" s="370">
        <f t="shared" si="84"/>
        <v>597.6</v>
      </c>
      <c r="L421" s="361">
        <f t="shared" si="84"/>
        <v>597.6</v>
      </c>
      <c r="M421" s="333" t="s">
        <v>378</v>
      </c>
      <c r="N421" s="329" t="s">
        <v>1270</v>
      </c>
      <c r="O421" s="329" t="s">
        <v>2215</v>
      </c>
      <c r="P421" s="329" t="s">
        <v>1105</v>
      </c>
      <c r="Q421" s="329" t="s">
        <v>1105</v>
      </c>
      <c r="R421" s="329" t="s">
        <v>1105</v>
      </c>
      <c r="S421" s="330">
        <v>1</v>
      </c>
      <c r="T421" s="330">
        <v>0</v>
      </c>
      <c r="U421" s="330">
        <v>0.03</v>
      </c>
      <c r="W421" s="330">
        <v>2</v>
      </c>
      <c r="AV421" s="329" t="s">
        <v>378</v>
      </c>
      <c r="AW421" s="329" t="s">
        <v>2685</v>
      </c>
      <c r="AX421" s="329" t="s">
        <v>378</v>
      </c>
      <c r="AY421" s="329" t="s">
        <v>378</v>
      </c>
    </row>
    <row r="422" spans="1:51" ht="30" customHeight="1">
      <c r="A422" s="333" t="s">
        <v>1992</v>
      </c>
      <c r="B422" s="333" t="s">
        <v>2279</v>
      </c>
      <c r="C422" s="333" t="s">
        <v>1852</v>
      </c>
      <c r="D422" s="334">
        <f>신규_공량산출근거서_일위대가!K202</f>
        <v>7.8E-2</v>
      </c>
      <c r="E422" s="370">
        <f>신규_단가대비표!O155</f>
        <v>0</v>
      </c>
      <c r="F422" s="361">
        <f>TRUNC(E422*D422,1)</f>
        <v>0</v>
      </c>
      <c r="G422" s="370">
        <f>신규_단가대비표!P155</f>
        <v>255395.20006</v>
      </c>
      <c r="H422" s="361">
        <f>TRUNC(G422*D422,1)</f>
        <v>19920.8</v>
      </c>
      <c r="I422" s="370">
        <f>신규_단가대비표!V155</f>
        <v>0</v>
      </c>
      <c r="J422" s="361">
        <f>TRUNC(I422*D422,1)</f>
        <v>0</v>
      </c>
      <c r="K422" s="370">
        <f t="shared" si="84"/>
        <v>255395.20000000001</v>
      </c>
      <c r="L422" s="361">
        <f t="shared" si="84"/>
        <v>19920.8</v>
      </c>
      <c r="M422" s="333" t="s">
        <v>378</v>
      </c>
      <c r="N422" s="329" t="s">
        <v>1270</v>
      </c>
      <c r="O422" s="329" t="s">
        <v>2280</v>
      </c>
      <c r="P422" s="329" t="s">
        <v>1105</v>
      </c>
      <c r="Q422" s="329" t="s">
        <v>1105</v>
      </c>
      <c r="R422" s="329" t="s">
        <v>1104</v>
      </c>
      <c r="W422" s="330">
        <v>2</v>
      </c>
      <c r="AV422" s="329" t="s">
        <v>378</v>
      </c>
      <c r="AW422" s="329" t="s">
        <v>2686</v>
      </c>
      <c r="AX422" s="329" t="s">
        <v>378</v>
      </c>
      <c r="AY422" s="329" t="s">
        <v>378</v>
      </c>
    </row>
    <row r="423" spans="1:51" ht="30" customHeight="1">
      <c r="A423" s="333" t="s">
        <v>2224</v>
      </c>
      <c r="B423" s="333" t="s">
        <v>378</v>
      </c>
      <c r="C423" s="333" t="s">
        <v>378</v>
      </c>
      <c r="D423" s="334"/>
      <c r="E423" s="370"/>
      <c r="F423" s="361">
        <f>TRUNC(SUMIF(N419:N422, N418, F419:F422),0)</f>
        <v>17184</v>
      </c>
      <c r="G423" s="370"/>
      <c r="H423" s="361">
        <f>TRUNC(SUMIF(N419:N422, N418, H419:H422),0)</f>
        <v>19920</v>
      </c>
      <c r="I423" s="370"/>
      <c r="J423" s="361">
        <f>TRUNC(SUMIF(N419:N422, N418, J419:J422),0)</f>
        <v>0</v>
      </c>
      <c r="K423" s="370"/>
      <c r="L423" s="361">
        <f>F423+H423+J423</f>
        <v>37104</v>
      </c>
      <c r="M423" s="333" t="s">
        <v>378</v>
      </c>
      <c r="N423" s="329" t="s">
        <v>1197</v>
      </c>
      <c r="O423" s="329" t="s">
        <v>1197</v>
      </c>
      <c r="P423" s="329" t="s">
        <v>378</v>
      </c>
      <c r="Q423" s="329" t="s">
        <v>378</v>
      </c>
      <c r="R423" s="329" t="s">
        <v>378</v>
      </c>
      <c r="AV423" s="329" t="s">
        <v>378</v>
      </c>
      <c r="AW423" s="329" t="s">
        <v>378</v>
      </c>
      <c r="AX423" s="329" t="s">
        <v>378</v>
      </c>
      <c r="AY423" s="329" t="s">
        <v>378</v>
      </c>
    </row>
    <row r="424" spans="1:51" ht="30" customHeight="1">
      <c r="A424" s="334"/>
      <c r="B424" s="334"/>
      <c r="C424" s="334"/>
      <c r="D424" s="334"/>
      <c r="E424" s="370"/>
      <c r="F424" s="361"/>
      <c r="G424" s="370"/>
      <c r="H424" s="361"/>
      <c r="I424" s="370"/>
      <c r="J424" s="361"/>
      <c r="K424" s="370"/>
      <c r="L424" s="361"/>
      <c r="M424" s="334"/>
    </row>
    <row r="425" spans="1:51" ht="30" customHeight="1">
      <c r="A425" s="718" t="s">
        <v>2687</v>
      </c>
      <c r="B425" s="718"/>
      <c r="C425" s="718"/>
      <c r="D425" s="718"/>
      <c r="E425" s="719"/>
      <c r="F425" s="720"/>
      <c r="G425" s="719"/>
      <c r="H425" s="720"/>
      <c r="I425" s="719"/>
      <c r="J425" s="720"/>
      <c r="K425" s="719"/>
      <c r="L425" s="720"/>
      <c r="M425" s="718"/>
      <c r="N425" s="329" t="s">
        <v>1275</v>
      </c>
    </row>
    <row r="426" spans="1:51" ht="30" customHeight="1">
      <c r="A426" s="333" t="s">
        <v>370</v>
      </c>
      <c r="B426" s="333" t="s">
        <v>2688</v>
      </c>
      <c r="C426" s="333" t="s">
        <v>265</v>
      </c>
      <c r="D426" s="334">
        <v>1</v>
      </c>
      <c r="E426" s="370">
        <f>신규_단가대비표!O98</f>
        <v>1372.4165</v>
      </c>
      <c r="F426" s="361">
        <f>TRUNC(E426*D426,1)</f>
        <v>1372.4</v>
      </c>
      <c r="G426" s="370">
        <f>신규_단가대비표!P98</f>
        <v>0</v>
      </c>
      <c r="H426" s="361">
        <f>TRUNC(G426*D426,1)</f>
        <v>0</v>
      </c>
      <c r="I426" s="370">
        <f>신규_단가대비표!V98</f>
        <v>0</v>
      </c>
      <c r="J426" s="361">
        <f>TRUNC(I426*D426,1)</f>
        <v>0</v>
      </c>
      <c r="K426" s="370">
        <f t="shared" ref="K426:L428" si="85">TRUNC(E426+G426+I426,1)</f>
        <v>1372.4</v>
      </c>
      <c r="L426" s="361">
        <f t="shared" si="85"/>
        <v>1372.4</v>
      </c>
      <c r="M426" s="333" t="s">
        <v>378</v>
      </c>
      <c r="N426" s="329" t="s">
        <v>1275</v>
      </c>
      <c r="O426" s="329" t="s">
        <v>2689</v>
      </c>
      <c r="P426" s="329" t="s">
        <v>1105</v>
      </c>
      <c r="Q426" s="329" t="s">
        <v>1105</v>
      </c>
      <c r="R426" s="329" t="s">
        <v>1104</v>
      </c>
      <c r="AV426" s="329" t="s">
        <v>378</v>
      </c>
      <c r="AW426" s="329" t="s">
        <v>2690</v>
      </c>
      <c r="AX426" s="329" t="s">
        <v>378</v>
      </c>
      <c r="AY426" s="329" t="s">
        <v>378</v>
      </c>
    </row>
    <row r="427" spans="1:51" ht="30" customHeight="1">
      <c r="A427" s="333" t="s">
        <v>1992</v>
      </c>
      <c r="B427" s="333" t="s">
        <v>2279</v>
      </c>
      <c r="C427" s="333" t="s">
        <v>1852</v>
      </c>
      <c r="D427" s="334">
        <f>신규_공량산출근거서_일위대가!K205</f>
        <v>0.15</v>
      </c>
      <c r="E427" s="370">
        <f>신규_단가대비표!O155</f>
        <v>0</v>
      </c>
      <c r="F427" s="361">
        <f>TRUNC(E427*D427,1)</f>
        <v>0</v>
      </c>
      <c r="G427" s="370">
        <f>신규_단가대비표!P155</f>
        <v>255395.20006</v>
      </c>
      <c r="H427" s="361">
        <f>TRUNC(G427*D427,1)</f>
        <v>38309.199999999997</v>
      </c>
      <c r="I427" s="370">
        <f>신규_단가대비표!V155</f>
        <v>0</v>
      </c>
      <c r="J427" s="361">
        <f>TRUNC(I427*D427,1)</f>
        <v>0</v>
      </c>
      <c r="K427" s="370">
        <f t="shared" si="85"/>
        <v>255395.20000000001</v>
      </c>
      <c r="L427" s="361">
        <f t="shared" si="85"/>
        <v>38309.199999999997</v>
      </c>
      <c r="M427" s="333" t="s">
        <v>378</v>
      </c>
      <c r="N427" s="329" t="s">
        <v>1275</v>
      </c>
      <c r="O427" s="329" t="s">
        <v>2280</v>
      </c>
      <c r="P427" s="329" t="s">
        <v>1105</v>
      </c>
      <c r="Q427" s="329" t="s">
        <v>1105</v>
      </c>
      <c r="R427" s="329" t="s">
        <v>1104</v>
      </c>
      <c r="V427" s="330">
        <v>1</v>
      </c>
      <c r="AV427" s="329" t="s">
        <v>378</v>
      </c>
      <c r="AW427" s="329" t="s">
        <v>2691</v>
      </c>
      <c r="AX427" s="329" t="s">
        <v>378</v>
      </c>
      <c r="AY427" s="329" t="s">
        <v>378</v>
      </c>
    </row>
    <row r="428" spans="1:51" ht="30" customHeight="1">
      <c r="A428" s="333" t="s">
        <v>2217</v>
      </c>
      <c r="B428" s="333" t="s">
        <v>2218</v>
      </c>
      <c r="C428" s="333" t="s">
        <v>212</v>
      </c>
      <c r="D428" s="334">
        <v>1</v>
      </c>
      <c r="E428" s="370">
        <f>TRUNC(SUMIF(V426:V428, RIGHTB(O428, 1), H426:H428)*U428, 2)</f>
        <v>1149.27</v>
      </c>
      <c r="F428" s="361">
        <f>TRUNC(E428*D428,1)</f>
        <v>1149.2</v>
      </c>
      <c r="G428" s="370">
        <v>0</v>
      </c>
      <c r="H428" s="361">
        <f>TRUNC(G428*D428,1)</f>
        <v>0</v>
      </c>
      <c r="I428" s="370">
        <v>0</v>
      </c>
      <c r="J428" s="361">
        <f>TRUNC(I428*D428,1)</f>
        <v>0</v>
      </c>
      <c r="K428" s="370">
        <f t="shared" si="85"/>
        <v>1149.2</v>
      </c>
      <c r="L428" s="361">
        <f t="shared" si="85"/>
        <v>1149.2</v>
      </c>
      <c r="M428" s="333" t="s">
        <v>378</v>
      </c>
      <c r="N428" s="329" t="s">
        <v>1275</v>
      </c>
      <c r="O428" s="329" t="s">
        <v>2211</v>
      </c>
      <c r="P428" s="329" t="s">
        <v>1105</v>
      </c>
      <c r="Q428" s="329" t="s">
        <v>1105</v>
      </c>
      <c r="R428" s="329" t="s">
        <v>1105</v>
      </c>
      <c r="S428" s="330">
        <v>1</v>
      </c>
      <c r="T428" s="330">
        <v>0</v>
      </c>
      <c r="U428" s="330">
        <v>0.03</v>
      </c>
      <c r="V428" s="330">
        <v>1</v>
      </c>
      <c r="AV428" s="329" t="s">
        <v>378</v>
      </c>
      <c r="AW428" s="329" t="s">
        <v>2692</v>
      </c>
      <c r="AX428" s="329" t="s">
        <v>378</v>
      </c>
      <c r="AY428" s="329" t="s">
        <v>378</v>
      </c>
    </row>
    <row r="429" spans="1:51" ht="30" customHeight="1">
      <c r="A429" s="333" t="s">
        <v>2224</v>
      </c>
      <c r="B429" s="333" t="s">
        <v>378</v>
      </c>
      <c r="C429" s="333" t="s">
        <v>378</v>
      </c>
      <c r="D429" s="334"/>
      <c r="E429" s="370"/>
      <c r="F429" s="361">
        <f>TRUNC(SUMIF(N426:N428, N425, F426:F428),0)</f>
        <v>2521</v>
      </c>
      <c r="G429" s="370"/>
      <c r="H429" s="361">
        <f>TRUNC(SUMIF(N426:N428, N425, H426:H428),0)</f>
        <v>38309</v>
      </c>
      <c r="I429" s="370"/>
      <c r="J429" s="361">
        <f>TRUNC(SUMIF(N426:N428, N425, J426:J428),0)</f>
        <v>0</v>
      </c>
      <c r="K429" s="370"/>
      <c r="L429" s="361">
        <f>F429+H429+J429</f>
        <v>40830</v>
      </c>
      <c r="M429" s="333" t="s">
        <v>378</v>
      </c>
      <c r="N429" s="329" t="s">
        <v>1197</v>
      </c>
      <c r="O429" s="329" t="s">
        <v>1197</v>
      </c>
      <c r="P429" s="329" t="s">
        <v>378</v>
      </c>
      <c r="Q429" s="329" t="s">
        <v>378</v>
      </c>
      <c r="R429" s="329" t="s">
        <v>378</v>
      </c>
      <c r="AV429" s="329" t="s">
        <v>378</v>
      </c>
      <c r="AW429" s="329" t="s">
        <v>378</v>
      </c>
      <c r="AX429" s="329" t="s">
        <v>378</v>
      </c>
      <c r="AY429" s="329" t="s">
        <v>378</v>
      </c>
    </row>
    <row r="430" spans="1:51" ht="30" customHeight="1">
      <c r="A430" s="334"/>
      <c r="B430" s="334"/>
      <c r="C430" s="334"/>
      <c r="D430" s="334"/>
      <c r="E430" s="370"/>
      <c r="F430" s="361"/>
      <c r="G430" s="370"/>
      <c r="H430" s="361"/>
      <c r="I430" s="370"/>
      <c r="J430" s="361"/>
      <c r="K430" s="370"/>
      <c r="L430" s="361"/>
      <c r="M430" s="334"/>
    </row>
    <row r="431" spans="1:51" ht="30" customHeight="1">
      <c r="A431" s="718" t="s">
        <v>2693</v>
      </c>
      <c r="B431" s="718"/>
      <c r="C431" s="718"/>
      <c r="D431" s="718"/>
      <c r="E431" s="719"/>
      <c r="F431" s="720"/>
      <c r="G431" s="719"/>
      <c r="H431" s="720"/>
      <c r="I431" s="719"/>
      <c r="J431" s="720"/>
      <c r="K431" s="719"/>
      <c r="L431" s="720"/>
      <c r="M431" s="718"/>
      <c r="N431" s="329" t="s">
        <v>1278</v>
      </c>
    </row>
    <row r="432" spans="1:51" ht="30" customHeight="1">
      <c r="A432" s="333" t="s">
        <v>370</v>
      </c>
      <c r="B432" s="333" t="s">
        <v>2694</v>
      </c>
      <c r="C432" s="333" t="s">
        <v>265</v>
      </c>
      <c r="D432" s="334">
        <v>1</v>
      </c>
      <c r="E432" s="370">
        <f>신규_단가대비표!O99</f>
        <v>2842.2303000000002</v>
      </c>
      <c r="F432" s="361">
        <f>TRUNC(E432*D432,1)</f>
        <v>2842.2</v>
      </c>
      <c r="G432" s="370">
        <f>신규_단가대비표!P99</f>
        <v>0</v>
      </c>
      <c r="H432" s="361">
        <f>TRUNC(G432*D432,1)</f>
        <v>0</v>
      </c>
      <c r="I432" s="370">
        <f>신규_단가대비표!V99</f>
        <v>0</v>
      </c>
      <c r="J432" s="361">
        <f>TRUNC(I432*D432,1)</f>
        <v>0</v>
      </c>
      <c r="K432" s="370">
        <f t="shared" ref="K432:L434" si="86">TRUNC(E432+G432+I432,1)</f>
        <v>2842.2</v>
      </c>
      <c r="L432" s="361">
        <f t="shared" si="86"/>
        <v>2842.2</v>
      </c>
      <c r="M432" s="333" t="s">
        <v>378</v>
      </c>
      <c r="N432" s="329" t="s">
        <v>1278</v>
      </c>
      <c r="O432" s="329" t="s">
        <v>2695</v>
      </c>
      <c r="P432" s="329" t="s">
        <v>1105</v>
      </c>
      <c r="Q432" s="329" t="s">
        <v>1105</v>
      </c>
      <c r="R432" s="329" t="s">
        <v>1104</v>
      </c>
      <c r="AV432" s="329" t="s">
        <v>378</v>
      </c>
      <c r="AW432" s="329" t="s">
        <v>2696</v>
      </c>
      <c r="AX432" s="329" t="s">
        <v>378</v>
      </c>
      <c r="AY432" s="329" t="s">
        <v>378</v>
      </c>
    </row>
    <row r="433" spans="1:51" ht="30" customHeight="1">
      <c r="A433" s="333" t="s">
        <v>1992</v>
      </c>
      <c r="B433" s="333" t="s">
        <v>2279</v>
      </c>
      <c r="C433" s="333" t="s">
        <v>1852</v>
      </c>
      <c r="D433" s="334">
        <f>신규_공량산출근거서_일위대가!K208</f>
        <v>0.123</v>
      </c>
      <c r="E433" s="370">
        <f>신규_단가대비표!O155</f>
        <v>0</v>
      </c>
      <c r="F433" s="361">
        <f>TRUNC(E433*D433,1)</f>
        <v>0</v>
      </c>
      <c r="G433" s="370">
        <f>신규_단가대비표!P155</f>
        <v>255395.20006</v>
      </c>
      <c r="H433" s="361">
        <f>TRUNC(G433*D433,1)</f>
        <v>31413.599999999999</v>
      </c>
      <c r="I433" s="370">
        <f>신규_단가대비표!V155</f>
        <v>0</v>
      </c>
      <c r="J433" s="361">
        <f>TRUNC(I433*D433,1)</f>
        <v>0</v>
      </c>
      <c r="K433" s="370">
        <f t="shared" si="86"/>
        <v>255395.20000000001</v>
      </c>
      <c r="L433" s="361">
        <f t="shared" si="86"/>
        <v>31413.599999999999</v>
      </c>
      <c r="M433" s="333" t="s">
        <v>378</v>
      </c>
      <c r="N433" s="329" t="s">
        <v>1278</v>
      </c>
      <c r="O433" s="329" t="s">
        <v>2280</v>
      </c>
      <c r="P433" s="329" t="s">
        <v>1105</v>
      </c>
      <c r="Q433" s="329" t="s">
        <v>1105</v>
      </c>
      <c r="R433" s="329" t="s">
        <v>1104</v>
      </c>
      <c r="V433" s="330">
        <v>1</v>
      </c>
      <c r="AV433" s="329" t="s">
        <v>378</v>
      </c>
      <c r="AW433" s="329" t="s">
        <v>2697</v>
      </c>
      <c r="AX433" s="329" t="s">
        <v>378</v>
      </c>
      <c r="AY433" s="329" t="s">
        <v>378</v>
      </c>
    </row>
    <row r="434" spans="1:51" ht="30" customHeight="1">
      <c r="A434" s="333" t="s">
        <v>2217</v>
      </c>
      <c r="B434" s="333" t="s">
        <v>2218</v>
      </c>
      <c r="C434" s="333" t="s">
        <v>212</v>
      </c>
      <c r="D434" s="334">
        <v>1</v>
      </c>
      <c r="E434" s="370">
        <f>TRUNC(SUMIF(V432:V434, RIGHTB(O434, 1), H432:H434)*U434, 2)</f>
        <v>942.4</v>
      </c>
      <c r="F434" s="361">
        <f>TRUNC(E434*D434,1)</f>
        <v>942.4</v>
      </c>
      <c r="G434" s="370">
        <v>0</v>
      </c>
      <c r="H434" s="361">
        <f>TRUNC(G434*D434,1)</f>
        <v>0</v>
      </c>
      <c r="I434" s="370">
        <v>0</v>
      </c>
      <c r="J434" s="361">
        <f>TRUNC(I434*D434,1)</f>
        <v>0</v>
      </c>
      <c r="K434" s="370">
        <f t="shared" si="86"/>
        <v>942.4</v>
      </c>
      <c r="L434" s="361">
        <f t="shared" si="86"/>
        <v>942.4</v>
      </c>
      <c r="M434" s="333" t="s">
        <v>378</v>
      </c>
      <c r="N434" s="329" t="s">
        <v>1278</v>
      </c>
      <c r="O434" s="329" t="s">
        <v>2211</v>
      </c>
      <c r="P434" s="329" t="s">
        <v>1105</v>
      </c>
      <c r="Q434" s="329" t="s">
        <v>1105</v>
      </c>
      <c r="R434" s="329" t="s">
        <v>1105</v>
      </c>
      <c r="S434" s="330">
        <v>1</v>
      </c>
      <c r="T434" s="330">
        <v>0</v>
      </c>
      <c r="U434" s="330">
        <v>0.03</v>
      </c>
      <c r="V434" s="330">
        <v>1</v>
      </c>
      <c r="AV434" s="329" t="s">
        <v>378</v>
      </c>
      <c r="AW434" s="329" t="s">
        <v>2698</v>
      </c>
      <c r="AX434" s="329" t="s">
        <v>378</v>
      </c>
      <c r="AY434" s="329" t="s">
        <v>378</v>
      </c>
    </row>
    <row r="435" spans="1:51" ht="30" customHeight="1">
      <c r="A435" s="333" t="s">
        <v>2224</v>
      </c>
      <c r="B435" s="333" t="s">
        <v>378</v>
      </c>
      <c r="C435" s="333" t="s">
        <v>378</v>
      </c>
      <c r="D435" s="334"/>
      <c r="E435" s="370"/>
      <c r="F435" s="361">
        <f>TRUNC(SUMIF(N432:N434, N431, F432:F434),0)</f>
        <v>3784</v>
      </c>
      <c r="G435" s="370"/>
      <c r="H435" s="361">
        <f>TRUNC(SUMIF(N432:N434, N431, H432:H434),0)</f>
        <v>31413</v>
      </c>
      <c r="I435" s="370"/>
      <c r="J435" s="361">
        <f>TRUNC(SUMIF(N432:N434, N431, J432:J434),0)</f>
        <v>0</v>
      </c>
      <c r="K435" s="370"/>
      <c r="L435" s="361">
        <f>F435+H435+J435</f>
        <v>35197</v>
      </c>
      <c r="M435" s="333" t="s">
        <v>378</v>
      </c>
      <c r="N435" s="329" t="s">
        <v>1197</v>
      </c>
      <c r="O435" s="329" t="s">
        <v>1197</v>
      </c>
      <c r="P435" s="329" t="s">
        <v>378</v>
      </c>
      <c r="Q435" s="329" t="s">
        <v>378</v>
      </c>
      <c r="R435" s="329" t="s">
        <v>378</v>
      </c>
      <c r="AV435" s="329" t="s">
        <v>378</v>
      </c>
      <c r="AW435" s="329" t="s">
        <v>378</v>
      </c>
      <c r="AX435" s="329" t="s">
        <v>378</v>
      </c>
      <c r="AY435" s="329" t="s">
        <v>378</v>
      </c>
    </row>
    <row r="436" spans="1:51" ht="30" customHeight="1">
      <c r="A436" s="334"/>
      <c r="B436" s="334"/>
      <c r="C436" s="334"/>
      <c r="D436" s="334"/>
      <c r="E436" s="370"/>
      <c r="F436" s="361"/>
      <c r="G436" s="370"/>
      <c r="H436" s="361"/>
      <c r="I436" s="370"/>
      <c r="J436" s="361"/>
      <c r="K436" s="370"/>
      <c r="L436" s="361"/>
      <c r="M436" s="334"/>
    </row>
    <row r="437" spans="1:51" ht="30" customHeight="1">
      <c r="A437" s="718" t="s">
        <v>2699</v>
      </c>
      <c r="B437" s="718"/>
      <c r="C437" s="718"/>
      <c r="D437" s="718"/>
      <c r="E437" s="719"/>
      <c r="F437" s="720"/>
      <c r="G437" s="719"/>
      <c r="H437" s="720"/>
      <c r="I437" s="719"/>
      <c r="J437" s="720"/>
      <c r="K437" s="719"/>
      <c r="L437" s="720"/>
      <c r="M437" s="718"/>
      <c r="N437" s="329" t="s">
        <v>1281</v>
      </c>
    </row>
    <row r="438" spans="1:51" ht="30" customHeight="1">
      <c r="A438" s="333" t="s">
        <v>418</v>
      </c>
      <c r="B438" s="333" t="s">
        <v>431</v>
      </c>
      <c r="C438" s="333" t="s">
        <v>321</v>
      </c>
      <c r="D438" s="334">
        <v>1</v>
      </c>
      <c r="E438" s="370">
        <f>신규_단가대비표!O79</f>
        <v>0</v>
      </c>
      <c r="F438" s="361">
        <f>TRUNC(E438*D438,1)</f>
        <v>0</v>
      </c>
      <c r="G438" s="370">
        <f>신규_단가대비표!P79</f>
        <v>0</v>
      </c>
      <c r="H438" s="361">
        <f>TRUNC(G438*D438,1)</f>
        <v>0</v>
      </c>
      <c r="I438" s="370">
        <f>신규_단가대비표!V79</f>
        <v>0</v>
      </c>
      <c r="J438" s="361">
        <f>TRUNC(I438*D438,1)</f>
        <v>0</v>
      </c>
      <c r="K438" s="370">
        <f t="shared" ref="K438:L440" si="87">TRUNC(E438+G438+I438,1)</f>
        <v>0</v>
      </c>
      <c r="L438" s="361">
        <f t="shared" si="87"/>
        <v>0</v>
      </c>
      <c r="M438" s="333" t="s">
        <v>378</v>
      </c>
      <c r="N438" s="329" t="s">
        <v>1281</v>
      </c>
      <c r="O438" s="329" t="s">
        <v>2700</v>
      </c>
      <c r="P438" s="329" t="s">
        <v>1105</v>
      </c>
      <c r="Q438" s="329" t="s">
        <v>1105</v>
      </c>
      <c r="R438" s="329" t="s">
        <v>1104</v>
      </c>
      <c r="AV438" s="329" t="s">
        <v>378</v>
      </c>
      <c r="AW438" s="329" t="s">
        <v>2701</v>
      </c>
      <c r="AX438" s="329" t="s">
        <v>378</v>
      </c>
      <c r="AY438" s="329" t="s">
        <v>378</v>
      </c>
    </row>
    <row r="439" spans="1:51" ht="30" customHeight="1">
      <c r="A439" s="333" t="s">
        <v>1851</v>
      </c>
      <c r="B439" s="333" t="s">
        <v>2221</v>
      </c>
      <c r="C439" s="333" t="s">
        <v>1852</v>
      </c>
      <c r="D439" s="334">
        <f>신규_공량산출근거서_일위대가!K211</f>
        <v>1.23</v>
      </c>
      <c r="E439" s="370">
        <f>신규_단가대비표!O154</f>
        <v>0</v>
      </c>
      <c r="F439" s="361">
        <f>TRUNC(E439*D439,1)</f>
        <v>0</v>
      </c>
      <c r="G439" s="370">
        <f>신규_단가대비표!P154</f>
        <v>234998.43458</v>
      </c>
      <c r="H439" s="361">
        <f>TRUNC(G439*D439,1)</f>
        <v>289048</v>
      </c>
      <c r="I439" s="370">
        <f>신규_단가대비표!V154</f>
        <v>0</v>
      </c>
      <c r="J439" s="361">
        <f>TRUNC(I439*D439,1)</f>
        <v>0</v>
      </c>
      <c r="K439" s="370">
        <f t="shared" si="87"/>
        <v>234998.39999999999</v>
      </c>
      <c r="L439" s="361">
        <f t="shared" si="87"/>
        <v>289048</v>
      </c>
      <c r="M439" s="333" t="s">
        <v>378</v>
      </c>
      <c r="N439" s="329" t="s">
        <v>1281</v>
      </c>
      <c r="O439" s="329" t="s">
        <v>2222</v>
      </c>
      <c r="P439" s="329" t="s">
        <v>1105</v>
      </c>
      <c r="Q439" s="329" t="s">
        <v>1105</v>
      </c>
      <c r="R439" s="329" t="s">
        <v>1104</v>
      </c>
      <c r="V439" s="330">
        <v>1</v>
      </c>
      <c r="AV439" s="329" t="s">
        <v>378</v>
      </c>
      <c r="AW439" s="329" t="s">
        <v>2702</v>
      </c>
      <c r="AX439" s="329" t="s">
        <v>378</v>
      </c>
      <c r="AY439" s="329" t="s">
        <v>378</v>
      </c>
    </row>
    <row r="440" spans="1:51" ht="30" customHeight="1">
      <c r="A440" s="333" t="s">
        <v>2217</v>
      </c>
      <c r="B440" s="333" t="s">
        <v>2218</v>
      </c>
      <c r="C440" s="333" t="s">
        <v>212</v>
      </c>
      <c r="D440" s="334">
        <v>1</v>
      </c>
      <c r="E440" s="370">
        <f>TRUNC(SUMIF(V438:V440, RIGHTB(O440, 1), H438:H440)*U440, 2)</f>
        <v>8671.44</v>
      </c>
      <c r="F440" s="361">
        <f>TRUNC(E440*D440,1)</f>
        <v>8671.4</v>
      </c>
      <c r="G440" s="370">
        <v>0</v>
      </c>
      <c r="H440" s="361">
        <f>TRUNC(G440*D440,1)</f>
        <v>0</v>
      </c>
      <c r="I440" s="370">
        <v>0</v>
      </c>
      <c r="J440" s="361">
        <f>TRUNC(I440*D440,1)</f>
        <v>0</v>
      </c>
      <c r="K440" s="370">
        <f t="shared" si="87"/>
        <v>8671.4</v>
      </c>
      <c r="L440" s="361">
        <f t="shared" si="87"/>
        <v>8671.4</v>
      </c>
      <c r="M440" s="333" t="s">
        <v>378</v>
      </c>
      <c r="N440" s="329" t="s">
        <v>1281</v>
      </c>
      <c r="O440" s="329" t="s">
        <v>2211</v>
      </c>
      <c r="P440" s="329" t="s">
        <v>1105</v>
      </c>
      <c r="Q440" s="329" t="s">
        <v>1105</v>
      </c>
      <c r="R440" s="329" t="s">
        <v>1105</v>
      </c>
      <c r="S440" s="330">
        <v>1</v>
      </c>
      <c r="T440" s="330">
        <v>0</v>
      </c>
      <c r="U440" s="330">
        <v>0.03</v>
      </c>
      <c r="V440" s="330">
        <v>1</v>
      </c>
      <c r="AV440" s="329" t="s">
        <v>378</v>
      </c>
      <c r="AW440" s="329" t="s">
        <v>2703</v>
      </c>
      <c r="AX440" s="329" t="s">
        <v>378</v>
      </c>
      <c r="AY440" s="329" t="s">
        <v>378</v>
      </c>
    </row>
    <row r="441" spans="1:51" ht="30" customHeight="1">
      <c r="A441" s="333" t="s">
        <v>2224</v>
      </c>
      <c r="B441" s="333" t="s">
        <v>378</v>
      </c>
      <c r="C441" s="333" t="s">
        <v>378</v>
      </c>
      <c r="D441" s="334"/>
      <c r="E441" s="370"/>
      <c r="F441" s="361">
        <f>TRUNC(SUMIF(N438:N440, N437, F438:F440),0)</f>
        <v>8671</v>
      </c>
      <c r="G441" s="370"/>
      <c r="H441" s="361">
        <f>TRUNC(SUMIF(N438:N440, N437, H438:H440),0)</f>
        <v>289048</v>
      </c>
      <c r="I441" s="370"/>
      <c r="J441" s="361">
        <f>TRUNC(SUMIF(N438:N440, N437, J438:J440),0)</f>
        <v>0</v>
      </c>
      <c r="K441" s="370"/>
      <c r="L441" s="361">
        <f>F441+H441+J441</f>
        <v>297719</v>
      </c>
      <c r="M441" s="333" t="s">
        <v>378</v>
      </c>
      <c r="N441" s="329" t="s">
        <v>1197</v>
      </c>
      <c r="O441" s="329" t="s">
        <v>1197</v>
      </c>
      <c r="P441" s="329" t="s">
        <v>378</v>
      </c>
      <c r="Q441" s="329" t="s">
        <v>378</v>
      </c>
      <c r="R441" s="329" t="s">
        <v>378</v>
      </c>
      <c r="AV441" s="329" t="s">
        <v>378</v>
      </c>
      <c r="AW441" s="329" t="s">
        <v>378</v>
      </c>
      <c r="AX441" s="329" t="s">
        <v>378</v>
      </c>
      <c r="AY441" s="329" t="s">
        <v>378</v>
      </c>
    </row>
    <row r="442" spans="1:51" ht="30" customHeight="1">
      <c r="A442" s="334"/>
      <c r="B442" s="334"/>
      <c r="C442" s="334"/>
      <c r="D442" s="334"/>
      <c r="E442" s="370"/>
      <c r="F442" s="361"/>
      <c r="G442" s="370"/>
      <c r="H442" s="361"/>
      <c r="I442" s="370"/>
      <c r="J442" s="361"/>
      <c r="K442" s="370"/>
      <c r="L442" s="361"/>
      <c r="M442" s="334"/>
    </row>
    <row r="443" spans="1:51" ht="30" customHeight="1">
      <c r="A443" s="718" t="s">
        <v>2704</v>
      </c>
      <c r="B443" s="718"/>
      <c r="C443" s="718"/>
      <c r="D443" s="718"/>
      <c r="E443" s="719"/>
      <c r="F443" s="720"/>
      <c r="G443" s="719"/>
      <c r="H443" s="720"/>
      <c r="I443" s="719"/>
      <c r="J443" s="720"/>
      <c r="K443" s="719"/>
      <c r="L443" s="720"/>
      <c r="M443" s="718"/>
      <c r="N443" s="329" t="s">
        <v>1284</v>
      </c>
    </row>
    <row r="444" spans="1:51" ht="30" customHeight="1">
      <c r="A444" s="333" t="s">
        <v>418</v>
      </c>
      <c r="B444" s="333" t="s">
        <v>432</v>
      </c>
      <c r="C444" s="333" t="s">
        <v>321</v>
      </c>
      <c r="D444" s="334">
        <v>1</v>
      </c>
      <c r="E444" s="370">
        <f>신규_단가대비표!O80</f>
        <v>0</v>
      </c>
      <c r="F444" s="361">
        <f>TRUNC(E444*D444,1)</f>
        <v>0</v>
      </c>
      <c r="G444" s="370">
        <f>신규_단가대비표!P80</f>
        <v>0</v>
      </c>
      <c r="H444" s="361">
        <f>TRUNC(G444*D444,1)</f>
        <v>0</v>
      </c>
      <c r="I444" s="370">
        <f>신규_단가대비표!V80</f>
        <v>0</v>
      </c>
      <c r="J444" s="361">
        <f>TRUNC(I444*D444,1)</f>
        <v>0</v>
      </c>
      <c r="K444" s="370">
        <f t="shared" ref="K444:L446" si="88">TRUNC(E444+G444+I444,1)</f>
        <v>0</v>
      </c>
      <c r="L444" s="361">
        <f t="shared" si="88"/>
        <v>0</v>
      </c>
      <c r="M444" s="333" t="s">
        <v>378</v>
      </c>
      <c r="N444" s="329" t="s">
        <v>1284</v>
      </c>
      <c r="O444" s="329" t="s">
        <v>2705</v>
      </c>
      <c r="P444" s="329" t="s">
        <v>1105</v>
      </c>
      <c r="Q444" s="329" t="s">
        <v>1105</v>
      </c>
      <c r="R444" s="329" t="s">
        <v>1104</v>
      </c>
      <c r="AV444" s="329" t="s">
        <v>378</v>
      </c>
      <c r="AW444" s="329" t="s">
        <v>2706</v>
      </c>
      <c r="AX444" s="329" t="s">
        <v>378</v>
      </c>
      <c r="AY444" s="329" t="s">
        <v>378</v>
      </c>
    </row>
    <row r="445" spans="1:51" ht="30" customHeight="1">
      <c r="A445" s="333" t="s">
        <v>1851</v>
      </c>
      <c r="B445" s="333" t="s">
        <v>2221</v>
      </c>
      <c r="C445" s="333" t="s">
        <v>1852</v>
      </c>
      <c r="D445" s="334">
        <f>신규_공량산출근거서_일위대가!K214</f>
        <v>1.23</v>
      </c>
      <c r="E445" s="370">
        <f>신규_단가대비표!O154</f>
        <v>0</v>
      </c>
      <c r="F445" s="361">
        <f>TRUNC(E445*D445,1)</f>
        <v>0</v>
      </c>
      <c r="G445" s="370">
        <f>신규_단가대비표!P154</f>
        <v>234998.43458</v>
      </c>
      <c r="H445" s="361">
        <f>TRUNC(G445*D445,1)</f>
        <v>289048</v>
      </c>
      <c r="I445" s="370">
        <f>신규_단가대비표!V154</f>
        <v>0</v>
      </c>
      <c r="J445" s="361">
        <f>TRUNC(I445*D445,1)</f>
        <v>0</v>
      </c>
      <c r="K445" s="370">
        <f t="shared" si="88"/>
        <v>234998.39999999999</v>
      </c>
      <c r="L445" s="361">
        <f t="shared" si="88"/>
        <v>289048</v>
      </c>
      <c r="M445" s="333" t="s">
        <v>378</v>
      </c>
      <c r="N445" s="329" t="s">
        <v>1284</v>
      </c>
      <c r="O445" s="329" t="s">
        <v>2222</v>
      </c>
      <c r="P445" s="329" t="s">
        <v>1105</v>
      </c>
      <c r="Q445" s="329" t="s">
        <v>1105</v>
      </c>
      <c r="R445" s="329" t="s">
        <v>1104</v>
      </c>
      <c r="V445" s="330">
        <v>1</v>
      </c>
      <c r="AV445" s="329" t="s">
        <v>378</v>
      </c>
      <c r="AW445" s="329" t="s">
        <v>2707</v>
      </c>
      <c r="AX445" s="329" t="s">
        <v>378</v>
      </c>
      <c r="AY445" s="329" t="s">
        <v>378</v>
      </c>
    </row>
    <row r="446" spans="1:51" ht="30" customHeight="1">
      <c r="A446" s="333" t="s">
        <v>2217</v>
      </c>
      <c r="B446" s="333" t="s">
        <v>2218</v>
      </c>
      <c r="C446" s="333" t="s">
        <v>212</v>
      </c>
      <c r="D446" s="334">
        <v>1</v>
      </c>
      <c r="E446" s="370">
        <f>TRUNC(SUMIF(V444:V446, RIGHTB(O446, 1), H444:H446)*U446, 2)</f>
        <v>8671.44</v>
      </c>
      <c r="F446" s="361">
        <f>TRUNC(E446*D446,1)</f>
        <v>8671.4</v>
      </c>
      <c r="G446" s="370">
        <v>0</v>
      </c>
      <c r="H446" s="361">
        <f>TRUNC(G446*D446,1)</f>
        <v>0</v>
      </c>
      <c r="I446" s="370">
        <v>0</v>
      </c>
      <c r="J446" s="361">
        <f>TRUNC(I446*D446,1)</f>
        <v>0</v>
      </c>
      <c r="K446" s="370">
        <f t="shared" si="88"/>
        <v>8671.4</v>
      </c>
      <c r="L446" s="361">
        <f t="shared" si="88"/>
        <v>8671.4</v>
      </c>
      <c r="M446" s="333" t="s">
        <v>378</v>
      </c>
      <c r="N446" s="329" t="s">
        <v>1284</v>
      </c>
      <c r="O446" s="329" t="s">
        <v>2211</v>
      </c>
      <c r="P446" s="329" t="s">
        <v>1105</v>
      </c>
      <c r="Q446" s="329" t="s">
        <v>1105</v>
      </c>
      <c r="R446" s="329" t="s">
        <v>1105</v>
      </c>
      <c r="S446" s="330">
        <v>1</v>
      </c>
      <c r="T446" s="330">
        <v>0</v>
      </c>
      <c r="U446" s="330">
        <v>0.03</v>
      </c>
      <c r="V446" s="330">
        <v>1</v>
      </c>
      <c r="AV446" s="329" t="s">
        <v>378</v>
      </c>
      <c r="AW446" s="329" t="s">
        <v>2708</v>
      </c>
      <c r="AX446" s="329" t="s">
        <v>378</v>
      </c>
      <c r="AY446" s="329" t="s">
        <v>378</v>
      </c>
    </row>
    <row r="447" spans="1:51" ht="30" customHeight="1">
      <c r="A447" s="333" t="s">
        <v>2224</v>
      </c>
      <c r="B447" s="333" t="s">
        <v>378</v>
      </c>
      <c r="C447" s="333" t="s">
        <v>378</v>
      </c>
      <c r="D447" s="334"/>
      <c r="E447" s="370"/>
      <c r="F447" s="361">
        <f>TRUNC(SUMIF(N444:N446, N443, F444:F446),0)</f>
        <v>8671</v>
      </c>
      <c r="G447" s="370"/>
      <c r="H447" s="361">
        <f>TRUNC(SUMIF(N444:N446, N443, H444:H446),0)</f>
        <v>289048</v>
      </c>
      <c r="I447" s="370"/>
      <c r="J447" s="361">
        <f>TRUNC(SUMIF(N444:N446, N443, J444:J446),0)</f>
        <v>0</v>
      </c>
      <c r="K447" s="370"/>
      <c r="L447" s="361">
        <f>F447+H447+J447</f>
        <v>297719</v>
      </c>
      <c r="M447" s="333" t="s">
        <v>378</v>
      </c>
      <c r="N447" s="329" t="s">
        <v>1197</v>
      </c>
      <c r="O447" s="329" t="s">
        <v>1197</v>
      </c>
      <c r="P447" s="329" t="s">
        <v>378</v>
      </c>
      <c r="Q447" s="329" t="s">
        <v>378</v>
      </c>
      <c r="R447" s="329" t="s">
        <v>378</v>
      </c>
      <c r="AV447" s="329" t="s">
        <v>378</v>
      </c>
      <c r="AW447" s="329" t="s">
        <v>378</v>
      </c>
      <c r="AX447" s="329" t="s">
        <v>378</v>
      </c>
      <c r="AY447" s="329" t="s">
        <v>378</v>
      </c>
    </row>
    <row r="448" spans="1:51" ht="30" customHeight="1">
      <c r="A448" s="334"/>
      <c r="B448" s="334"/>
      <c r="C448" s="334"/>
      <c r="D448" s="334"/>
      <c r="E448" s="370"/>
      <c r="F448" s="361"/>
      <c r="G448" s="370"/>
      <c r="H448" s="361"/>
      <c r="I448" s="370"/>
      <c r="J448" s="361"/>
      <c r="K448" s="370"/>
      <c r="L448" s="361"/>
      <c r="M448" s="334"/>
    </row>
    <row r="449" spans="1:51" ht="30" customHeight="1">
      <c r="A449" s="718" t="s">
        <v>2709</v>
      </c>
      <c r="B449" s="718"/>
      <c r="C449" s="718"/>
      <c r="D449" s="718"/>
      <c r="E449" s="719"/>
      <c r="F449" s="720"/>
      <c r="G449" s="719"/>
      <c r="H449" s="720"/>
      <c r="I449" s="719"/>
      <c r="J449" s="720"/>
      <c r="K449" s="719"/>
      <c r="L449" s="720"/>
      <c r="M449" s="718"/>
      <c r="N449" s="329" t="s">
        <v>1287</v>
      </c>
    </row>
    <row r="450" spans="1:51" ht="30" customHeight="1">
      <c r="A450" s="333" t="s">
        <v>418</v>
      </c>
      <c r="B450" s="333" t="s">
        <v>433</v>
      </c>
      <c r="C450" s="333" t="s">
        <v>321</v>
      </c>
      <c r="D450" s="334">
        <v>1</v>
      </c>
      <c r="E450" s="370">
        <f>신규_단가대비표!O81</f>
        <v>0</v>
      </c>
      <c r="F450" s="361">
        <f>TRUNC(E450*D450,1)</f>
        <v>0</v>
      </c>
      <c r="G450" s="370">
        <f>신규_단가대비표!P81</f>
        <v>0</v>
      </c>
      <c r="H450" s="361">
        <f>TRUNC(G450*D450,1)</f>
        <v>0</v>
      </c>
      <c r="I450" s="370">
        <f>신규_단가대비표!V81</f>
        <v>0</v>
      </c>
      <c r="J450" s="361">
        <f>TRUNC(I450*D450,1)</f>
        <v>0</v>
      </c>
      <c r="K450" s="370">
        <f t="shared" ref="K450:L452" si="89">TRUNC(E450+G450+I450,1)</f>
        <v>0</v>
      </c>
      <c r="L450" s="361">
        <f t="shared" si="89"/>
        <v>0</v>
      </c>
      <c r="M450" s="333" t="s">
        <v>378</v>
      </c>
      <c r="N450" s="329" t="s">
        <v>1287</v>
      </c>
      <c r="O450" s="329" t="s">
        <v>2710</v>
      </c>
      <c r="P450" s="329" t="s">
        <v>1105</v>
      </c>
      <c r="Q450" s="329" t="s">
        <v>1105</v>
      </c>
      <c r="R450" s="329" t="s">
        <v>1104</v>
      </c>
      <c r="AV450" s="329" t="s">
        <v>378</v>
      </c>
      <c r="AW450" s="329" t="s">
        <v>2711</v>
      </c>
      <c r="AX450" s="329" t="s">
        <v>378</v>
      </c>
      <c r="AY450" s="329" t="s">
        <v>378</v>
      </c>
    </row>
    <row r="451" spans="1:51" ht="30" customHeight="1">
      <c r="A451" s="333" t="s">
        <v>1851</v>
      </c>
      <c r="B451" s="333" t="s">
        <v>2221</v>
      </c>
      <c r="C451" s="333" t="s">
        <v>1852</v>
      </c>
      <c r="D451" s="334">
        <f>신규_공량산출근거서_일위대가!K217</f>
        <v>1.23</v>
      </c>
      <c r="E451" s="370">
        <f>신규_단가대비표!O154</f>
        <v>0</v>
      </c>
      <c r="F451" s="361">
        <f>TRUNC(E451*D451,1)</f>
        <v>0</v>
      </c>
      <c r="G451" s="370">
        <f>신규_단가대비표!P154</f>
        <v>234998.43458</v>
      </c>
      <c r="H451" s="361">
        <f>TRUNC(G451*D451,1)</f>
        <v>289048</v>
      </c>
      <c r="I451" s="370">
        <f>신규_단가대비표!V154</f>
        <v>0</v>
      </c>
      <c r="J451" s="361">
        <f>TRUNC(I451*D451,1)</f>
        <v>0</v>
      </c>
      <c r="K451" s="370">
        <f t="shared" si="89"/>
        <v>234998.39999999999</v>
      </c>
      <c r="L451" s="361">
        <f t="shared" si="89"/>
        <v>289048</v>
      </c>
      <c r="M451" s="333" t="s">
        <v>378</v>
      </c>
      <c r="N451" s="329" t="s">
        <v>1287</v>
      </c>
      <c r="O451" s="329" t="s">
        <v>2222</v>
      </c>
      <c r="P451" s="329" t="s">
        <v>1105</v>
      </c>
      <c r="Q451" s="329" t="s">
        <v>1105</v>
      </c>
      <c r="R451" s="329" t="s">
        <v>1104</v>
      </c>
      <c r="V451" s="330">
        <v>1</v>
      </c>
      <c r="AV451" s="329" t="s">
        <v>378</v>
      </c>
      <c r="AW451" s="329" t="s">
        <v>2712</v>
      </c>
      <c r="AX451" s="329" t="s">
        <v>378</v>
      </c>
      <c r="AY451" s="329" t="s">
        <v>378</v>
      </c>
    </row>
    <row r="452" spans="1:51" ht="30" customHeight="1">
      <c r="A452" s="333" t="s">
        <v>2217</v>
      </c>
      <c r="B452" s="333" t="s">
        <v>2218</v>
      </c>
      <c r="C452" s="333" t="s">
        <v>212</v>
      </c>
      <c r="D452" s="334">
        <v>1</v>
      </c>
      <c r="E452" s="370">
        <f>TRUNC(SUMIF(V450:V452, RIGHTB(O452, 1), H450:H452)*U452, 2)</f>
        <v>8671.44</v>
      </c>
      <c r="F452" s="361">
        <f>TRUNC(E452*D452,1)</f>
        <v>8671.4</v>
      </c>
      <c r="G452" s="370">
        <v>0</v>
      </c>
      <c r="H452" s="361">
        <f>TRUNC(G452*D452,1)</f>
        <v>0</v>
      </c>
      <c r="I452" s="370">
        <v>0</v>
      </c>
      <c r="J452" s="361">
        <f>TRUNC(I452*D452,1)</f>
        <v>0</v>
      </c>
      <c r="K452" s="370">
        <f t="shared" si="89"/>
        <v>8671.4</v>
      </c>
      <c r="L452" s="361">
        <f t="shared" si="89"/>
        <v>8671.4</v>
      </c>
      <c r="M452" s="333" t="s">
        <v>378</v>
      </c>
      <c r="N452" s="329" t="s">
        <v>1287</v>
      </c>
      <c r="O452" s="329" t="s">
        <v>2211</v>
      </c>
      <c r="P452" s="329" t="s">
        <v>1105</v>
      </c>
      <c r="Q452" s="329" t="s">
        <v>1105</v>
      </c>
      <c r="R452" s="329" t="s">
        <v>1105</v>
      </c>
      <c r="S452" s="330">
        <v>1</v>
      </c>
      <c r="T452" s="330">
        <v>0</v>
      </c>
      <c r="U452" s="330">
        <v>0.03</v>
      </c>
      <c r="V452" s="330">
        <v>1</v>
      </c>
      <c r="AV452" s="329" t="s">
        <v>378</v>
      </c>
      <c r="AW452" s="329" t="s">
        <v>2713</v>
      </c>
      <c r="AX452" s="329" t="s">
        <v>378</v>
      </c>
      <c r="AY452" s="329" t="s">
        <v>378</v>
      </c>
    </row>
    <row r="453" spans="1:51" ht="30" customHeight="1">
      <c r="A453" s="333" t="s">
        <v>2224</v>
      </c>
      <c r="B453" s="333" t="s">
        <v>378</v>
      </c>
      <c r="C453" s="333" t="s">
        <v>378</v>
      </c>
      <c r="D453" s="334"/>
      <c r="E453" s="370"/>
      <c r="F453" s="361">
        <f>TRUNC(SUMIF(N450:N452, N449, F450:F452),0)</f>
        <v>8671</v>
      </c>
      <c r="G453" s="370"/>
      <c r="H453" s="361">
        <f>TRUNC(SUMIF(N450:N452, N449, H450:H452),0)</f>
        <v>289048</v>
      </c>
      <c r="I453" s="370"/>
      <c r="J453" s="361">
        <f>TRUNC(SUMIF(N450:N452, N449, J450:J452),0)</f>
        <v>0</v>
      </c>
      <c r="K453" s="370"/>
      <c r="L453" s="361">
        <f>F453+H453+J453</f>
        <v>297719</v>
      </c>
      <c r="M453" s="333" t="s">
        <v>378</v>
      </c>
      <c r="N453" s="329" t="s">
        <v>1197</v>
      </c>
      <c r="O453" s="329" t="s">
        <v>1197</v>
      </c>
      <c r="P453" s="329" t="s">
        <v>378</v>
      </c>
      <c r="Q453" s="329" t="s">
        <v>378</v>
      </c>
      <c r="R453" s="329" t="s">
        <v>378</v>
      </c>
      <c r="AV453" s="329" t="s">
        <v>378</v>
      </c>
      <c r="AW453" s="329" t="s">
        <v>378</v>
      </c>
      <c r="AX453" s="329" t="s">
        <v>378</v>
      </c>
      <c r="AY453" s="329" t="s">
        <v>378</v>
      </c>
    </row>
    <row r="454" spans="1:51" ht="30" customHeight="1">
      <c r="A454" s="334"/>
      <c r="B454" s="334"/>
      <c r="C454" s="334"/>
      <c r="D454" s="334"/>
      <c r="E454" s="370"/>
      <c r="F454" s="361"/>
      <c r="G454" s="370"/>
      <c r="H454" s="361"/>
      <c r="I454" s="370"/>
      <c r="J454" s="361"/>
      <c r="K454" s="370"/>
      <c r="L454" s="361"/>
      <c r="M454" s="334"/>
    </row>
    <row r="455" spans="1:51" ht="30" customHeight="1">
      <c r="A455" s="718" t="s">
        <v>2714</v>
      </c>
      <c r="B455" s="718"/>
      <c r="C455" s="718"/>
      <c r="D455" s="718"/>
      <c r="E455" s="719"/>
      <c r="F455" s="720"/>
      <c r="G455" s="719"/>
      <c r="H455" s="720"/>
      <c r="I455" s="719"/>
      <c r="J455" s="720"/>
      <c r="K455" s="719"/>
      <c r="L455" s="720"/>
      <c r="M455" s="718"/>
      <c r="N455" s="329" t="s">
        <v>1290</v>
      </c>
    </row>
    <row r="456" spans="1:51" ht="30" customHeight="1">
      <c r="A456" s="333" t="s">
        <v>418</v>
      </c>
      <c r="B456" s="333" t="s">
        <v>434</v>
      </c>
      <c r="C456" s="333" t="s">
        <v>321</v>
      </c>
      <c r="D456" s="334">
        <v>1</v>
      </c>
      <c r="E456" s="370">
        <f>신규_단가대비표!O82</f>
        <v>0</v>
      </c>
      <c r="F456" s="361">
        <f>TRUNC(E456*D456,1)</f>
        <v>0</v>
      </c>
      <c r="G456" s="370">
        <f>신규_단가대비표!P82</f>
        <v>0</v>
      </c>
      <c r="H456" s="361">
        <f>TRUNC(G456*D456,1)</f>
        <v>0</v>
      </c>
      <c r="I456" s="370">
        <f>신규_단가대비표!V82</f>
        <v>0</v>
      </c>
      <c r="J456" s="361">
        <f>TRUNC(I456*D456,1)</f>
        <v>0</v>
      </c>
      <c r="K456" s="370">
        <f t="shared" ref="K456:L458" si="90">TRUNC(E456+G456+I456,1)</f>
        <v>0</v>
      </c>
      <c r="L456" s="361">
        <f t="shared" si="90"/>
        <v>0</v>
      </c>
      <c r="M456" s="333" t="s">
        <v>378</v>
      </c>
      <c r="N456" s="329" t="s">
        <v>1290</v>
      </c>
      <c r="O456" s="329" t="s">
        <v>2715</v>
      </c>
      <c r="P456" s="329" t="s">
        <v>1105</v>
      </c>
      <c r="Q456" s="329" t="s">
        <v>1105</v>
      </c>
      <c r="R456" s="329" t="s">
        <v>1104</v>
      </c>
      <c r="AV456" s="329" t="s">
        <v>378</v>
      </c>
      <c r="AW456" s="329" t="s">
        <v>2716</v>
      </c>
      <c r="AX456" s="329" t="s">
        <v>378</v>
      </c>
      <c r="AY456" s="329" t="s">
        <v>378</v>
      </c>
    </row>
    <row r="457" spans="1:51" ht="30" customHeight="1">
      <c r="A457" s="333" t="s">
        <v>1851</v>
      </c>
      <c r="B457" s="333" t="s">
        <v>2221</v>
      </c>
      <c r="C457" s="333" t="s">
        <v>1852</v>
      </c>
      <c r="D457" s="334">
        <f>신규_공량산출근거서_일위대가!K220</f>
        <v>0.95</v>
      </c>
      <c r="E457" s="370">
        <f>신규_단가대비표!O154</f>
        <v>0</v>
      </c>
      <c r="F457" s="361">
        <f>TRUNC(E457*D457,1)</f>
        <v>0</v>
      </c>
      <c r="G457" s="370">
        <f>신규_단가대비표!P154</f>
        <v>234998.43458</v>
      </c>
      <c r="H457" s="361">
        <f>TRUNC(G457*D457,1)</f>
        <v>223248.5</v>
      </c>
      <c r="I457" s="370">
        <f>신규_단가대비표!V154</f>
        <v>0</v>
      </c>
      <c r="J457" s="361">
        <f>TRUNC(I457*D457,1)</f>
        <v>0</v>
      </c>
      <c r="K457" s="370">
        <f t="shared" si="90"/>
        <v>234998.39999999999</v>
      </c>
      <c r="L457" s="361">
        <f t="shared" si="90"/>
        <v>223248.5</v>
      </c>
      <c r="M457" s="333" t="s">
        <v>378</v>
      </c>
      <c r="N457" s="329" t="s">
        <v>1290</v>
      </c>
      <c r="O457" s="329" t="s">
        <v>2222</v>
      </c>
      <c r="P457" s="329" t="s">
        <v>1105</v>
      </c>
      <c r="Q457" s="329" t="s">
        <v>1105</v>
      </c>
      <c r="R457" s="329" t="s">
        <v>1104</v>
      </c>
      <c r="V457" s="330">
        <v>1</v>
      </c>
      <c r="AV457" s="329" t="s">
        <v>378</v>
      </c>
      <c r="AW457" s="329" t="s">
        <v>2717</v>
      </c>
      <c r="AX457" s="329" t="s">
        <v>378</v>
      </c>
      <c r="AY457" s="329" t="s">
        <v>378</v>
      </c>
    </row>
    <row r="458" spans="1:51" ht="30" customHeight="1">
      <c r="A458" s="333" t="s">
        <v>2217</v>
      </c>
      <c r="B458" s="333" t="s">
        <v>2218</v>
      </c>
      <c r="C458" s="333" t="s">
        <v>212</v>
      </c>
      <c r="D458" s="334">
        <v>1</v>
      </c>
      <c r="E458" s="370">
        <f>TRUNC(SUMIF(V456:V458, RIGHTB(O458, 1), H456:H458)*U458, 2)</f>
        <v>6697.45</v>
      </c>
      <c r="F458" s="361">
        <f>TRUNC(E458*D458,1)</f>
        <v>6697.4</v>
      </c>
      <c r="G458" s="370">
        <v>0</v>
      </c>
      <c r="H458" s="361">
        <f>TRUNC(G458*D458,1)</f>
        <v>0</v>
      </c>
      <c r="I458" s="370">
        <v>0</v>
      </c>
      <c r="J458" s="361">
        <f>TRUNC(I458*D458,1)</f>
        <v>0</v>
      </c>
      <c r="K458" s="370">
        <f t="shared" si="90"/>
        <v>6697.4</v>
      </c>
      <c r="L458" s="361">
        <f t="shared" si="90"/>
        <v>6697.4</v>
      </c>
      <c r="M458" s="333" t="s">
        <v>378</v>
      </c>
      <c r="N458" s="329" t="s">
        <v>1290</v>
      </c>
      <c r="O458" s="329" t="s">
        <v>2211</v>
      </c>
      <c r="P458" s="329" t="s">
        <v>1105</v>
      </c>
      <c r="Q458" s="329" t="s">
        <v>1105</v>
      </c>
      <c r="R458" s="329" t="s">
        <v>1105</v>
      </c>
      <c r="S458" s="330">
        <v>1</v>
      </c>
      <c r="T458" s="330">
        <v>0</v>
      </c>
      <c r="U458" s="330">
        <v>0.03</v>
      </c>
      <c r="V458" s="330">
        <v>1</v>
      </c>
      <c r="AV458" s="329" t="s">
        <v>378</v>
      </c>
      <c r="AW458" s="329" t="s">
        <v>2718</v>
      </c>
      <c r="AX458" s="329" t="s">
        <v>378</v>
      </c>
      <c r="AY458" s="329" t="s">
        <v>378</v>
      </c>
    </row>
    <row r="459" spans="1:51" ht="30" customHeight="1">
      <c r="A459" s="333" t="s">
        <v>2224</v>
      </c>
      <c r="B459" s="333" t="s">
        <v>378</v>
      </c>
      <c r="C459" s="333" t="s">
        <v>378</v>
      </c>
      <c r="D459" s="334"/>
      <c r="E459" s="370"/>
      <c r="F459" s="361">
        <f>TRUNC(SUMIF(N456:N458, N455, F456:F458),0)</f>
        <v>6697</v>
      </c>
      <c r="G459" s="370"/>
      <c r="H459" s="361">
        <f>TRUNC(SUMIF(N456:N458, N455, H456:H458),0)</f>
        <v>223248</v>
      </c>
      <c r="I459" s="370"/>
      <c r="J459" s="361">
        <f>TRUNC(SUMIF(N456:N458, N455, J456:J458),0)</f>
        <v>0</v>
      </c>
      <c r="K459" s="370"/>
      <c r="L459" s="361">
        <f>F459+H459+J459</f>
        <v>229945</v>
      </c>
      <c r="M459" s="333" t="s">
        <v>378</v>
      </c>
      <c r="N459" s="329" t="s">
        <v>1197</v>
      </c>
      <c r="O459" s="329" t="s">
        <v>1197</v>
      </c>
      <c r="P459" s="329" t="s">
        <v>378</v>
      </c>
      <c r="Q459" s="329" t="s">
        <v>378</v>
      </c>
      <c r="R459" s="329" t="s">
        <v>378</v>
      </c>
      <c r="AV459" s="329" t="s">
        <v>378</v>
      </c>
      <c r="AW459" s="329" t="s">
        <v>378</v>
      </c>
      <c r="AX459" s="329" t="s">
        <v>378</v>
      </c>
      <c r="AY459" s="329" t="s">
        <v>378</v>
      </c>
    </row>
    <row r="460" spans="1:51" ht="30" customHeight="1">
      <c r="A460" s="334"/>
      <c r="B460" s="334"/>
      <c r="C460" s="334"/>
      <c r="D460" s="334"/>
      <c r="E460" s="370"/>
      <c r="F460" s="361"/>
      <c r="G460" s="370"/>
      <c r="H460" s="361"/>
      <c r="I460" s="370"/>
      <c r="J460" s="361"/>
      <c r="K460" s="370"/>
      <c r="L460" s="361"/>
      <c r="M460" s="334"/>
    </row>
    <row r="461" spans="1:51" ht="30" customHeight="1">
      <c r="A461" s="718" t="s">
        <v>2719</v>
      </c>
      <c r="B461" s="718"/>
      <c r="C461" s="718"/>
      <c r="D461" s="718"/>
      <c r="E461" s="719"/>
      <c r="F461" s="720"/>
      <c r="G461" s="719"/>
      <c r="H461" s="720"/>
      <c r="I461" s="719"/>
      <c r="J461" s="720"/>
      <c r="K461" s="719"/>
      <c r="L461" s="720"/>
      <c r="M461" s="718"/>
      <c r="N461" s="329" t="s">
        <v>1293</v>
      </c>
    </row>
    <row r="462" spans="1:51" ht="30" customHeight="1">
      <c r="A462" s="333" t="s">
        <v>418</v>
      </c>
      <c r="B462" s="333" t="s">
        <v>435</v>
      </c>
      <c r="C462" s="333" t="s">
        <v>321</v>
      </c>
      <c r="D462" s="334">
        <v>1</v>
      </c>
      <c r="E462" s="370">
        <f>신규_단가대비표!O83</f>
        <v>0</v>
      </c>
      <c r="F462" s="361">
        <f>TRUNC(E462*D462,1)</f>
        <v>0</v>
      </c>
      <c r="G462" s="370">
        <f>신규_단가대비표!P83</f>
        <v>0</v>
      </c>
      <c r="H462" s="361">
        <f>TRUNC(G462*D462,1)</f>
        <v>0</v>
      </c>
      <c r="I462" s="370">
        <f>신규_단가대비표!V83</f>
        <v>0</v>
      </c>
      <c r="J462" s="361">
        <f>TRUNC(I462*D462,1)</f>
        <v>0</v>
      </c>
      <c r="K462" s="370">
        <f t="shared" ref="K462:L464" si="91">TRUNC(E462+G462+I462,1)</f>
        <v>0</v>
      </c>
      <c r="L462" s="361">
        <f t="shared" si="91"/>
        <v>0</v>
      </c>
      <c r="M462" s="333" t="s">
        <v>378</v>
      </c>
      <c r="N462" s="329" t="s">
        <v>1293</v>
      </c>
      <c r="O462" s="329" t="s">
        <v>2720</v>
      </c>
      <c r="P462" s="329" t="s">
        <v>1105</v>
      </c>
      <c r="Q462" s="329" t="s">
        <v>1105</v>
      </c>
      <c r="R462" s="329" t="s">
        <v>1104</v>
      </c>
      <c r="AV462" s="329" t="s">
        <v>378</v>
      </c>
      <c r="AW462" s="329" t="s">
        <v>2721</v>
      </c>
      <c r="AX462" s="329" t="s">
        <v>378</v>
      </c>
      <c r="AY462" s="329" t="s">
        <v>378</v>
      </c>
    </row>
    <row r="463" spans="1:51" ht="30" customHeight="1">
      <c r="A463" s="333" t="s">
        <v>1851</v>
      </c>
      <c r="B463" s="333" t="s">
        <v>2221</v>
      </c>
      <c r="C463" s="333" t="s">
        <v>1852</v>
      </c>
      <c r="D463" s="334">
        <f>신규_공량산출근거서_일위대가!K223</f>
        <v>1.23</v>
      </c>
      <c r="E463" s="370">
        <f>신규_단가대비표!O154</f>
        <v>0</v>
      </c>
      <c r="F463" s="361">
        <f>TRUNC(E463*D463,1)</f>
        <v>0</v>
      </c>
      <c r="G463" s="370">
        <f>신규_단가대비표!P154</f>
        <v>234998.43458</v>
      </c>
      <c r="H463" s="361">
        <f>TRUNC(G463*D463,1)</f>
        <v>289048</v>
      </c>
      <c r="I463" s="370">
        <f>신규_단가대비표!V154</f>
        <v>0</v>
      </c>
      <c r="J463" s="361">
        <f>TRUNC(I463*D463,1)</f>
        <v>0</v>
      </c>
      <c r="K463" s="370">
        <f t="shared" si="91"/>
        <v>234998.39999999999</v>
      </c>
      <c r="L463" s="361">
        <f t="shared" si="91"/>
        <v>289048</v>
      </c>
      <c r="M463" s="333" t="s">
        <v>378</v>
      </c>
      <c r="N463" s="329" t="s">
        <v>1293</v>
      </c>
      <c r="O463" s="329" t="s">
        <v>2222</v>
      </c>
      <c r="P463" s="329" t="s">
        <v>1105</v>
      </c>
      <c r="Q463" s="329" t="s">
        <v>1105</v>
      </c>
      <c r="R463" s="329" t="s">
        <v>1104</v>
      </c>
      <c r="V463" s="330">
        <v>1</v>
      </c>
      <c r="AV463" s="329" t="s">
        <v>378</v>
      </c>
      <c r="AW463" s="329" t="s">
        <v>2722</v>
      </c>
      <c r="AX463" s="329" t="s">
        <v>378</v>
      </c>
      <c r="AY463" s="329" t="s">
        <v>378</v>
      </c>
    </row>
    <row r="464" spans="1:51" ht="30" customHeight="1">
      <c r="A464" s="333" t="s">
        <v>2217</v>
      </c>
      <c r="B464" s="333" t="s">
        <v>2218</v>
      </c>
      <c r="C464" s="333" t="s">
        <v>212</v>
      </c>
      <c r="D464" s="334">
        <v>1</v>
      </c>
      <c r="E464" s="370">
        <f>TRUNC(SUMIF(V462:V464, RIGHTB(O464, 1), H462:H464)*U464, 2)</f>
        <v>8671.44</v>
      </c>
      <c r="F464" s="361">
        <f>TRUNC(E464*D464,1)</f>
        <v>8671.4</v>
      </c>
      <c r="G464" s="370">
        <v>0</v>
      </c>
      <c r="H464" s="361">
        <f>TRUNC(G464*D464,1)</f>
        <v>0</v>
      </c>
      <c r="I464" s="370">
        <v>0</v>
      </c>
      <c r="J464" s="361">
        <f>TRUNC(I464*D464,1)</f>
        <v>0</v>
      </c>
      <c r="K464" s="370">
        <f t="shared" si="91"/>
        <v>8671.4</v>
      </c>
      <c r="L464" s="361">
        <f t="shared" si="91"/>
        <v>8671.4</v>
      </c>
      <c r="M464" s="333" t="s">
        <v>378</v>
      </c>
      <c r="N464" s="329" t="s">
        <v>1293</v>
      </c>
      <c r="O464" s="329" t="s">
        <v>2211</v>
      </c>
      <c r="P464" s="329" t="s">
        <v>1105</v>
      </c>
      <c r="Q464" s="329" t="s">
        <v>1105</v>
      </c>
      <c r="R464" s="329" t="s">
        <v>1105</v>
      </c>
      <c r="S464" s="330">
        <v>1</v>
      </c>
      <c r="T464" s="330">
        <v>0</v>
      </c>
      <c r="U464" s="330">
        <v>0.03</v>
      </c>
      <c r="V464" s="330">
        <v>1</v>
      </c>
      <c r="AV464" s="329" t="s">
        <v>378</v>
      </c>
      <c r="AW464" s="329" t="s">
        <v>2723</v>
      </c>
      <c r="AX464" s="329" t="s">
        <v>378</v>
      </c>
      <c r="AY464" s="329" t="s">
        <v>378</v>
      </c>
    </row>
    <row r="465" spans="1:51" ht="30" customHeight="1">
      <c r="A465" s="333" t="s">
        <v>2224</v>
      </c>
      <c r="B465" s="333" t="s">
        <v>378</v>
      </c>
      <c r="C465" s="333" t="s">
        <v>378</v>
      </c>
      <c r="D465" s="334"/>
      <c r="E465" s="370"/>
      <c r="F465" s="361">
        <f>TRUNC(SUMIF(N462:N464, N461, F462:F464),0)</f>
        <v>8671</v>
      </c>
      <c r="G465" s="370"/>
      <c r="H465" s="361">
        <f>TRUNC(SUMIF(N462:N464, N461, H462:H464),0)</f>
        <v>289048</v>
      </c>
      <c r="I465" s="370"/>
      <c r="J465" s="361">
        <f>TRUNC(SUMIF(N462:N464, N461, J462:J464),0)</f>
        <v>0</v>
      </c>
      <c r="K465" s="370"/>
      <c r="L465" s="361">
        <f>F465+H465+J465</f>
        <v>297719</v>
      </c>
      <c r="M465" s="333" t="s">
        <v>378</v>
      </c>
      <c r="N465" s="329" t="s">
        <v>1197</v>
      </c>
      <c r="O465" s="329" t="s">
        <v>1197</v>
      </c>
      <c r="P465" s="329" t="s">
        <v>378</v>
      </c>
      <c r="Q465" s="329" t="s">
        <v>378</v>
      </c>
      <c r="R465" s="329" t="s">
        <v>378</v>
      </c>
      <c r="AV465" s="329" t="s">
        <v>378</v>
      </c>
      <c r="AW465" s="329" t="s">
        <v>378</v>
      </c>
      <c r="AX465" s="329" t="s">
        <v>378</v>
      </c>
      <c r="AY465" s="329" t="s">
        <v>378</v>
      </c>
    </row>
    <row r="466" spans="1:51" ht="30" customHeight="1">
      <c r="A466" s="334"/>
      <c r="B466" s="334"/>
      <c r="C466" s="334"/>
      <c r="D466" s="334"/>
      <c r="E466" s="370"/>
      <c r="F466" s="361"/>
      <c r="G466" s="370"/>
      <c r="H466" s="361"/>
      <c r="I466" s="370"/>
      <c r="J466" s="361"/>
      <c r="K466" s="370"/>
      <c r="L466" s="361"/>
      <c r="M466" s="334"/>
    </row>
    <row r="467" spans="1:51" ht="30" customHeight="1">
      <c r="A467" s="718" t="s">
        <v>2724</v>
      </c>
      <c r="B467" s="718"/>
      <c r="C467" s="718"/>
      <c r="D467" s="718"/>
      <c r="E467" s="719"/>
      <c r="F467" s="720"/>
      <c r="G467" s="719"/>
      <c r="H467" s="720"/>
      <c r="I467" s="719"/>
      <c r="J467" s="720"/>
      <c r="K467" s="719"/>
      <c r="L467" s="720"/>
      <c r="M467" s="718"/>
      <c r="N467" s="329" t="s">
        <v>1299</v>
      </c>
    </row>
    <row r="468" spans="1:51" ht="30" customHeight="1">
      <c r="A468" s="333" t="s">
        <v>2725</v>
      </c>
      <c r="B468" s="333" t="s">
        <v>2726</v>
      </c>
      <c r="C468" s="333" t="s">
        <v>300</v>
      </c>
      <c r="D468" s="334">
        <v>1.1000000000000001</v>
      </c>
      <c r="E468" s="370">
        <f>신규_단가대비표!O136</f>
        <v>150.5231</v>
      </c>
      <c r="F468" s="361">
        <f>TRUNC(E468*D468,1)</f>
        <v>165.5</v>
      </c>
      <c r="G468" s="370">
        <f>신규_단가대비표!P136</f>
        <v>0</v>
      </c>
      <c r="H468" s="361">
        <f>TRUNC(G468*D468,1)</f>
        <v>0</v>
      </c>
      <c r="I468" s="370">
        <f>신규_단가대비표!V136</f>
        <v>0</v>
      </c>
      <c r="J468" s="361">
        <f>TRUNC(I468*D468,1)</f>
        <v>0</v>
      </c>
      <c r="K468" s="370">
        <f t="shared" ref="K468:L472" si="92">TRUNC(E468+G468+I468,1)</f>
        <v>150.5</v>
      </c>
      <c r="L468" s="361">
        <f t="shared" si="92"/>
        <v>165.5</v>
      </c>
      <c r="M468" s="333" t="s">
        <v>378</v>
      </c>
      <c r="N468" s="329" t="s">
        <v>1299</v>
      </c>
      <c r="O468" s="329" t="s">
        <v>2727</v>
      </c>
      <c r="P468" s="329" t="s">
        <v>1105</v>
      </c>
      <c r="Q468" s="329" t="s">
        <v>1105</v>
      </c>
      <c r="R468" s="329" t="s">
        <v>1104</v>
      </c>
      <c r="V468" s="330">
        <v>1</v>
      </c>
      <c r="W468" s="330">
        <v>2</v>
      </c>
      <c r="AV468" s="329" t="s">
        <v>378</v>
      </c>
      <c r="AW468" s="329" t="s">
        <v>2728</v>
      </c>
      <c r="AX468" s="329" t="s">
        <v>378</v>
      </c>
      <c r="AY468" s="329" t="s">
        <v>378</v>
      </c>
    </row>
    <row r="469" spans="1:51" ht="30" customHeight="1">
      <c r="A469" s="333" t="s">
        <v>2209</v>
      </c>
      <c r="B469" s="333" t="s">
        <v>2729</v>
      </c>
      <c r="C469" s="333" t="s">
        <v>212</v>
      </c>
      <c r="D469" s="334">
        <v>1</v>
      </c>
      <c r="E469" s="370">
        <f>TRUNC(SUMIF(V468:V472, RIGHTB(O469, 1), F468:F472)*U469, 2)</f>
        <v>66.2</v>
      </c>
      <c r="F469" s="361">
        <f>TRUNC(E469*D469,1)</f>
        <v>66.2</v>
      </c>
      <c r="G469" s="370">
        <v>0</v>
      </c>
      <c r="H469" s="361">
        <f>TRUNC(G469*D469,1)</f>
        <v>0</v>
      </c>
      <c r="I469" s="370">
        <v>0</v>
      </c>
      <c r="J469" s="361">
        <f>TRUNC(I469*D469,1)</f>
        <v>0</v>
      </c>
      <c r="K469" s="370">
        <f t="shared" si="92"/>
        <v>66.2</v>
      </c>
      <c r="L469" s="361">
        <f t="shared" si="92"/>
        <v>66.2</v>
      </c>
      <c r="M469" s="333" t="s">
        <v>378</v>
      </c>
      <c r="N469" s="329" t="s">
        <v>1299</v>
      </c>
      <c r="O469" s="329" t="s">
        <v>2211</v>
      </c>
      <c r="P469" s="329" t="s">
        <v>1105</v>
      </c>
      <c r="Q469" s="329" t="s">
        <v>1105</v>
      </c>
      <c r="R469" s="329" t="s">
        <v>1105</v>
      </c>
      <c r="S469" s="330">
        <v>0</v>
      </c>
      <c r="T469" s="330">
        <v>0</v>
      </c>
      <c r="U469" s="330">
        <v>0.4</v>
      </c>
      <c r="X469" s="330">
        <v>3</v>
      </c>
      <c r="AV469" s="329" t="s">
        <v>378</v>
      </c>
      <c r="AW469" s="329" t="s">
        <v>2730</v>
      </c>
      <c r="AX469" s="329" t="s">
        <v>378</v>
      </c>
      <c r="AY469" s="329" t="s">
        <v>378</v>
      </c>
    </row>
    <row r="470" spans="1:51" ht="30" customHeight="1">
      <c r="A470" s="333" t="s">
        <v>2213</v>
      </c>
      <c r="B470" s="333" t="s">
        <v>2214</v>
      </c>
      <c r="C470" s="333" t="s">
        <v>212</v>
      </c>
      <c r="D470" s="334">
        <v>1</v>
      </c>
      <c r="E470" s="370">
        <f>TRUNC(SUMIF(W468:W472, RIGHTB(O470, 1), F468:F472)*U470, 2)</f>
        <v>3.31</v>
      </c>
      <c r="F470" s="361">
        <f>TRUNC(E470*D470,1)</f>
        <v>3.3</v>
      </c>
      <c r="G470" s="370">
        <v>0</v>
      </c>
      <c r="H470" s="361">
        <f>TRUNC(G470*D470,1)</f>
        <v>0</v>
      </c>
      <c r="I470" s="370">
        <v>0</v>
      </c>
      <c r="J470" s="361">
        <f>TRUNC(I470*D470,1)</f>
        <v>0</v>
      </c>
      <c r="K470" s="370">
        <f t="shared" si="92"/>
        <v>3.3</v>
      </c>
      <c r="L470" s="361">
        <f t="shared" si="92"/>
        <v>3.3</v>
      </c>
      <c r="M470" s="333" t="s">
        <v>378</v>
      </c>
      <c r="N470" s="329" t="s">
        <v>1299</v>
      </c>
      <c r="O470" s="329" t="s">
        <v>2215</v>
      </c>
      <c r="P470" s="329" t="s">
        <v>1105</v>
      </c>
      <c r="Q470" s="329" t="s">
        <v>1105</v>
      </c>
      <c r="R470" s="329" t="s">
        <v>1105</v>
      </c>
      <c r="S470" s="330">
        <v>0</v>
      </c>
      <c r="T470" s="330">
        <v>0</v>
      </c>
      <c r="U470" s="330">
        <v>0.02</v>
      </c>
      <c r="X470" s="330">
        <v>3</v>
      </c>
      <c r="AV470" s="329" t="s">
        <v>378</v>
      </c>
      <c r="AW470" s="329" t="s">
        <v>2731</v>
      </c>
      <c r="AX470" s="329" t="s">
        <v>378</v>
      </c>
      <c r="AY470" s="329" t="s">
        <v>378</v>
      </c>
    </row>
    <row r="471" spans="1:51" ht="30" customHeight="1">
      <c r="A471" s="333" t="s">
        <v>1851</v>
      </c>
      <c r="B471" s="333" t="s">
        <v>2221</v>
      </c>
      <c r="C471" s="333" t="s">
        <v>1852</v>
      </c>
      <c r="D471" s="334">
        <f>신규_공량산출근거서_일위대가!K226</f>
        <v>0.04</v>
      </c>
      <c r="E471" s="370">
        <f>신규_단가대비표!O154</f>
        <v>0</v>
      </c>
      <c r="F471" s="361">
        <f>TRUNC(E471*D471,1)</f>
        <v>0</v>
      </c>
      <c r="G471" s="370">
        <f>신규_단가대비표!P154</f>
        <v>234998.43458</v>
      </c>
      <c r="H471" s="361">
        <f>TRUNC(G471*D471,1)</f>
        <v>9399.9</v>
      </c>
      <c r="I471" s="370">
        <f>신규_단가대비표!V154</f>
        <v>0</v>
      </c>
      <c r="J471" s="361">
        <f>TRUNC(I471*D471,1)</f>
        <v>0</v>
      </c>
      <c r="K471" s="370">
        <f t="shared" si="92"/>
        <v>234998.39999999999</v>
      </c>
      <c r="L471" s="361">
        <f t="shared" si="92"/>
        <v>9399.9</v>
      </c>
      <c r="M471" s="333" t="s">
        <v>378</v>
      </c>
      <c r="N471" s="329" t="s">
        <v>1299</v>
      </c>
      <c r="O471" s="329" t="s">
        <v>2222</v>
      </c>
      <c r="P471" s="329" t="s">
        <v>1105</v>
      </c>
      <c r="Q471" s="329" t="s">
        <v>1105</v>
      </c>
      <c r="R471" s="329" t="s">
        <v>1104</v>
      </c>
      <c r="X471" s="330">
        <v>3</v>
      </c>
      <c r="AV471" s="329" t="s">
        <v>378</v>
      </c>
      <c r="AW471" s="329" t="s">
        <v>2732</v>
      </c>
      <c r="AX471" s="329" t="s">
        <v>378</v>
      </c>
      <c r="AY471" s="329" t="s">
        <v>378</v>
      </c>
    </row>
    <row r="472" spans="1:51" ht="30" customHeight="1">
      <c r="A472" s="333" t="s">
        <v>2217</v>
      </c>
      <c r="B472" s="333" t="s">
        <v>2218</v>
      </c>
      <c r="C472" s="333" t="s">
        <v>212</v>
      </c>
      <c r="D472" s="334">
        <v>1</v>
      </c>
      <c r="E472" s="370">
        <f>TRUNC(SUMIF(X468:X472, RIGHTB(O472, 1), H468:H472)*U472, 2)</f>
        <v>281.99</v>
      </c>
      <c r="F472" s="361">
        <f>TRUNC(E472*D472,1)</f>
        <v>281.89999999999998</v>
      </c>
      <c r="G472" s="370">
        <v>0</v>
      </c>
      <c r="H472" s="361">
        <f>TRUNC(G472*D472,1)</f>
        <v>0</v>
      </c>
      <c r="I472" s="370">
        <v>0</v>
      </c>
      <c r="J472" s="361">
        <f>TRUNC(I472*D472,1)</f>
        <v>0</v>
      </c>
      <c r="K472" s="370">
        <f t="shared" si="92"/>
        <v>281.89999999999998</v>
      </c>
      <c r="L472" s="361">
        <f t="shared" si="92"/>
        <v>281.89999999999998</v>
      </c>
      <c r="M472" s="333" t="s">
        <v>378</v>
      </c>
      <c r="N472" s="329" t="s">
        <v>1299</v>
      </c>
      <c r="O472" s="329" t="s">
        <v>2219</v>
      </c>
      <c r="P472" s="329" t="s">
        <v>1105</v>
      </c>
      <c r="Q472" s="329" t="s">
        <v>1105</v>
      </c>
      <c r="R472" s="329" t="s">
        <v>1105</v>
      </c>
      <c r="S472" s="330">
        <v>1</v>
      </c>
      <c r="T472" s="330">
        <v>0</v>
      </c>
      <c r="U472" s="330">
        <v>0.03</v>
      </c>
      <c r="X472" s="330">
        <v>3</v>
      </c>
      <c r="AV472" s="329" t="s">
        <v>378</v>
      </c>
      <c r="AW472" s="329" t="s">
        <v>2733</v>
      </c>
      <c r="AX472" s="329" t="s">
        <v>378</v>
      </c>
      <c r="AY472" s="329" t="s">
        <v>378</v>
      </c>
    </row>
    <row r="473" spans="1:51" ht="30" customHeight="1">
      <c r="A473" s="333" t="s">
        <v>2224</v>
      </c>
      <c r="B473" s="333" t="s">
        <v>378</v>
      </c>
      <c r="C473" s="333" t="s">
        <v>378</v>
      </c>
      <c r="D473" s="334"/>
      <c r="E473" s="370"/>
      <c r="F473" s="361">
        <f>TRUNC(SUMIF(N468:N472, N467, F468:F472),0)</f>
        <v>516</v>
      </c>
      <c r="G473" s="370"/>
      <c r="H473" s="361">
        <f>TRUNC(SUMIF(N468:N472, N467, H468:H472),0)</f>
        <v>9399</v>
      </c>
      <c r="I473" s="370"/>
      <c r="J473" s="361">
        <f>TRUNC(SUMIF(N468:N472, N467, J468:J472),0)</f>
        <v>0</v>
      </c>
      <c r="K473" s="370"/>
      <c r="L473" s="361">
        <f>F473+H473+J473</f>
        <v>9915</v>
      </c>
      <c r="M473" s="333" t="s">
        <v>378</v>
      </c>
      <c r="N473" s="329" t="s">
        <v>1197</v>
      </c>
      <c r="O473" s="329" t="s">
        <v>1197</v>
      </c>
      <c r="P473" s="329" t="s">
        <v>378</v>
      </c>
      <c r="Q473" s="329" t="s">
        <v>378</v>
      </c>
      <c r="R473" s="329" t="s">
        <v>378</v>
      </c>
      <c r="AV473" s="329" t="s">
        <v>378</v>
      </c>
      <c r="AW473" s="329" t="s">
        <v>378</v>
      </c>
      <c r="AX473" s="329" t="s">
        <v>378</v>
      </c>
      <c r="AY473" s="329" t="s">
        <v>378</v>
      </c>
    </row>
    <row r="474" spans="1:51" ht="30" customHeight="1">
      <c r="A474" s="334"/>
      <c r="B474" s="334"/>
      <c r="C474" s="334"/>
      <c r="D474" s="334"/>
      <c r="E474" s="370"/>
      <c r="F474" s="361"/>
      <c r="G474" s="370"/>
      <c r="H474" s="361"/>
      <c r="I474" s="370"/>
      <c r="J474" s="361"/>
      <c r="K474" s="370"/>
      <c r="L474" s="361"/>
      <c r="M474" s="334"/>
    </row>
    <row r="475" spans="1:51" ht="30" customHeight="1">
      <c r="A475" s="718" t="s">
        <v>2734</v>
      </c>
      <c r="B475" s="718"/>
      <c r="C475" s="718"/>
      <c r="D475" s="718"/>
      <c r="E475" s="719"/>
      <c r="F475" s="720"/>
      <c r="G475" s="719"/>
      <c r="H475" s="720"/>
      <c r="I475" s="719"/>
      <c r="J475" s="720"/>
      <c r="K475" s="719"/>
      <c r="L475" s="720"/>
      <c r="M475" s="718"/>
      <c r="N475" s="329" t="s">
        <v>1302</v>
      </c>
    </row>
    <row r="476" spans="1:51" ht="30" customHeight="1">
      <c r="A476" s="333" t="s">
        <v>2735</v>
      </c>
      <c r="B476" s="333" t="s">
        <v>2736</v>
      </c>
      <c r="C476" s="333" t="s">
        <v>265</v>
      </c>
      <c r="D476" s="334">
        <v>1</v>
      </c>
      <c r="E476" s="370">
        <f>신규_단가대비표!O88</f>
        <v>814.59559999999999</v>
      </c>
      <c r="F476" s="361">
        <f>TRUNC(E476*D476,1)</f>
        <v>814.5</v>
      </c>
      <c r="G476" s="370">
        <f>신규_단가대비표!P88</f>
        <v>0</v>
      </c>
      <c r="H476" s="361">
        <f>TRUNC(G476*D476,1)</f>
        <v>0</v>
      </c>
      <c r="I476" s="370">
        <f>신규_단가대비표!V88</f>
        <v>0</v>
      </c>
      <c r="J476" s="361">
        <f>TRUNC(I476*D476,1)</f>
        <v>0</v>
      </c>
      <c r="K476" s="370">
        <f t="shared" ref="K476:L479" si="93">TRUNC(E476+G476+I476,1)</f>
        <v>814.5</v>
      </c>
      <c r="L476" s="361">
        <f t="shared" si="93"/>
        <v>814.5</v>
      </c>
      <c r="M476" s="333" t="s">
        <v>378</v>
      </c>
      <c r="N476" s="329" t="s">
        <v>1302</v>
      </c>
      <c r="O476" s="329" t="s">
        <v>2737</v>
      </c>
      <c r="P476" s="329" t="s">
        <v>1105</v>
      </c>
      <c r="Q476" s="329" t="s">
        <v>1105</v>
      </c>
      <c r="R476" s="329" t="s">
        <v>1104</v>
      </c>
      <c r="AV476" s="329" t="s">
        <v>378</v>
      </c>
      <c r="AW476" s="329" t="s">
        <v>2738</v>
      </c>
      <c r="AX476" s="329" t="s">
        <v>378</v>
      </c>
      <c r="AY476" s="329" t="s">
        <v>378</v>
      </c>
    </row>
    <row r="477" spans="1:51" ht="30" customHeight="1">
      <c r="A477" s="333" t="s">
        <v>2735</v>
      </c>
      <c r="B477" s="333" t="s">
        <v>2739</v>
      </c>
      <c r="C477" s="333" t="s">
        <v>265</v>
      </c>
      <c r="D477" s="334">
        <v>1</v>
      </c>
      <c r="E477" s="370">
        <f>신규_단가대비표!O90</f>
        <v>253.23298000000003</v>
      </c>
      <c r="F477" s="361">
        <f>TRUNC(E477*D477,1)</f>
        <v>253.2</v>
      </c>
      <c r="G477" s="370">
        <f>신규_단가대비표!P90</f>
        <v>0</v>
      </c>
      <c r="H477" s="361">
        <f>TRUNC(G477*D477,1)</f>
        <v>0</v>
      </c>
      <c r="I477" s="370">
        <f>신규_단가대비표!V90</f>
        <v>0</v>
      </c>
      <c r="J477" s="361">
        <f>TRUNC(I477*D477,1)</f>
        <v>0</v>
      </c>
      <c r="K477" s="370">
        <f t="shared" si="93"/>
        <v>253.2</v>
      </c>
      <c r="L477" s="361">
        <f t="shared" si="93"/>
        <v>253.2</v>
      </c>
      <c r="M477" s="333" t="s">
        <v>378</v>
      </c>
      <c r="N477" s="329" t="s">
        <v>1302</v>
      </c>
      <c r="O477" s="329" t="s">
        <v>2740</v>
      </c>
      <c r="P477" s="329" t="s">
        <v>1105</v>
      </c>
      <c r="Q477" s="329" t="s">
        <v>1105</v>
      </c>
      <c r="R477" s="329" t="s">
        <v>1104</v>
      </c>
      <c r="AV477" s="329" t="s">
        <v>378</v>
      </c>
      <c r="AW477" s="329" t="s">
        <v>2741</v>
      </c>
      <c r="AX477" s="329" t="s">
        <v>378</v>
      </c>
      <c r="AY477" s="329" t="s">
        <v>378</v>
      </c>
    </row>
    <row r="478" spans="1:51" ht="30" customHeight="1">
      <c r="A478" s="333" t="s">
        <v>1851</v>
      </c>
      <c r="B478" s="333" t="s">
        <v>2221</v>
      </c>
      <c r="C478" s="333" t="s">
        <v>1852</v>
      </c>
      <c r="D478" s="334">
        <f>신규_공량산출근거서_일위대가!K229</f>
        <v>0.2</v>
      </c>
      <c r="E478" s="370">
        <f>신규_단가대비표!O154</f>
        <v>0</v>
      </c>
      <c r="F478" s="361">
        <f>TRUNC(E478*D478,1)</f>
        <v>0</v>
      </c>
      <c r="G478" s="370">
        <f>신규_단가대비표!P154</f>
        <v>234998.43458</v>
      </c>
      <c r="H478" s="361">
        <f>TRUNC(G478*D478,1)</f>
        <v>46999.6</v>
      </c>
      <c r="I478" s="370">
        <f>신규_단가대비표!V154</f>
        <v>0</v>
      </c>
      <c r="J478" s="361">
        <f>TRUNC(I478*D478,1)</f>
        <v>0</v>
      </c>
      <c r="K478" s="370">
        <f t="shared" si="93"/>
        <v>234998.39999999999</v>
      </c>
      <c r="L478" s="361">
        <f t="shared" si="93"/>
        <v>46999.6</v>
      </c>
      <c r="M478" s="333" t="s">
        <v>378</v>
      </c>
      <c r="N478" s="329" t="s">
        <v>1302</v>
      </c>
      <c r="O478" s="329" t="s">
        <v>2222</v>
      </c>
      <c r="P478" s="329" t="s">
        <v>1105</v>
      </c>
      <c r="Q478" s="329" t="s">
        <v>1105</v>
      </c>
      <c r="R478" s="329" t="s">
        <v>1104</v>
      </c>
      <c r="V478" s="330">
        <v>1</v>
      </c>
      <c r="AV478" s="329" t="s">
        <v>378</v>
      </c>
      <c r="AW478" s="329" t="s">
        <v>2742</v>
      </c>
      <c r="AX478" s="329" t="s">
        <v>378</v>
      </c>
      <c r="AY478" s="329" t="s">
        <v>378</v>
      </c>
    </row>
    <row r="479" spans="1:51" ht="30" customHeight="1">
      <c r="A479" s="333" t="s">
        <v>2217</v>
      </c>
      <c r="B479" s="333" t="s">
        <v>2218</v>
      </c>
      <c r="C479" s="333" t="s">
        <v>212</v>
      </c>
      <c r="D479" s="334">
        <v>1</v>
      </c>
      <c r="E479" s="370">
        <f>TRUNC(SUMIF(V476:V479, RIGHTB(O479, 1), H476:H479)*U479, 2)</f>
        <v>1409.98</v>
      </c>
      <c r="F479" s="361">
        <f>TRUNC(E479*D479,1)</f>
        <v>1409.9</v>
      </c>
      <c r="G479" s="370">
        <v>0</v>
      </c>
      <c r="H479" s="361">
        <f>TRUNC(G479*D479,1)</f>
        <v>0</v>
      </c>
      <c r="I479" s="370">
        <v>0</v>
      </c>
      <c r="J479" s="361">
        <f>TRUNC(I479*D479,1)</f>
        <v>0</v>
      </c>
      <c r="K479" s="370">
        <f t="shared" si="93"/>
        <v>1409.9</v>
      </c>
      <c r="L479" s="361">
        <f t="shared" si="93"/>
        <v>1409.9</v>
      </c>
      <c r="M479" s="333" t="s">
        <v>378</v>
      </c>
      <c r="N479" s="329" t="s">
        <v>1302</v>
      </c>
      <c r="O479" s="329" t="s">
        <v>2211</v>
      </c>
      <c r="P479" s="329" t="s">
        <v>1105</v>
      </c>
      <c r="Q479" s="329" t="s">
        <v>1105</v>
      </c>
      <c r="R479" s="329" t="s">
        <v>1105</v>
      </c>
      <c r="S479" s="330">
        <v>1</v>
      </c>
      <c r="T479" s="330">
        <v>0</v>
      </c>
      <c r="U479" s="330">
        <v>0.03</v>
      </c>
      <c r="V479" s="330">
        <v>1</v>
      </c>
      <c r="AV479" s="329" t="s">
        <v>378</v>
      </c>
      <c r="AW479" s="329" t="s">
        <v>2743</v>
      </c>
      <c r="AX479" s="329" t="s">
        <v>378</v>
      </c>
      <c r="AY479" s="329" t="s">
        <v>378</v>
      </c>
    </row>
    <row r="480" spans="1:51" ht="30" customHeight="1">
      <c r="A480" s="333" t="s">
        <v>2224</v>
      </c>
      <c r="B480" s="333" t="s">
        <v>378</v>
      </c>
      <c r="C480" s="333" t="s">
        <v>378</v>
      </c>
      <c r="D480" s="334"/>
      <c r="E480" s="370"/>
      <c r="F480" s="361">
        <f>TRUNC(SUMIF(N476:N479, N475, F476:F479),0)</f>
        <v>2477</v>
      </c>
      <c r="G480" s="370"/>
      <c r="H480" s="361">
        <f>TRUNC(SUMIF(N476:N479, N475, H476:H479),0)</f>
        <v>46999</v>
      </c>
      <c r="I480" s="370"/>
      <c r="J480" s="361">
        <f>TRUNC(SUMIF(N476:N479, N475, J476:J479),0)</f>
        <v>0</v>
      </c>
      <c r="K480" s="370"/>
      <c r="L480" s="361">
        <f>F480+H480+J480</f>
        <v>49476</v>
      </c>
      <c r="M480" s="333" t="s">
        <v>378</v>
      </c>
      <c r="N480" s="329" t="s">
        <v>1197</v>
      </c>
      <c r="O480" s="329" t="s">
        <v>1197</v>
      </c>
      <c r="P480" s="329" t="s">
        <v>378</v>
      </c>
      <c r="Q480" s="329" t="s">
        <v>378</v>
      </c>
      <c r="R480" s="329" t="s">
        <v>378</v>
      </c>
      <c r="AV480" s="329" t="s">
        <v>378</v>
      </c>
      <c r="AW480" s="329" t="s">
        <v>378</v>
      </c>
      <c r="AX480" s="329" t="s">
        <v>378</v>
      </c>
      <c r="AY480" s="329" t="s">
        <v>378</v>
      </c>
    </row>
    <row r="481" spans="1:51" ht="30" customHeight="1">
      <c r="A481" s="334"/>
      <c r="B481" s="334"/>
      <c r="C481" s="334"/>
      <c r="D481" s="334"/>
      <c r="E481" s="370"/>
      <c r="F481" s="361"/>
      <c r="G481" s="370"/>
      <c r="H481" s="361"/>
      <c r="I481" s="370"/>
      <c r="J481" s="361"/>
      <c r="K481" s="370"/>
      <c r="L481" s="361"/>
      <c r="M481" s="334"/>
    </row>
    <row r="482" spans="1:51" ht="30" customHeight="1">
      <c r="A482" s="718" t="s">
        <v>2744</v>
      </c>
      <c r="B482" s="718"/>
      <c r="C482" s="718"/>
      <c r="D482" s="718"/>
      <c r="E482" s="719"/>
      <c r="F482" s="720"/>
      <c r="G482" s="719"/>
      <c r="H482" s="720"/>
      <c r="I482" s="719"/>
      <c r="J482" s="720"/>
      <c r="K482" s="719"/>
      <c r="L482" s="720"/>
      <c r="M482" s="718"/>
      <c r="N482" s="329" t="s">
        <v>1305</v>
      </c>
    </row>
    <row r="483" spans="1:51" ht="30" customHeight="1">
      <c r="A483" s="333" t="s">
        <v>2745</v>
      </c>
      <c r="B483" s="333" t="s">
        <v>2746</v>
      </c>
      <c r="C483" s="333" t="s">
        <v>300</v>
      </c>
      <c r="D483" s="334">
        <v>1.1000000000000001</v>
      </c>
      <c r="E483" s="370">
        <f>신규_단가대비표!O26</f>
        <v>618.91557</v>
      </c>
      <c r="F483" s="361">
        <f>TRUNC(E483*D483,1)</f>
        <v>680.8</v>
      </c>
      <c r="G483" s="370">
        <f>신규_단가대비표!P26</f>
        <v>0</v>
      </c>
      <c r="H483" s="361">
        <f>TRUNC(G483*D483,1)</f>
        <v>0</v>
      </c>
      <c r="I483" s="370">
        <f>신규_단가대비표!V26</f>
        <v>0</v>
      </c>
      <c r="J483" s="361">
        <f>TRUNC(I483*D483,1)</f>
        <v>0</v>
      </c>
      <c r="K483" s="370">
        <f t="shared" ref="K483:L485" si="94">TRUNC(E483+G483+I483,1)</f>
        <v>618.9</v>
      </c>
      <c r="L483" s="361">
        <f t="shared" si="94"/>
        <v>680.8</v>
      </c>
      <c r="M483" s="333" t="s">
        <v>378</v>
      </c>
      <c r="N483" s="329" t="s">
        <v>1305</v>
      </c>
      <c r="O483" s="329" t="s">
        <v>2747</v>
      </c>
      <c r="P483" s="329" t="s">
        <v>1105</v>
      </c>
      <c r="Q483" s="329" t="s">
        <v>1105</v>
      </c>
      <c r="R483" s="329" t="s">
        <v>1104</v>
      </c>
      <c r="AV483" s="329" t="s">
        <v>378</v>
      </c>
      <c r="AW483" s="329" t="s">
        <v>2748</v>
      </c>
      <c r="AX483" s="329" t="s">
        <v>378</v>
      </c>
      <c r="AY483" s="329" t="s">
        <v>378</v>
      </c>
    </row>
    <row r="484" spans="1:51" ht="30" customHeight="1">
      <c r="A484" s="333" t="s">
        <v>1851</v>
      </c>
      <c r="B484" s="333" t="s">
        <v>2221</v>
      </c>
      <c r="C484" s="333" t="s">
        <v>1852</v>
      </c>
      <c r="D484" s="334">
        <f>신규_공량산출근거서_일위대가!K232</f>
        <v>8.0000000000000002E-3</v>
      </c>
      <c r="E484" s="370">
        <f>신규_단가대비표!O154</f>
        <v>0</v>
      </c>
      <c r="F484" s="361">
        <f>TRUNC(E484*D484,1)</f>
        <v>0</v>
      </c>
      <c r="G484" s="370">
        <f>신규_단가대비표!P154</f>
        <v>234998.43458</v>
      </c>
      <c r="H484" s="361">
        <f>TRUNC(G484*D484,1)</f>
        <v>1879.9</v>
      </c>
      <c r="I484" s="370">
        <f>신규_단가대비표!V154</f>
        <v>0</v>
      </c>
      <c r="J484" s="361">
        <f>TRUNC(I484*D484,1)</f>
        <v>0</v>
      </c>
      <c r="K484" s="370">
        <f t="shared" si="94"/>
        <v>234998.39999999999</v>
      </c>
      <c r="L484" s="361">
        <f t="shared" si="94"/>
        <v>1879.9</v>
      </c>
      <c r="M484" s="333" t="s">
        <v>378</v>
      </c>
      <c r="N484" s="329" t="s">
        <v>1305</v>
      </c>
      <c r="O484" s="329" t="s">
        <v>2222</v>
      </c>
      <c r="P484" s="329" t="s">
        <v>1105</v>
      </c>
      <c r="Q484" s="329" t="s">
        <v>1105</v>
      </c>
      <c r="R484" s="329" t="s">
        <v>1104</v>
      </c>
      <c r="V484" s="330">
        <v>1</v>
      </c>
      <c r="AV484" s="329" t="s">
        <v>378</v>
      </c>
      <c r="AW484" s="329" t="s">
        <v>2749</v>
      </c>
      <c r="AX484" s="329" t="s">
        <v>378</v>
      </c>
      <c r="AY484" s="329" t="s">
        <v>378</v>
      </c>
    </row>
    <row r="485" spans="1:51" ht="30" customHeight="1">
      <c r="A485" s="333" t="s">
        <v>2217</v>
      </c>
      <c r="B485" s="333" t="s">
        <v>2218</v>
      </c>
      <c r="C485" s="333" t="s">
        <v>212</v>
      </c>
      <c r="D485" s="334">
        <v>1</v>
      </c>
      <c r="E485" s="370">
        <f>TRUNC(SUMIF(V483:V485, RIGHTB(O485, 1), H483:H485)*U485, 2)</f>
        <v>56.39</v>
      </c>
      <c r="F485" s="361">
        <f>TRUNC(E485*D485,1)</f>
        <v>56.3</v>
      </c>
      <c r="G485" s="370">
        <v>0</v>
      </c>
      <c r="H485" s="361">
        <f>TRUNC(G485*D485,1)</f>
        <v>0</v>
      </c>
      <c r="I485" s="370">
        <v>0</v>
      </c>
      <c r="J485" s="361">
        <f>TRUNC(I485*D485,1)</f>
        <v>0</v>
      </c>
      <c r="K485" s="370">
        <f t="shared" si="94"/>
        <v>56.3</v>
      </c>
      <c r="L485" s="361">
        <f t="shared" si="94"/>
        <v>56.3</v>
      </c>
      <c r="M485" s="333" t="s">
        <v>378</v>
      </c>
      <c r="N485" s="329" t="s">
        <v>1305</v>
      </c>
      <c r="O485" s="329" t="s">
        <v>2211</v>
      </c>
      <c r="P485" s="329" t="s">
        <v>1105</v>
      </c>
      <c r="Q485" s="329" t="s">
        <v>1105</v>
      </c>
      <c r="R485" s="329" t="s">
        <v>1105</v>
      </c>
      <c r="S485" s="330">
        <v>1</v>
      </c>
      <c r="T485" s="330">
        <v>0</v>
      </c>
      <c r="U485" s="330">
        <v>0.03</v>
      </c>
      <c r="V485" s="330">
        <v>1</v>
      </c>
      <c r="AV485" s="329" t="s">
        <v>378</v>
      </c>
      <c r="AW485" s="329" t="s">
        <v>2750</v>
      </c>
      <c r="AX485" s="329" t="s">
        <v>378</v>
      </c>
      <c r="AY485" s="329" t="s">
        <v>378</v>
      </c>
    </row>
    <row r="486" spans="1:51" ht="30" customHeight="1">
      <c r="A486" s="333" t="s">
        <v>2224</v>
      </c>
      <c r="B486" s="333" t="s">
        <v>378</v>
      </c>
      <c r="C486" s="333" t="s">
        <v>378</v>
      </c>
      <c r="D486" s="334"/>
      <c r="E486" s="370"/>
      <c r="F486" s="361">
        <f>TRUNC(SUMIF(N483:N485, N482, F483:F485),0)</f>
        <v>737</v>
      </c>
      <c r="G486" s="370"/>
      <c r="H486" s="361">
        <f>TRUNC(SUMIF(N483:N485, N482, H483:H485),0)</f>
        <v>1879</v>
      </c>
      <c r="I486" s="370"/>
      <c r="J486" s="361">
        <f>TRUNC(SUMIF(N483:N485, N482, J483:J485),0)</f>
        <v>0</v>
      </c>
      <c r="K486" s="370"/>
      <c r="L486" s="361">
        <f>F486+H486+J486</f>
        <v>2616</v>
      </c>
      <c r="M486" s="333" t="s">
        <v>378</v>
      </c>
      <c r="N486" s="329" t="s">
        <v>1197</v>
      </c>
      <c r="O486" s="329" t="s">
        <v>1197</v>
      </c>
      <c r="P486" s="329" t="s">
        <v>378</v>
      </c>
      <c r="Q486" s="329" t="s">
        <v>378</v>
      </c>
      <c r="R486" s="329" t="s">
        <v>378</v>
      </c>
      <c r="AV486" s="329" t="s">
        <v>378</v>
      </c>
      <c r="AW486" s="329" t="s">
        <v>378</v>
      </c>
      <c r="AX486" s="329" t="s">
        <v>378</v>
      </c>
      <c r="AY486" s="329" t="s">
        <v>378</v>
      </c>
    </row>
    <row r="487" spans="1:51" ht="30" customHeight="1">
      <c r="A487" s="334"/>
      <c r="B487" s="334"/>
      <c r="C487" s="334"/>
      <c r="D487" s="334"/>
      <c r="E487" s="370"/>
      <c r="F487" s="361"/>
      <c r="G487" s="370"/>
      <c r="H487" s="361"/>
      <c r="I487" s="370"/>
      <c r="J487" s="361"/>
      <c r="K487" s="370"/>
      <c r="L487" s="361"/>
      <c r="M487" s="334"/>
    </row>
    <row r="488" spans="1:51" ht="30" customHeight="1">
      <c r="A488" s="718" t="s">
        <v>2751</v>
      </c>
      <c r="B488" s="718"/>
      <c r="C488" s="718"/>
      <c r="D488" s="718"/>
      <c r="E488" s="719"/>
      <c r="F488" s="720"/>
      <c r="G488" s="719"/>
      <c r="H488" s="720"/>
      <c r="I488" s="719"/>
      <c r="J488" s="720"/>
      <c r="K488" s="719"/>
      <c r="L488" s="720"/>
      <c r="M488" s="718"/>
      <c r="N488" s="329" t="s">
        <v>1309</v>
      </c>
    </row>
    <row r="489" spans="1:51" ht="30" customHeight="1">
      <c r="A489" s="333" t="s">
        <v>2272</v>
      </c>
      <c r="B489" s="333" t="s">
        <v>2752</v>
      </c>
      <c r="C489" s="333" t="s">
        <v>300</v>
      </c>
      <c r="D489" s="334">
        <v>1.05</v>
      </c>
      <c r="E489" s="370">
        <f>신규_단가대비표!O21</f>
        <v>2942.2838900000002</v>
      </c>
      <c r="F489" s="361">
        <f>TRUNC(E489*D489,1)</f>
        <v>3089.3</v>
      </c>
      <c r="G489" s="370">
        <f>신규_단가대비표!P21</f>
        <v>0</v>
      </c>
      <c r="H489" s="361">
        <f>TRUNC(G489*D489,1)</f>
        <v>0</v>
      </c>
      <c r="I489" s="370">
        <f>신규_단가대비표!V21</f>
        <v>0</v>
      </c>
      <c r="J489" s="361">
        <f>TRUNC(I489*D489,1)</f>
        <v>0</v>
      </c>
      <c r="K489" s="370">
        <f t="shared" ref="K489:L492" si="95">TRUNC(E489+G489+I489,1)</f>
        <v>2942.2</v>
      </c>
      <c r="L489" s="361">
        <f t="shared" si="95"/>
        <v>3089.3</v>
      </c>
      <c r="M489" s="333" t="s">
        <v>378</v>
      </c>
      <c r="N489" s="329" t="s">
        <v>1309</v>
      </c>
      <c r="O489" s="329" t="s">
        <v>2753</v>
      </c>
      <c r="P489" s="329" t="s">
        <v>1105</v>
      </c>
      <c r="Q489" s="329" t="s">
        <v>1105</v>
      </c>
      <c r="R489" s="329" t="s">
        <v>1104</v>
      </c>
      <c r="V489" s="330">
        <v>1</v>
      </c>
      <c r="AV489" s="329" t="s">
        <v>378</v>
      </c>
      <c r="AW489" s="329" t="s">
        <v>2754</v>
      </c>
      <c r="AX489" s="329" t="s">
        <v>378</v>
      </c>
      <c r="AY489" s="329" t="s">
        <v>378</v>
      </c>
    </row>
    <row r="490" spans="1:51" ht="30" customHeight="1">
      <c r="A490" s="333" t="s">
        <v>2213</v>
      </c>
      <c r="B490" s="333" t="s">
        <v>2214</v>
      </c>
      <c r="C490" s="333" t="s">
        <v>212</v>
      </c>
      <c r="D490" s="334">
        <v>1</v>
      </c>
      <c r="E490" s="370">
        <f>TRUNC(SUMIF(V489:V492, RIGHTB(O490, 1), F489:F492)*U490, 2)</f>
        <v>61.78</v>
      </c>
      <c r="F490" s="361">
        <f>TRUNC(E490*D490,1)</f>
        <v>61.7</v>
      </c>
      <c r="G490" s="370">
        <v>0</v>
      </c>
      <c r="H490" s="361">
        <f>TRUNC(G490*D490,1)</f>
        <v>0</v>
      </c>
      <c r="I490" s="370">
        <v>0</v>
      </c>
      <c r="J490" s="361">
        <f>TRUNC(I490*D490,1)</f>
        <v>0</v>
      </c>
      <c r="K490" s="370">
        <f t="shared" si="95"/>
        <v>61.7</v>
      </c>
      <c r="L490" s="361">
        <f t="shared" si="95"/>
        <v>61.7</v>
      </c>
      <c r="M490" s="333" t="s">
        <v>378</v>
      </c>
      <c r="N490" s="329" t="s">
        <v>1309</v>
      </c>
      <c r="O490" s="329" t="s">
        <v>2211</v>
      </c>
      <c r="P490" s="329" t="s">
        <v>1105</v>
      </c>
      <c r="Q490" s="329" t="s">
        <v>1105</v>
      </c>
      <c r="R490" s="329" t="s">
        <v>1105</v>
      </c>
      <c r="S490" s="330">
        <v>0</v>
      </c>
      <c r="T490" s="330">
        <v>0</v>
      </c>
      <c r="U490" s="330">
        <v>0.02</v>
      </c>
      <c r="W490" s="330">
        <v>2</v>
      </c>
      <c r="AV490" s="329" t="s">
        <v>378</v>
      </c>
      <c r="AW490" s="329" t="s">
        <v>2755</v>
      </c>
      <c r="AX490" s="329" t="s">
        <v>378</v>
      </c>
      <c r="AY490" s="329" t="s">
        <v>378</v>
      </c>
    </row>
    <row r="491" spans="1:51" ht="30" customHeight="1">
      <c r="A491" s="333" t="s">
        <v>2217</v>
      </c>
      <c r="B491" s="333" t="s">
        <v>2218</v>
      </c>
      <c r="C491" s="333" t="s">
        <v>212</v>
      </c>
      <c r="D491" s="334">
        <v>1</v>
      </c>
      <c r="E491" s="370">
        <f>TRUNC(SUMIF(W489:W492, RIGHTB(O491, 1), H489:H492)*U491, 2)</f>
        <v>222.19</v>
      </c>
      <c r="F491" s="361">
        <f>TRUNC(E491*D491,1)</f>
        <v>222.1</v>
      </c>
      <c r="G491" s="370">
        <v>0</v>
      </c>
      <c r="H491" s="361">
        <f>TRUNC(G491*D491,1)</f>
        <v>0</v>
      </c>
      <c r="I491" s="370">
        <v>0</v>
      </c>
      <c r="J491" s="361">
        <f>TRUNC(I491*D491,1)</f>
        <v>0</v>
      </c>
      <c r="K491" s="370">
        <f t="shared" si="95"/>
        <v>222.1</v>
      </c>
      <c r="L491" s="361">
        <f t="shared" si="95"/>
        <v>222.1</v>
      </c>
      <c r="M491" s="333" t="s">
        <v>378</v>
      </c>
      <c r="N491" s="329" t="s">
        <v>1309</v>
      </c>
      <c r="O491" s="329" t="s">
        <v>2215</v>
      </c>
      <c r="P491" s="329" t="s">
        <v>1105</v>
      </c>
      <c r="Q491" s="329" t="s">
        <v>1105</v>
      </c>
      <c r="R491" s="329" t="s">
        <v>1105</v>
      </c>
      <c r="S491" s="330">
        <v>1</v>
      </c>
      <c r="T491" s="330">
        <v>0</v>
      </c>
      <c r="U491" s="330">
        <v>0.03</v>
      </c>
      <c r="W491" s="330">
        <v>2</v>
      </c>
      <c r="AV491" s="329" t="s">
        <v>378</v>
      </c>
      <c r="AW491" s="329" t="s">
        <v>2756</v>
      </c>
      <c r="AX491" s="329" t="s">
        <v>378</v>
      </c>
      <c r="AY491" s="329" t="s">
        <v>378</v>
      </c>
    </row>
    <row r="492" spans="1:51" ht="30" customHeight="1">
      <c r="A492" s="333" t="s">
        <v>1992</v>
      </c>
      <c r="B492" s="333" t="s">
        <v>2279</v>
      </c>
      <c r="C492" s="333" t="s">
        <v>1852</v>
      </c>
      <c r="D492" s="334">
        <f>신규_공량산출근거서_일위대가!K235</f>
        <v>2.9000000000000001E-2</v>
      </c>
      <c r="E492" s="370">
        <f>신규_단가대비표!O155</f>
        <v>0</v>
      </c>
      <c r="F492" s="361">
        <f>TRUNC(E492*D492,1)</f>
        <v>0</v>
      </c>
      <c r="G492" s="370">
        <f>신규_단가대비표!P155</f>
        <v>255395.20006</v>
      </c>
      <c r="H492" s="361">
        <f>TRUNC(G492*D492,1)</f>
        <v>7406.4</v>
      </c>
      <c r="I492" s="370">
        <f>신규_단가대비표!V155</f>
        <v>0</v>
      </c>
      <c r="J492" s="361">
        <f>TRUNC(I492*D492,1)</f>
        <v>0</v>
      </c>
      <c r="K492" s="370">
        <f t="shared" si="95"/>
        <v>255395.20000000001</v>
      </c>
      <c r="L492" s="361">
        <f t="shared" si="95"/>
        <v>7406.4</v>
      </c>
      <c r="M492" s="333" t="s">
        <v>378</v>
      </c>
      <c r="N492" s="329" t="s">
        <v>1309</v>
      </c>
      <c r="O492" s="329" t="s">
        <v>2280</v>
      </c>
      <c r="P492" s="329" t="s">
        <v>1105</v>
      </c>
      <c r="Q492" s="329" t="s">
        <v>1105</v>
      </c>
      <c r="R492" s="329" t="s">
        <v>1104</v>
      </c>
      <c r="W492" s="330">
        <v>2</v>
      </c>
      <c r="AV492" s="329" t="s">
        <v>378</v>
      </c>
      <c r="AW492" s="329" t="s">
        <v>2757</v>
      </c>
      <c r="AX492" s="329" t="s">
        <v>378</v>
      </c>
      <c r="AY492" s="329" t="s">
        <v>378</v>
      </c>
    </row>
    <row r="493" spans="1:51" ht="30" customHeight="1">
      <c r="A493" s="333" t="s">
        <v>2224</v>
      </c>
      <c r="B493" s="333" t="s">
        <v>378</v>
      </c>
      <c r="C493" s="333" t="s">
        <v>378</v>
      </c>
      <c r="D493" s="334"/>
      <c r="E493" s="370"/>
      <c r="F493" s="361">
        <f>TRUNC(SUMIF(N489:N492, N488, F489:F492),0)</f>
        <v>3373</v>
      </c>
      <c r="G493" s="370"/>
      <c r="H493" s="361">
        <f>TRUNC(SUMIF(N489:N492, N488, H489:H492),0)</f>
        <v>7406</v>
      </c>
      <c r="I493" s="370"/>
      <c r="J493" s="361">
        <f>TRUNC(SUMIF(N489:N492, N488, J489:J492),0)</f>
        <v>0</v>
      </c>
      <c r="K493" s="370"/>
      <c r="L493" s="361">
        <f>F493+H493+J493</f>
        <v>10779</v>
      </c>
      <c r="M493" s="333" t="s">
        <v>378</v>
      </c>
      <c r="N493" s="329" t="s">
        <v>1197</v>
      </c>
      <c r="O493" s="329" t="s">
        <v>1197</v>
      </c>
      <c r="P493" s="329" t="s">
        <v>378</v>
      </c>
      <c r="Q493" s="329" t="s">
        <v>378</v>
      </c>
      <c r="R493" s="329" t="s">
        <v>378</v>
      </c>
      <c r="AV493" s="329" t="s">
        <v>378</v>
      </c>
      <c r="AW493" s="329" t="s">
        <v>378</v>
      </c>
      <c r="AX493" s="329" t="s">
        <v>378</v>
      </c>
      <c r="AY493" s="329" t="s">
        <v>378</v>
      </c>
    </row>
    <row r="494" spans="1:51" ht="30" customHeight="1">
      <c r="A494" s="334"/>
      <c r="B494" s="334"/>
      <c r="C494" s="334"/>
      <c r="D494" s="334"/>
      <c r="E494" s="370"/>
      <c r="F494" s="361"/>
      <c r="G494" s="370"/>
      <c r="H494" s="361"/>
      <c r="I494" s="370"/>
      <c r="J494" s="361"/>
      <c r="K494" s="370"/>
      <c r="L494" s="361"/>
      <c r="M494" s="334"/>
    </row>
    <row r="495" spans="1:51" ht="30" customHeight="1">
      <c r="A495" s="718" t="s">
        <v>2758</v>
      </c>
      <c r="B495" s="718"/>
      <c r="C495" s="718"/>
      <c r="D495" s="718"/>
      <c r="E495" s="719"/>
      <c r="F495" s="720"/>
      <c r="G495" s="719"/>
      <c r="H495" s="720"/>
      <c r="I495" s="719"/>
      <c r="J495" s="720"/>
      <c r="K495" s="719"/>
      <c r="L495" s="720"/>
      <c r="M495" s="718"/>
      <c r="N495" s="329" t="s">
        <v>1312</v>
      </c>
    </row>
    <row r="496" spans="1:51" ht="30" customHeight="1">
      <c r="A496" s="333" t="s">
        <v>512</v>
      </c>
      <c r="B496" s="333" t="s">
        <v>2759</v>
      </c>
      <c r="C496" s="333" t="s">
        <v>265</v>
      </c>
      <c r="D496" s="334">
        <v>1</v>
      </c>
      <c r="E496" s="370">
        <f>신규_단가대비표!O92</f>
        <v>1190.90335</v>
      </c>
      <c r="F496" s="361">
        <f>TRUNC(E496*D496,1)</f>
        <v>1190.9000000000001</v>
      </c>
      <c r="G496" s="370">
        <f>신규_단가대비표!P92</f>
        <v>0</v>
      </c>
      <c r="H496" s="361">
        <f>TRUNC(G496*D496,1)</f>
        <v>0</v>
      </c>
      <c r="I496" s="370">
        <f>신규_단가대비표!V92</f>
        <v>0</v>
      </c>
      <c r="J496" s="361">
        <f>TRUNC(I496*D496,1)</f>
        <v>0</v>
      </c>
      <c r="K496" s="370">
        <f t="shared" ref="K496:L498" si="96">TRUNC(E496+G496+I496,1)</f>
        <v>1190.9000000000001</v>
      </c>
      <c r="L496" s="361">
        <f t="shared" si="96"/>
        <v>1190.9000000000001</v>
      </c>
      <c r="M496" s="333" t="s">
        <v>378</v>
      </c>
      <c r="N496" s="329" t="s">
        <v>1312</v>
      </c>
      <c r="O496" s="329" t="s">
        <v>2760</v>
      </c>
      <c r="P496" s="329" t="s">
        <v>1105</v>
      </c>
      <c r="Q496" s="329" t="s">
        <v>1105</v>
      </c>
      <c r="R496" s="329" t="s">
        <v>1104</v>
      </c>
      <c r="AV496" s="329" t="s">
        <v>378</v>
      </c>
      <c r="AW496" s="329" t="s">
        <v>2761</v>
      </c>
      <c r="AX496" s="329" t="s">
        <v>378</v>
      </c>
      <c r="AY496" s="329" t="s">
        <v>378</v>
      </c>
    </row>
    <row r="497" spans="1:51" ht="30" customHeight="1">
      <c r="A497" s="333" t="s">
        <v>1851</v>
      </c>
      <c r="B497" s="333" t="s">
        <v>2221</v>
      </c>
      <c r="C497" s="333" t="s">
        <v>1852</v>
      </c>
      <c r="D497" s="334">
        <f>신규_공량산출근거서_일위대가!K238</f>
        <v>0.08</v>
      </c>
      <c r="E497" s="370">
        <f>신규_단가대비표!O154</f>
        <v>0</v>
      </c>
      <c r="F497" s="361">
        <f>TRUNC(E497*D497,1)</f>
        <v>0</v>
      </c>
      <c r="G497" s="370">
        <f>신규_단가대비표!P154</f>
        <v>234998.43458</v>
      </c>
      <c r="H497" s="361">
        <f>TRUNC(G497*D497,1)</f>
        <v>18799.8</v>
      </c>
      <c r="I497" s="370">
        <f>신규_단가대비표!V154</f>
        <v>0</v>
      </c>
      <c r="J497" s="361">
        <f>TRUNC(I497*D497,1)</f>
        <v>0</v>
      </c>
      <c r="K497" s="370">
        <f t="shared" si="96"/>
        <v>234998.39999999999</v>
      </c>
      <c r="L497" s="361">
        <f t="shared" si="96"/>
        <v>18799.8</v>
      </c>
      <c r="M497" s="333" t="s">
        <v>378</v>
      </c>
      <c r="N497" s="329" t="s">
        <v>1312</v>
      </c>
      <c r="O497" s="329" t="s">
        <v>2222</v>
      </c>
      <c r="P497" s="329" t="s">
        <v>1105</v>
      </c>
      <c r="Q497" s="329" t="s">
        <v>1105</v>
      </c>
      <c r="R497" s="329" t="s">
        <v>1104</v>
      </c>
      <c r="V497" s="330">
        <v>1</v>
      </c>
      <c r="AV497" s="329" t="s">
        <v>378</v>
      </c>
      <c r="AW497" s="329" t="s">
        <v>2762</v>
      </c>
      <c r="AX497" s="329" t="s">
        <v>378</v>
      </c>
      <c r="AY497" s="329" t="s">
        <v>378</v>
      </c>
    </row>
    <row r="498" spans="1:51" ht="30" customHeight="1">
      <c r="A498" s="333" t="s">
        <v>2217</v>
      </c>
      <c r="B498" s="333" t="s">
        <v>2218</v>
      </c>
      <c r="C498" s="333" t="s">
        <v>212</v>
      </c>
      <c r="D498" s="334">
        <v>1</v>
      </c>
      <c r="E498" s="370">
        <f>TRUNC(SUMIF(V496:V498, RIGHTB(O498, 1), H496:H498)*U498, 2)</f>
        <v>563.99</v>
      </c>
      <c r="F498" s="361">
        <f>TRUNC(E498*D498,1)</f>
        <v>563.9</v>
      </c>
      <c r="G498" s="370">
        <v>0</v>
      </c>
      <c r="H498" s="361">
        <f>TRUNC(G498*D498,1)</f>
        <v>0</v>
      </c>
      <c r="I498" s="370">
        <v>0</v>
      </c>
      <c r="J498" s="361">
        <f>TRUNC(I498*D498,1)</f>
        <v>0</v>
      </c>
      <c r="K498" s="370">
        <f t="shared" si="96"/>
        <v>563.9</v>
      </c>
      <c r="L498" s="361">
        <f t="shared" si="96"/>
        <v>563.9</v>
      </c>
      <c r="M498" s="333" t="s">
        <v>378</v>
      </c>
      <c r="N498" s="329" t="s">
        <v>1312</v>
      </c>
      <c r="O498" s="329" t="s">
        <v>2211</v>
      </c>
      <c r="P498" s="329" t="s">
        <v>1105</v>
      </c>
      <c r="Q498" s="329" t="s">
        <v>1105</v>
      </c>
      <c r="R498" s="329" t="s">
        <v>1105</v>
      </c>
      <c r="S498" s="330">
        <v>1</v>
      </c>
      <c r="T498" s="330">
        <v>0</v>
      </c>
      <c r="U498" s="330">
        <v>0.03</v>
      </c>
      <c r="V498" s="330">
        <v>1</v>
      </c>
      <c r="AV498" s="329" t="s">
        <v>378</v>
      </c>
      <c r="AW498" s="329" t="s">
        <v>2763</v>
      </c>
      <c r="AX498" s="329" t="s">
        <v>378</v>
      </c>
      <c r="AY498" s="329" t="s">
        <v>378</v>
      </c>
    </row>
    <row r="499" spans="1:51" ht="30" customHeight="1">
      <c r="A499" s="333" t="s">
        <v>2224</v>
      </c>
      <c r="B499" s="333" t="s">
        <v>378</v>
      </c>
      <c r="C499" s="333" t="s">
        <v>378</v>
      </c>
      <c r="D499" s="334"/>
      <c r="E499" s="370"/>
      <c r="F499" s="361">
        <f>TRUNC(SUMIF(N496:N498, N495, F496:F498),0)</f>
        <v>1754</v>
      </c>
      <c r="G499" s="370"/>
      <c r="H499" s="361">
        <f>TRUNC(SUMIF(N496:N498, N495, H496:H498),0)</f>
        <v>18799</v>
      </c>
      <c r="I499" s="370"/>
      <c r="J499" s="361">
        <f>TRUNC(SUMIF(N496:N498, N495, J496:J498),0)</f>
        <v>0</v>
      </c>
      <c r="K499" s="370"/>
      <c r="L499" s="361">
        <f>F499+H499+J499</f>
        <v>20553</v>
      </c>
      <c r="M499" s="333" t="s">
        <v>378</v>
      </c>
      <c r="N499" s="329" t="s">
        <v>1197</v>
      </c>
      <c r="O499" s="329" t="s">
        <v>1197</v>
      </c>
      <c r="P499" s="329" t="s">
        <v>378</v>
      </c>
      <c r="Q499" s="329" t="s">
        <v>378</v>
      </c>
      <c r="R499" s="329" t="s">
        <v>378</v>
      </c>
      <c r="AV499" s="329" t="s">
        <v>378</v>
      </c>
      <c r="AW499" s="329" t="s">
        <v>378</v>
      </c>
      <c r="AX499" s="329" t="s">
        <v>378</v>
      </c>
      <c r="AY499" s="329" t="s">
        <v>378</v>
      </c>
    </row>
    <row r="500" spans="1:51" ht="30" customHeight="1">
      <c r="A500" s="334"/>
      <c r="B500" s="334"/>
      <c r="C500" s="334"/>
      <c r="D500" s="334"/>
      <c r="E500" s="370"/>
      <c r="F500" s="361"/>
      <c r="G500" s="370"/>
      <c r="H500" s="361"/>
      <c r="I500" s="370"/>
      <c r="J500" s="361"/>
      <c r="K500" s="370"/>
      <c r="L500" s="361"/>
      <c r="M500" s="334"/>
    </row>
    <row r="501" spans="1:51" ht="30" customHeight="1">
      <c r="A501" s="718" t="s">
        <v>2764</v>
      </c>
      <c r="B501" s="718"/>
      <c r="C501" s="718"/>
      <c r="D501" s="718"/>
      <c r="E501" s="719"/>
      <c r="F501" s="720"/>
      <c r="G501" s="719"/>
      <c r="H501" s="720"/>
      <c r="I501" s="719"/>
      <c r="J501" s="720"/>
      <c r="K501" s="719"/>
      <c r="L501" s="720"/>
      <c r="M501" s="718"/>
      <c r="N501" s="329" t="s">
        <v>1315</v>
      </c>
    </row>
    <row r="502" spans="1:51" ht="30" customHeight="1">
      <c r="A502" s="333" t="s">
        <v>512</v>
      </c>
      <c r="B502" s="333" t="s">
        <v>2765</v>
      </c>
      <c r="C502" s="333" t="s">
        <v>265</v>
      </c>
      <c r="D502" s="334">
        <v>1</v>
      </c>
      <c r="E502" s="370">
        <f>신규_단가대비표!O93</f>
        <v>2160.4492</v>
      </c>
      <c r="F502" s="361">
        <f>TRUNC(E502*D502,1)</f>
        <v>2160.4</v>
      </c>
      <c r="G502" s="370">
        <f>신규_단가대비표!P93</f>
        <v>0</v>
      </c>
      <c r="H502" s="361">
        <f>TRUNC(G502*D502,1)</f>
        <v>0</v>
      </c>
      <c r="I502" s="370">
        <f>신규_단가대비표!V93</f>
        <v>0</v>
      </c>
      <c r="J502" s="361">
        <f>TRUNC(I502*D502,1)</f>
        <v>0</v>
      </c>
      <c r="K502" s="370">
        <f t="shared" ref="K502:L504" si="97">TRUNC(E502+G502+I502,1)</f>
        <v>2160.4</v>
      </c>
      <c r="L502" s="361">
        <f t="shared" si="97"/>
        <v>2160.4</v>
      </c>
      <c r="M502" s="333" t="s">
        <v>378</v>
      </c>
      <c r="N502" s="329" t="s">
        <v>1315</v>
      </c>
      <c r="O502" s="329" t="s">
        <v>2766</v>
      </c>
      <c r="P502" s="329" t="s">
        <v>1105</v>
      </c>
      <c r="Q502" s="329" t="s">
        <v>1105</v>
      </c>
      <c r="R502" s="329" t="s">
        <v>1104</v>
      </c>
      <c r="AV502" s="329" t="s">
        <v>378</v>
      </c>
      <c r="AW502" s="329" t="s">
        <v>2767</v>
      </c>
      <c r="AX502" s="329" t="s">
        <v>378</v>
      </c>
      <c r="AY502" s="329" t="s">
        <v>378</v>
      </c>
    </row>
    <row r="503" spans="1:51" ht="30" customHeight="1">
      <c r="A503" s="333" t="s">
        <v>1851</v>
      </c>
      <c r="B503" s="333" t="s">
        <v>2221</v>
      </c>
      <c r="C503" s="333" t="s">
        <v>1852</v>
      </c>
      <c r="D503" s="334">
        <f>신규_공량산출근거서_일위대가!K241</f>
        <v>0.08</v>
      </c>
      <c r="E503" s="370">
        <f>신규_단가대비표!O154</f>
        <v>0</v>
      </c>
      <c r="F503" s="361">
        <f>TRUNC(E503*D503,1)</f>
        <v>0</v>
      </c>
      <c r="G503" s="370">
        <f>신규_단가대비표!P154</f>
        <v>234998.43458</v>
      </c>
      <c r="H503" s="361">
        <f>TRUNC(G503*D503,1)</f>
        <v>18799.8</v>
      </c>
      <c r="I503" s="370">
        <f>신규_단가대비표!V154</f>
        <v>0</v>
      </c>
      <c r="J503" s="361">
        <f>TRUNC(I503*D503,1)</f>
        <v>0</v>
      </c>
      <c r="K503" s="370">
        <f t="shared" si="97"/>
        <v>234998.39999999999</v>
      </c>
      <c r="L503" s="361">
        <f t="shared" si="97"/>
        <v>18799.8</v>
      </c>
      <c r="M503" s="333" t="s">
        <v>378</v>
      </c>
      <c r="N503" s="329" t="s">
        <v>1315</v>
      </c>
      <c r="O503" s="329" t="s">
        <v>2222</v>
      </c>
      <c r="P503" s="329" t="s">
        <v>1105</v>
      </c>
      <c r="Q503" s="329" t="s">
        <v>1105</v>
      </c>
      <c r="R503" s="329" t="s">
        <v>1104</v>
      </c>
      <c r="V503" s="330">
        <v>1</v>
      </c>
      <c r="AV503" s="329" t="s">
        <v>378</v>
      </c>
      <c r="AW503" s="329" t="s">
        <v>2768</v>
      </c>
      <c r="AX503" s="329" t="s">
        <v>378</v>
      </c>
      <c r="AY503" s="329" t="s">
        <v>378</v>
      </c>
    </row>
    <row r="504" spans="1:51" ht="30" customHeight="1">
      <c r="A504" s="333" t="s">
        <v>2217</v>
      </c>
      <c r="B504" s="333" t="s">
        <v>2218</v>
      </c>
      <c r="C504" s="333" t="s">
        <v>212</v>
      </c>
      <c r="D504" s="334">
        <v>1</v>
      </c>
      <c r="E504" s="370">
        <f>TRUNC(SUMIF(V502:V504, RIGHTB(O504, 1), H502:H504)*U504, 2)</f>
        <v>563.99</v>
      </c>
      <c r="F504" s="361">
        <f>TRUNC(E504*D504,1)</f>
        <v>563.9</v>
      </c>
      <c r="G504" s="370">
        <v>0</v>
      </c>
      <c r="H504" s="361">
        <f>TRUNC(G504*D504,1)</f>
        <v>0</v>
      </c>
      <c r="I504" s="370">
        <v>0</v>
      </c>
      <c r="J504" s="361">
        <f>TRUNC(I504*D504,1)</f>
        <v>0</v>
      </c>
      <c r="K504" s="370">
        <f t="shared" si="97"/>
        <v>563.9</v>
      </c>
      <c r="L504" s="361">
        <f t="shared" si="97"/>
        <v>563.9</v>
      </c>
      <c r="M504" s="333" t="s">
        <v>378</v>
      </c>
      <c r="N504" s="329" t="s">
        <v>1315</v>
      </c>
      <c r="O504" s="329" t="s">
        <v>2211</v>
      </c>
      <c r="P504" s="329" t="s">
        <v>1105</v>
      </c>
      <c r="Q504" s="329" t="s">
        <v>1105</v>
      </c>
      <c r="R504" s="329" t="s">
        <v>1105</v>
      </c>
      <c r="S504" s="330">
        <v>1</v>
      </c>
      <c r="T504" s="330">
        <v>0</v>
      </c>
      <c r="U504" s="330">
        <v>0.03</v>
      </c>
      <c r="V504" s="330">
        <v>1</v>
      </c>
      <c r="AV504" s="329" t="s">
        <v>378</v>
      </c>
      <c r="AW504" s="329" t="s">
        <v>2769</v>
      </c>
      <c r="AX504" s="329" t="s">
        <v>378</v>
      </c>
      <c r="AY504" s="329" t="s">
        <v>378</v>
      </c>
    </row>
    <row r="505" spans="1:51" ht="30" customHeight="1">
      <c r="A505" s="333" t="s">
        <v>2224</v>
      </c>
      <c r="B505" s="333" t="s">
        <v>378</v>
      </c>
      <c r="C505" s="333" t="s">
        <v>378</v>
      </c>
      <c r="D505" s="334"/>
      <c r="E505" s="370"/>
      <c r="F505" s="361">
        <f>TRUNC(SUMIF(N502:N504, N501, F502:F504),0)</f>
        <v>2724</v>
      </c>
      <c r="G505" s="370"/>
      <c r="H505" s="361">
        <f>TRUNC(SUMIF(N502:N504, N501, H502:H504),0)</f>
        <v>18799</v>
      </c>
      <c r="I505" s="370"/>
      <c r="J505" s="361">
        <f>TRUNC(SUMIF(N502:N504, N501, J502:J504),0)</f>
        <v>0</v>
      </c>
      <c r="K505" s="370"/>
      <c r="L505" s="361">
        <f>F505+H505+J505</f>
        <v>21523</v>
      </c>
      <c r="M505" s="333" t="s">
        <v>378</v>
      </c>
      <c r="N505" s="329" t="s">
        <v>1197</v>
      </c>
      <c r="O505" s="329" t="s">
        <v>1197</v>
      </c>
      <c r="P505" s="329" t="s">
        <v>378</v>
      </c>
      <c r="Q505" s="329" t="s">
        <v>378</v>
      </c>
      <c r="R505" s="329" t="s">
        <v>378</v>
      </c>
      <c r="AV505" s="329" t="s">
        <v>378</v>
      </c>
      <c r="AW505" s="329" t="s">
        <v>378</v>
      </c>
      <c r="AX505" s="329" t="s">
        <v>378</v>
      </c>
      <c r="AY505" s="329" t="s">
        <v>378</v>
      </c>
    </row>
    <row r="506" spans="1:51" ht="30" customHeight="1">
      <c r="A506" s="334"/>
      <c r="B506" s="334"/>
      <c r="C506" s="334"/>
      <c r="D506" s="334"/>
      <c r="E506" s="370"/>
      <c r="F506" s="361"/>
      <c r="G506" s="370"/>
      <c r="H506" s="361"/>
      <c r="I506" s="370"/>
      <c r="J506" s="361"/>
      <c r="K506" s="370"/>
      <c r="L506" s="361"/>
      <c r="M506" s="334"/>
    </row>
    <row r="507" spans="1:51" ht="30" customHeight="1">
      <c r="A507" s="718" t="s">
        <v>2770</v>
      </c>
      <c r="B507" s="718"/>
      <c r="C507" s="718"/>
      <c r="D507" s="718"/>
      <c r="E507" s="719"/>
      <c r="F507" s="720"/>
      <c r="G507" s="719"/>
      <c r="H507" s="720"/>
      <c r="I507" s="719"/>
      <c r="J507" s="720"/>
      <c r="K507" s="719"/>
      <c r="L507" s="720"/>
      <c r="M507" s="718"/>
      <c r="N507" s="329" t="s">
        <v>1318</v>
      </c>
    </row>
    <row r="508" spans="1:51" ht="30" customHeight="1">
      <c r="A508" s="333" t="s">
        <v>2771</v>
      </c>
      <c r="B508" s="333" t="s">
        <v>378</v>
      </c>
      <c r="C508" s="333" t="s">
        <v>265</v>
      </c>
      <c r="D508" s="334">
        <v>1</v>
      </c>
      <c r="E508" s="370">
        <f>신규_단가대비표!O94</f>
        <v>52683.085000000006</v>
      </c>
      <c r="F508" s="361">
        <f>TRUNC(E508*D508,1)</f>
        <v>52683</v>
      </c>
      <c r="G508" s="370">
        <f>신규_단가대비표!P94</f>
        <v>0</v>
      </c>
      <c r="H508" s="361">
        <f>TRUNC(G508*D508,1)</f>
        <v>0</v>
      </c>
      <c r="I508" s="370">
        <f>신규_단가대비표!V94</f>
        <v>0</v>
      </c>
      <c r="J508" s="361">
        <f>TRUNC(I508*D508,1)</f>
        <v>0</v>
      </c>
      <c r="K508" s="370">
        <f t="shared" ref="K508:L510" si="98">TRUNC(E508+G508+I508,1)</f>
        <v>52683</v>
      </c>
      <c r="L508" s="361">
        <f t="shared" si="98"/>
        <v>52683</v>
      </c>
      <c r="M508" s="333" t="s">
        <v>378</v>
      </c>
      <c r="N508" s="329" t="s">
        <v>1318</v>
      </c>
      <c r="O508" s="329" t="s">
        <v>2772</v>
      </c>
      <c r="P508" s="329" t="s">
        <v>1105</v>
      </c>
      <c r="Q508" s="329" t="s">
        <v>1105</v>
      </c>
      <c r="R508" s="329" t="s">
        <v>1104</v>
      </c>
      <c r="AV508" s="329" t="s">
        <v>378</v>
      </c>
      <c r="AW508" s="329" t="s">
        <v>2773</v>
      </c>
      <c r="AX508" s="329" t="s">
        <v>378</v>
      </c>
      <c r="AY508" s="329" t="s">
        <v>378</v>
      </c>
    </row>
    <row r="509" spans="1:51" ht="30" customHeight="1">
      <c r="A509" s="333" t="s">
        <v>2217</v>
      </c>
      <c r="B509" s="333" t="s">
        <v>2218</v>
      </c>
      <c r="C509" s="333" t="s">
        <v>212</v>
      </c>
      <c r="D509" s="334">
        <v>1</v>
      </c>
      <c r="E509" s="370">
        <f>TRUNC(SUMIF(V508:V510, RIGHTB(O509, 1), H508:H510)*U509, 2)</f>
        <v>669.74</v>
      </c>
      <c r="F509" s="361">
        <f>TRUNC(E509*D509,1)</f>
        <v>669.7</v>
      </c>
      <c r="G509" s="370">
        <v>0</v>
      </c>
      <c r="H509" s="361">
        <f>TRUNC(G509*D509,1)</f>
        <v>0</v>
      </c>
      <c r="I509" s="370">
        <v>0</v>
      </c>
      <c r="J509" s="361">
        <f>TRUNC(I509*D509,1)</f>
        <v>0</v>
      </c>
      <c r="K509" s="370">
        <f t="shared" si="98"/>
        <v>669.7</v>
      </c>
      <c r="L509" s="361">
        <f t="shared" si="98"/>
        <v>669.7</v>
      </c>
      <c r="M509" s="333" t="s">
        <v>378</v>
      </c>
      <c r="N509" s="329" t="s">
        <v>1318</v>
      </c>
      <c r="O509" s="329" t="s">
        <v>2211</v>
      </c>
      <c r="P509" s="329" t="s">
        <v>1105</v>
      </c>
      <c r="Q509" s="329" t="s">
        <v>1105</v>
      </c>
      <c r="R509" s="329" t="s">
        <v>1105</v>
      </c>
      <c r="S509" s="330">
        <v>1</v>
      </c>
      <c r="T509" s="330">
        <v>0</v>
      </c>
      <c r="U509" s="330">
        <v>0.03</v>
      </c>
      <c r="V509" s="330">
        <v>1</v>
      </c>
      <c r="AV509" s="329" t="s">
        <v>378</v>
      </c>
      <c r="AW509" s="329" t="s">
        <v>2774</v>
      </c>
      <c r="AX509" s="329" t="s">
        <v>378</v>
      </c>
      <c r="AY509" s="329" t="s">
        <v>378</v>
      </c>
    </row>
    <row r="510" spans="1:51" ht="30" customHeight="1">
      <c r="A510" s="333" t="s">
        <v>1851</v>
      </c>
      <c r="B510" s="333" t="s">
        <v>2221</v>
      </c>
      <c r="C510" s="333" t="s">
        <v>1852</v>
      </c>
      <c r="D510" s="334">
        <f>신규_공량산출근거서_일위대가!K244</f>
        <v>9.5000000000000001E-2</v>
      </c>
      <c r="E510" s="370">
        <f>신규_단가대비표!O154</f>
        <v>0</v>
      </c>
      <c r="F510" s="361">
        <f>TRUNC(E510*D510,1)</f>
        <v>0</v>
      </c>
      <c r="G510" s="370">
        <f>신규_단가대비표!P154</f>
        <v>234998.43458</v>
      </c>
      <c r="H510" s="361">
        <f>TRUNC(G510*D510,1)</f>
        <v>22324.799999999999</v>
      </c>
      <c r="I510" s="370">
        <f>신규_단가대비표!V154</f>
        <v>0</v>
      </c>
      <c r="J510" s="361">
        <f>TRUNC(I510*D510,1)</f>
        <v>0</v>
      </c>
      <c r="K510" s="370">
        <f t="shared" si="98"/>
        <v>234998.39999999999</v>
      </c>
      <c r="L510" s="361">
        <f t="shared" si="98"/>
        <v>22324.799999999999</v>
      </c>
      <c r="M510" s="333" t="s">
        <v>378</v>
      </c>
      <c r="N510" s="329" t="s">
        <v>1318</v>
      </c>
      <c r="O510" s="329" t="s">
        <v>2222</v>
      </c>
      <c r="P510" s="329" t="s">
        <v>1105</v>
      </c>
      <c r="Q510" s="329" t="s">
        <v>1105</v>
      </c>
      <c r="R510" s="329" t="s">
        <v>1104</v>
      </c>
      <c r="V510" s="330">
        <v>1</v>
      </c>
      <c r="AV510" s="329" t="s">
        <v>378</v>
      </c>
      <c r="AW510" s="329" t="s">
        <v>2775</v>
      </c>
      <c r="AX510" s="329" t="s">
        <v>378</v>
      </c>
      <c r="AY510" s="329" t="s">
        <v>378</v>
      </c>
    </row>
    <row r="511" spans="1:51" ht="30" customHeight="1">
      <c r="A511" s="333" t="s">
        <v>2224</v>
      </c>
      <c r="B511" s="333" t="s">
        <v>378</v>
      </c>
      <c r="C511" s="333" t="s">
        <v>378</v>
      </c>
      <c r="D511" s="334"/>
      <c r="E511" s="370"/>
      <c r="F511" s="361">
        <f>TRUNC(SUMIF(N508:N510, N507, F508:F510),0)</f>
        <v>53352</v>
      </c>
      <c r="G511" s="370"/>
      <c r="H511" s="361">
        <f>TRUNC(SUMIF(N508:N510, N507, H508:H510),0)</f>
        <v>22324</v>
      </c>
      <c r="I511" s="370"/>
      <c r="J511" s="361">
        <f>TRUNC(SUMIF(N508:N510, N507, J508:J510),0)</f>
        <v>0</v>
      </c>
      <c r="K511" s="370"/>
      <c r="L511" s="361">
        <f>F511+H511+J511</f>
        <v>75676</v>
      </c>
      <c r="M511" s="333" t="s">
        <v>378</v>
      </c>
      <c r="N511" s="329" t="s">
        <v>1197</v>
      </c>
      <c r="O511" s="329" t="s">
        <v>1197</v>
      </c>
      <c r="P511" s="329" t="s">
        <v>378</v>
      </c>
      <c r="Q511" s="329" t="s">
        <v>378</v>
      </c>
      <c r="R511" s="329" t="s">
        <v>378</v>
      </c>
      <c r="AV511" s="329" t="s">
        <v>378</v>
      </c>
      <c r="AW511" s="329" t="s">
        <v>378</v>
      </c>
      <c r="AX511" s="329" t="s">
        <v>378</v>
      </c>
      <c r="AY511" s="329" t="s">
        <v>378</v>
      </c>
    </row>
    <row r="512" spans="1:51" ht="30" customHeight="1">
      <c r="A512" s="334"/>
      <c r="B512" s="334"/>
      <c r="C512" s="334"/>
      <c r="D512" s="334"/>
      <c r="E512" s="370"/>
      <c r="F512" s="361"/>
      <c r="G512" s="370"/>
      <c r="H512" s="361"/>
      <c r="I512" s="370"/>
      <c r="J512" s="361"/>
      <c r="K512" s="370"/>
      <c r="L512" s="361"/>
      <c r="M512" s="334"/>
    </row>
    <row r="513" spans="1:51" ht="30" customHeight="1">
      <c r="A513" s="721" t="s">
        <v>2776</v>
      </c>
      <c r="B513" s="721"/>
      <c r="C513" s="721"/>
      <c r="D513" s="721"/>
      <c r="E513" s="722"/>
      <c r="F513" s="723"/>
      <c r="G513" s="722"/>
      <c r="H513" s="723"/>
      <c r="I513" s="722"/>
      <c r="J513" s="723"/>
      <c r="K513" s="722"/>
      <c r="L513" s="723"/>
      <c r="M513" s="721"/>
      <c r="N513" s="329" t="s">
        <v>1324</v>
      </c>
    </row>
    <row r="514" spans="1:51" ht="30" customHeight="1">
      <c r="A514" s="336" t="s">
        <v>446</v>
      </c>
      <c r="B514" s="336" t="s">
        <v>2777</v>
      </c>
      <c r="C514" s="336" t="s">
        <v>255</v>
      </c>
      <c r="D514" s="337">
        <v>1.1000000000000001</v>
      </c>
      <c r="E514" s="371">
        <f>신규_단가대비표!O137</f>
        <v>318.75480000000005</v>
      </c>
      <c r="F514" s="362">
        <f>TRUNC(E514*D514,1)</f>
        <v>350.6</v>
      </c>
      <c r="G514" s="371">
        <f>신규_단가대비표!P137</f>
        <v>0</v>
      </c>
      <c r="H514" s="362">
        <f>TRUNC(G514*D514,1)</f>
        <v>0</v>
      </c>
      <c r="I514" s="371">
        <f>신규_단가대비표!V137</f>
        <v>0</v>
      </c>
      <c r="J514" s="362">
        <f>TRUNC(I514*D514,1)</f>
        <v>0</v>
      </c>
      <c r="K514" s="371">
        <f t="shared" ref="K514:L518" si="99">TRUNC(E514+G514+I514,1)</f>
        <v>318.7</v>
      </c>
      <c r="L514" s="362">
        <f t="shared" si="99"/>
        <v>350.6</v>
      </c>
      <c r="M514" s="336" t="s">
        <v>378</v>
      </c>
      <c r="N514" s="329" t="s">
        <v>1324</v>
      </c>
      <c r="O514" s="329" t="s">
        <v>2778</v>
      </c>
      <c r="P514" s="329" t="s">
        <v>1105</v>
      </c>
      <c r="Q514" s="329" t="s">
        <v>1105</v>
      </c>
      <c r="R514" s="329" t="s">
        <v>1104</v>
      </c>
      <c r="V514" s="330">
        <v>1</v>
      </c>
      <c r="W514" s="330">
        <v>2</v>
      </c>
      <c r="AV514" s="329" t="s">
        <v>378</v>
      </c>
      <c r="AW514" s="329" t="s">
        <v>2779</v>
      </c>
      <c r="AX514" s="329" t="s">
        <v>378</v>
      </c>
      <c r="AY514" s="329" t="s">
        <v>378</v>
      </c>
    </row>
    <row r="515" spans="1:51" ht="30" customHeight="1">
      <c r="A515" s="336" t="s">
        <v>2209</v>
      </c>
      <c r="B515" s="336" t="s">
        <v>2210</v>
      </c>
      <c r="C515" s="336" t="s">
        <v>212</v>
      </c>
      <c r="D515" s="337">
        <v>1</v>
      </c>
      <c r="E515" s="371">
        <f>TRUNC(SUMIF(V514:V518, RIGHTB(O515, 1), F514:F518)*U515, 2)</f>
        <v>52.59</v>
      </c>
      <c r="F515" s="362">
        <f>TRUNC(E515*D515,1)</f>
        <v>52.5</v>
      </c>
      <c r="G515" s="371">
        <v>0</v>
      </c>
      <c r="H515" s="362">
        <f>TRUNC(G515*D515,1)</f>
        <v>0</v>
      </c>
      <c r="I515" s="371">
        <v>0</v>
      </c>
      <c r="J515" s="362">
        <f>TRUNC(I515*D515,1)</f>
        <v>0</v>
      </c>
      <c r="K515" s="371">
        <f t="shared" si="99"/>
        <v>52.5</v>
      </c>
      <c r="L515" s="362">
        <f t="shared" si="99"/>
        <v>52.5</v>
      </c>
      <c r="M515" s="336" t="s">
        <v>378</v>
      </c>
      <c r="N515" s="329" t="s">
        <v>1324</v>
      </c>
      <c r="O515" s="329" t="s">
        <v>2211</v>
      </c>
      <c r="P515" s="329" t="s">
        <v>1105</v>
      </c>
      <c r="Q515" s="329" t="s">
        <v>1105</v>
      </c>
      <c r="R515" s="329" t="s">
        <v>1105</v>
      </c>
      <c r="S515" s="330">
        <v>0</v>
      </c>
      <c r="T515" s="330">
        <v>0</v>
      </c>
      <c r="U515" s="330">
        <v>0.15</v>
      </c>
      <c r="X515" s="330">
        <v>3</v>
      </c>
      <c r="AV515" s="329" t="s">
        <v>378</v>
      </c>
      <c r="AW515" s="329" t="s">
        <v>2780</v>
      </c>
      <c r="AX515" s="329" t="s">
        <v>378</v>
      </c>
      <c r="AY515" s="329" t="s">
        <v>378</v>
      </c>
    </row>
    <row r="516" spans="1:51" ht="30" customHeight="1">
      <c r="A516" s="336" t="s">
        <v>2213</v>
      </c>
      <c r="B516" s="336" t="s">
        <v>2214</v>
      </c>
      <c r="C516" s="336" t="s">
        <v>212</v>
      </c>
      <c r="D516" s="337">
        <v>1</v>
      </c>
      <c r="E516" s="371">
        <f>TRUNC(SUMIF(W514:W518, RIGHTB(O516, 1), F514:F518)*U516, 2)</f>
        <v>7.01</v>
      </c>
      <c r="F516" s="362">
        <f>TRUNC(E516*D516,1)</f>
        <v>7</v>
      </c>
      <c r="G516" s="371">
        <v>0</v>
      </c>
      <c r="H516" s="362">
        <f>TRUNC(G516*D516,1)</f>
        <v>0</v>
      </c>
      <c r="I516" s="371">
        <v>0</v>
      </c>
      <c r="J516" s="362">
        <f>TRUNC(I516*D516,1)</f>
        <v>0</v>
      </c>
      <c r="K516" s="371">
        <f t="shared" si="99"/>
        <v>7</v>
      </c>
      <c r="L516" s="362">
        <f t="shared" si="99"/>
        <v>7</v>
      </c>
      <c r="M516" s="336" t="s">
        <v>378</v>
      </c>
      <c r="N516" s="329" t="s">
        <v>1324</v>
      </c>
      <c r="O516" s="329" t="s">
        <v>2215</v>
      </c>
      <c r="P516" s="329" t="s">
        <v>1105</v>
      </c>
      <c r="Q516" s="329" t="s">
        <v>1105</v>
      </c>
      <c r="R516" s="329" t="s">
        <v>1105</v>
      </c>
      <c r="S516" s="330">
        <v>0</v>
      </c>
      <c r="T516" s="330">
        <v>0</v>
      </c>
      <c r="U516" s="330">
        <v>0.02</v>
      </c>
      <c r="X516" s="330">
        <v>3</v>
      </c>
      <c r="AV516" s="329" t="s">
        <v>378</v>
      </c>
      <c r="AW516" s="329" t="s">
        <v>2781</v>
      </c>
      <c r="AX516" s="329" t="s">
        <v>378</v>
      </c>
      <c r="AY516" s="329" t="s">
        <v>378</v>
      </c>
    </row>
    <row r="517" spans="1:51" ht="30" customHeight="1">
      <c r="A517" s="336" t="s">
        <v>2217</v>
      </c>
      <c r="B517" s="336" t="s">
        <v>2395</v>
      </c>
      <c r="C517" s="336" t="s">
        <v>212</v>
      </c>
      <c r="D517" s="337">
        <v>1</v>
      </c>
      <c r="E517" s="371">
        <v>227.8</v>
      </c>
      <c r="F517" s="362">
        <f>TRUNC(E517*D517,1)</f>
        <v>227.8</v>
      </c>
      <c r="G517" s="371">
        <v>0</v>
      </c>
      <c r="H517" s="362">
        <f>TRUNC(G517*D517,1)</f>
        <v>0</v>
      </c>
      <c r="I517" s="371">
        <v>0</v>
      </c>
      <c r="J517" s="362">
        <f>TRUNC(I517*D517,1)</f>
        <v>0</v>
      </c>
      <c r="K517" s="371">
        <f t="shared" si="99"/>
        <v>227.8</v>
      </c>
      <c r="L517" s="362">
        <f t="shared" si="99"/>
        <v>227.8</v>
      </c>
      <c r="M517" s="336" t="s">
        <v>378</v>
      </c>
      <c r="N517" s="329" t="s">
        <v>1324</v>
      </c>
      <c r="O517" s="329" t="s">
        <v>2219</v>
      </c>
      <c r="P517" s="329" t="s">
        <v>1105</v>
      </c>
      <c r="Q517" s="329" t="s">
        <v>1105</v>
      </c>
      <c r="R517" s="329" t="s">
        <v>1105</v>
      </c>
      <c r="S517" s="330">
        <v>1</v>
      </c>
      <c r="T517" s="330">
        <v>0</v>
      </c>
      <c r="U517" s="330">
        <v>0.03</v>
      </c>
      <c r="X517" s="330">
        <v>3</v>
      </c>
      <c r="AV517" s="329" t="s">
        <v>378</v>
      </c>
      <c r="AW517" s="329" t="s">
        <v>2780</v>
      </c>
      <c r="AX517" s="329" t="s">
        <v>378</v>
      </c>
      <c r="AY517" s="329" t="s">
        <v>378</v>
      </c>
    </row>
    <row r="518" spans="1:51" ht="30" customHeight="1">
      <c r="A518" s="336" t="s">
        <v>1851</v>
      </c>
      <c r="B518" s="336" t="s">
        <v>2221</v>
      </c>
      <c r="C518" s="336" t="s">
        <v>1852</v>
      </c>
      <c r="D518" s="337">
        <f>신규_공량산출근거서_일위대가!K247</f>
        <v>4.3999999999999997E-2</v>
      </c>
      <c r="E518" s="371">
        <f>신규_단가대비표!O154</f>
        <v>0</v>
      </c>
      <c r="F518" s="362">
        <f>TRUNC(E518*D518,1)</f>
        <v>0</v>
      </c>
      <c r="G518" s="371">
        <v>258917</v>
      </c>
      <c r="H518" s="362">
        <f>TRUNC(G518*D518,1)</f>
        <v>11392.3</v>
      </c>
      <c r="I518" s="371">
        <f>신규_단가대비표!V154</f>
        <v>0</v>
      </c>
      <c r="J518" s="362">
        <f>TRUNC(I518*D518,1)</f>
        <v>0</v>
      </c>
      <c r="K518" s="371">
        <f t="shared" si="99"/>
        <v>258917</v>
      </c>
      <c r="L518" s="362">
        <f t="shared" si="99"/>
        <v>11392.3</v>
      </c>
      <c r="M518" s="336" t="s">
        <v>378</v>
      </c>
      <c r="N518" s="329" t="s">
        <v>1324</v>
      </c>
      <c r="O518" s="329" t="s">
        <v>2222</v>
      </c>
      <c r="P518" s="329" t="s">
        <v>1105</v>
      </c>
      <c r="Q518" s="329" t="s">
        <v>1105</v>
      </c>
      <c r="R518" s="329" t="s">
        <v>1104</v>
      </c>
      <c r="AV518" s="329" t="s">
        <v>378</v>
      </c>
      <c r="AW518" s="329" t="s">
        <v>2782</v>
      </c>
      <c r="AX518" s="329" t="s">
        <v>378</v>
      </c>
      <c r="AY518" s="329" t="s">
        <v>378</v>
      </c>
    </row>
    <row r="519" spans="1:51" ht="30" customHeight="1">
      <c r="A519" s="336" t="s">
        <v>2224</v>
      </c>
      <c r="B519" s="336" t="s">
        <v>378</v>
      </c>
      <c r="C519" s="336" t="s">
        <v>378</v>
      </c>
      <c r="D519" s="337"/>
      <c r="E519" s="371"/>
      <c r="F519" s="362">
        <f>TRUNC(SUMIF(N514:N518, N513, F514:F518),0)</f>
        <v>637</v>
      </c>
      <c r="G519" s="371"/>
      <c r="H519" s="362">
        <f>TRUNC(SUMIF(N514:N518, N513, H514:H518),0)</f>
        <v>11392</v>
      </c>
      <c r="I519" s="371"/>
      <c r="J519" s="362">
        <f>TRUNC(SUMIF(N514:N518, N513, J514:J518),0)</f>
        <v>0</v>
      </c>
      <c r="K519" s="371"/>
      <c r="L519" s="362">
        <f>F519+H519+J519</f>
        <v>12029</v>
      </c>
      <c r="M519" s="336" t="s">
        <v>378</v>
      </c>
      <c r="N519" s="329" t="s">
        <v>1197</v>
      </c>
      <c r="O519" s="329" t="s">
        <v>1197</v>
      </c>
      <c r="P519" s="329" t="s">
        <v>378</v>
      </c>
      <c r="Q519" s="329" t="s">
        <v>378</v>
      </c>
      <c r="R519" s="329" t="s">
        <v>378</v>
      </c>
      <c r="AV519" s="329" t="s">
        <v>378</v>
      </c>
      <c r="AW519" s="329" t="s">
        <v>378</v>
      </c>
      <c r="AX519" s="329" t="s">
        <v>378</v>
      </c>
      <c r="AY519" s="329" t="s">
        <v>378</v>
      </c>
    </row>
    <row r="520" spans="1:51" ht="30" customHeight="1">
      <c r="A520" s="337"/>
      <c r="B520" s="337"/>
      <c r="C520" s="337"/>
      <c r="D520" s="337"/>
      <c r="E520" s="371"/>
      <c r="F520" s="362"/>
      <c r="G520" s="371"/>
      <c r="H520" s="362"/>
      <c r="I520" s="371"/>
      <c r="J520" s="362"/>
      <c r="K520" s="371"/>
      <c r="L520" s="362"/>
      <c r="M520" s="337"/>
    </row>
    <row r="521" spans="1:51" ht="30" customHeight="1">
      <c r="A521" s="721" t="s">
        <v>2783</v>
      </c>
      <c r="B521" s="721"/>
      <c r="C521" s="721"/>
      <c r="D521" s="721"/>
      <c r="E521" s="722"/>
      <c r="F521" s="723"/>
      <c r="G521" s="722"/>
      <c r="H521" s="723"/>
      <c r="I521" s="722"/>
      <c r="J521" s="723"/>
      <c r="K521" s="722"/>
      <c r="L521" s="723"/>
      <c r="M521" s="721"/>
      <c r="N521" s="329" t="s">
        <v>1329</v>
      </c>
    </row>
    <row r="522" spans="1:51" ht="30" customHeight="1">
      <c r="A522" s="336" t="s">
        <v>2735</v>
      </c>
      <c r="B522" s="336" t="s">
        <v>2784</v>
      </c>
      <c r="C522" s="336" t="s">
        <v>265</v>
      </c>
      <c r="D522" s="337">
        <v>1</v>
      </c>
      <c r="E522" s="371">
        <f>신규_단가대비표!O86</f>
        <v>494.06994000000003</v>
      </c>
      <c r="F522" s="362">
        <f>TRUNC(E522*D522,1)</f>
        <v>494</v>
      </c>
      <c r="G522" s="371">
        <f>신규_단가대비표!P86</f>
        <v>0</v>
      </c>
      <c r="H522" s="362">
        <f>TRUNC(G522*D522,1)</f>
        <v>0</v>
      </c>
      <c r="I522" s="371">
        <f>신규_단가대비표!V86</f>
        <v>0</v>
      </c>
      <c r="J522" s="362">
        <f>TRUNC(I522*D522,1)</f>
        <v>0</v>
      </c>
      <c r="K522" s="371">
        <f t="shared" ref="K522:L525" si="100">TRUNC(E522+G522+I522,1)</f>
        <v>494</v>
      </c>
      <c r="L522" s="362">
        <f t="shared" si="100"/>
        <v>494</v>
      </c>
      <c r="M522" s="336" t="s">
        <v>378</v>
      </c>
      <c r="N522" s="329" t="s">
        <v>1329</v>
      </c>
      <c r="O522" s="329" t="s">
        <v>2785</v>
      </c>
      <c r="P522" s="329" t="s">
        <v>1105</v>
      </c>
      <c r="Q522" s="329" t="s">
        <v>1105</v>
      </c>
      <c r="R522" s="329" t="s">
        <v>1104</v>
      </c>
      <c r="AV522" s="329" t="s">
        <v>378</v>
      </c>
      <c r="AW522" s="329" t="s">
        <v>2786</v>
      </c>
      <c r="AX522" s="329" t="s">
        <v>378</v>
      </c>
      <c r="AY522" s="329" t="s">
        <v>378</v>
      </c>
    </row>
    <row r="523" spans="1:51" ht="30" customHeight="1">
      <c r="A523" s="336" t="s">
        <v>2735</v>
      </c>
      <c r="B523" s="336" t="s">
        <v>2787</v>
      </c>
      <c r="C523" s="336" t="s">
        <v>265</v>
      </c>
      <c r="D523" s="337">
        <v>1</v>
      </c>
      <c r="E523" s="371">
        <f>신규_단가대비표!O89</f>
        <v>249.69126000000003</v>
      </c>
      <c r="F523" s="362">
        <f>TRUNC(E523*D523,1)</f>
        <v>249.6</v>
      </c>
      <c r="G523" s="371">
        <f>신규_단가대비표!P89</f>
        <v>0</v>
      </c>
      <c r="H523" s="362">
        <f>TRUNC(G523*D523,1)</f>
        <v>0</v>
      </c>
      <c r="I523" s="371">
        <f>신규_단가대비표!V89</f>
        <v>0</v>
      </c>
      <c r="J523" s="362">
        <f>TRUNC(I523*D523,1)</f>
        <v>0</v>
      </c>
      <c r="K523" s="371">
        <f t="shared" si="100"/>
        <v>249.6</v>
      </c>
      <c r="L523" s="362">
        <f t="shared" si="100"/>
        <v>249.6</v>
      </c>
      <c r="M523" s="336" t="s">
        <v>378</v>
      </c>
      <c r="N523" s="329" t="s">
        <v>1329</v>
      </c>
      <c r="O523" s="329" t="s">
        <v>2788</v>
      </c>
      <c r="P523" s="329" t="s">
        <v>1105</v>
      </c>
      <c r="Q523" s="329" t="s">
        <v>1105</v>
      </c>
      <c r="R523" s="329" t="s">
        <v>1104</v>
      </c>
      <c r="AV523" s="329" t="s">
        <v>378</v>
      </c>
      <c r="AW523" s="329" t="s">
        <v>2789</v>
      </c>
      <c r="AX523" s="329" t="s">
        <v>378</v>
      </c>
      <c r="AY523" s="329" t="s">
        <v>378</v>
      </c>
    </row>
    <row r="524" spans="1:51" ht="30" customHeight="1">
      <c r="A524" s="336" t="s">
        <v>1851</v>
      </c>
      <c r="B524" s="336" t="s">
        <v>2221</v>
      </c>
      <c r="C524" s="336" t="s">
        <v>1852</v>
      </c>
      <c r="D524" s="411">
        <f>신규_공량산출근거서_일위대가!K250</f>
        <v>0.12</v>
      </c>
      <c r="E524" s="371">
        <f>신규_단가대비표!O154</f>
        <v>0</v>
      </c>
      <c r="F524" s="362">
        <f>TRUNC(E524*D524,1)</f>
        <v>0</v>
      </c>
      <c r="G524" s="371">
        <v>258917</v>
      </c>
      <c r="H524" s="362">
        <f>TRUNC(G524*D524,1)</f>
        <v>31070</v>
      </c>
      <c r="I524" s="371">
        <f>신규_단가대비표!V154</f>
        <v>0</v>
      </c>
      <c r="J524" s="362">
        <f>TRUNC(I524*D524,1)</f>
        <v>0</v>
      </c>
      <c r="K524" s="371">
        <f t="shared" si="100"/>
        <v>258917</v>
      </c>
      <c r="L524" s="362">
        <f t="shared" si="100"/>
        <v>31070</v>
      </c>
      <c r="M524" s="336" t="s">
        <v>378</v>
      </c>
      <c r="N524" s="329" t="s">
        <v>1329</v>
      </c>
      <c r="O524" s="329" t="s">
        <v>2222</v>
      </c>
      <c r="P524" s="329" t="s">
        <v>1105</v>
      </c>
      <c r="Q524" s="329" t="s">
        <v>1105</v>
      </c>
      <c r="R524" s="329" t="s">
        <v>1104</v>
      </c>
      <c r="V524" s="330">
        <v>1</v>
      </c>
      <c r="AV524" s="329" t="s">
        <v>378</v>
      </c>
      <c r="AW524" s="329" t="s">
        <v>2790</v>
      </c>
      <c r="AX524" s="329" t="s">
        <v>378</v>
      </c>
      <c r="AY524" s="329" t="s">
        <v>378</v>
      </c>
    </row>
    <row r="525" spans="1:51" ht="30" customHeight="1">
      <c r="A525" s="336" t="s">
        <v>2217</v>
      </c>
      <c r="B525" s="336" t="s">
        <v>2395</v>
      </c>
      <c r="C525" s="336" t="s">
        <v>212</v>
      </c>
      <c r="D525" s="337">
        <v>1</v>
      </c>
      <c r="E525" s="371">
        <v>621.4</v>
      </c>
      <c r="F525" s="362">
        <f>TRUNC(E525*D525,1)</f>
        <v>621.4</v>
      </c>
      <c r="G525" s="371">
        <v>0</v>
      </c>
      <c r="H525" s="362">
        <f>TRUNC(G525*D525,1)</f>
        <v>0</v>
      </c>
      <c r="I525" s="371">
        <v>0</v>
      </c>
      <c r="J525" s="362">
        <f>TRUNC(I525*D525,1)</f>
        <v>0</v>
      </c>
      <c r="K525" s="371">
        <f t="shared" si="100"/>
        <v>621.4</v>
      </c>
      <c r="L525" s="362">
        <f t="shared" si="100"/>
        <v>621.4</v>
      </c>
      <c r="M525" s="336" t="s">
        <v>378</v>
      </c>
      <c r="N525" s="329" t="s">
        <v>1329</v>
      </c>
      <c r="O525" s="329" t="s">
        <v>2211</v>
      </c>
      <c r="P525" s="329" t="s">
        <v>1105</v>
      </c>
      <c r="Q525" s="329" t="s">
        <v>1105</v>
      </c>
      <c r="R525" s="329" t="s">
        <v>1105</v>
      </c>
      <c r="S525" s="330">
        <v>1</v>
      </c>
      <c r="T525" s="330">
        <v>0</v>
      </c>
      <c r="U525" s="330">
        <v>0.03</v>
      </c>
      <c r="V525" s="330">
        <v>1</v>
      </c>
      <c r="AV525" s="329" t="s">
        <v>378</v>
      </c>
      <c r="AW525" s="329" t="s">
        <v>2791</v>
      </c>
      <c r="AX525" s="329" t="s">
        <v>378</v>
      </c>
      <c r="AY525" s="329" t="s">
        <v>378</v>
      </c>
    </row>
    <row r="526" spans="1:51" ht="30" customHeight="1">
      <c r="A526" s="336" t="s">
        <v>2224</v>
      </c>
      <c r="B526" s="336" t="s">
        <v>378</v>
      </c>
      <c r="C526" s="336" t="s">
        <v>378</v>
      </c>
      <c r="D526" s="337"/>
      <c r="E526" s="371"/>
      <c r="F526" s="362">
        <f>TRUNC(SUMIF(N522:N525, N521, F522:F525),0)</f>
        <v>1365</v>
      </c>
      <c r="G526" s="371"/>
      <c r="H526" s="362">
        <f>TRUNC(SUMIF(N522:N525, N521, H522:H525),0)</f>
        <v>31070</v>
      </c>
      <c r="I526" s="371"/>
      <c r="J526" s="362">
        <f>TRUNC(SUMIF(N522:N525, N521, J522:J525),0)</f>
        <v>0</v>
      </c>
      <c r="K526" s="371"/>
      <c r="L526" s="362">
        <f>F526+H526+J526</f>
        <v>32435</v>
      </c>
      <c r="M526" s="336" t="s">
        <v>378</v>
      </c>
      <c r="N526" s="329" t="s">
        <v>1197</v>
      </c>
      <c r="O526" s="329" t="s">
        <v>1197</v>
      </c>
      <c r="P526" s="329" t="s">
        <v>378</v>
      </c>
      <c r="Q526" s="329" t="s">
        <v>378</v>
      </c>
      <c r="R526" s="329" t="s">
        <v>378</v>
      </c>
      <c r="AV526" s="329" t="s">
        <v>378</v>
      </c>
      <c r="AW526" s="329" t="s">
        <v>378</v>
      </c>
      <c r="AX526" s="329" t="s">
        <v>378</v>
      </c>
      <c r="AY526" s="329" t="s">
        <v>378</v>
      </c>
    </row>
    <row r="527" spans="1:51" ht="30" customHeight="1">
      <c r="A527" s="337"/>
      <c r="B527" s="337"/>
      <c r="C527" s="337"/>
      <c r="D527" s="337"/>
      <c r="E527" s="371"/>
      <c r="F527" s="362"/>
      <c r="G527" s="371"/>
      <c r="H527" s="362"/>
      <c r="I527" s="371"/>
      <c r="J527" s="362"/>
      <c r="K527" s="371"/>
      <c r="L527" s="362"/>
      <c r="M527" s="337"/>
    </row>
    <row r="528" spans="1:51" ht="30" customHeight="1">
      <c r="A528" s="721" t="s">
        <v>2792</v>
      </c>
      <c r="B528" s="721"/>
      <c r="C528" s="721"/>
      <c r="D528" s="721"/>
      <c r="E528" s="722"/>
      <c r="F528" s="723"/>
      <c r="G528" s="722"/>
      <c r="H528" s="723"/>
      <c r="I528" s="722"/>
      <c r="J528" s="723"/>
      <c r="K528" s="722"/>
      <c r="L528" s="723"/>
      <c r="M528" s="721"/>
      <c r="N528" s="329" t="s">
        <v>1332</v>
      </c>
    </row>
    <row r="529" spans="1:51" ht="30" customHeight="1">
      <c r="A529" s="336" t="s">
        <v>2735</v>
      </c>
      <c r="B529" s="336" t="s">
        <v>2736</v>
      </c>
      <c r="C529" s="336" t="s">
        <v>265</v>
      </c>
      <c r="D529" s="337">
        <v>1</v>
      </c>
      <c r="E529" s="371">
        <f>신규_단가대비표!O87</f>
        <v>718.08373000000006</v>
      </c>
      <c r="F529" s="362">
        <f>TRUNC(E529*D529,1)</f>
        <v>718</v>
      </c>
      <c r="G529" s="371">
        <f>신규_단가대비표!P87</f>
        <v>0</v>
      </c>
      <c r="H529" s="362">
        <f>TRUNC(G529*D529,1)</f>
        <v>0</v>
      </c>
      <c r="I529" s="371">
        <f>신규_단가대비표!V87</f>
        <v>0</v>
      </c>
      <c r="J529" s="362">
        <f>TRUNC(I529*D529,1)</f>
        <v>0</v>
      </c>
      <c r="K529" s="371">
        <f t="shared" ref="K529:L532" si="101">TRUNC(E529+G529+I529,1)</f>
        <v>718</v>
      </c>
      <c r="L529" s="362">
        <f t="shared" si="101"/>
        <v>718</v>
      </c>
      <c r="M529" s="336" t="s">
        <v>378</v>
      </c>
      <c r="N529" s="329" t="s">
        <v>1332</v>
      </c>
      <c r="O529" s="329" t="s">
        <v>2793</v>
      </c>
      <c r="P529" s="329" t="s">
        <v>1105</v>
      </c>
      <c r="Q529" s="329" t="s">
        <v>1105</v>
      </c>
      <c r="R529" s="329" t="s">
        <v>1104</v>
      </c>
      <c r="AV529" s="329" t="s">
        <v>378</v>
      </c>
      <c r="AW529" s="329" t="s">
        <v>2794</v>
      </c>
      <c r="AX529" s="329" t="s">
        <v>378</v>
      </c>
      <c r="AY529" s="329" t="s">
        <v>378</v>
      </c>
    </row>
    <row r="530" spans="1:51" ht="30" customHeight="1">
      <c r="A530" s="336" t="s">
        <v>2735</v>
      </c>
      <c r="B530" s="336" t="s">
        <v>2739</v>
      </c>
      <c r="C530" s="336" t="s">
        <v>265</v>
      </c>
      <c r="D530" s="337">
        <v>1</v>
      </c>
      <c r="E530" s="371">
        <f>신규_단가대비표!O90</f>
        <v>253.23298000000003</v>
      </c>
      <c r="F530" s="362">
        <f>TRUNC(E530*D530,1)</f>
        <v>253.2</v>
      </c>
      <c r="G530" s="371">
        <f>신규_단가대비표!P90</f>
        <v>0</v>
      </c>
      <c r="H530" s="362">
        <f>TRUNC(G530*D530,1)</f>
        <v>0</v>
      </c>
      <c r="I530" s="371">
        <f>신규_단가대비표!V90</f>
        <v>0</v>
      </c>
      <c r="J530" s="362">
        <f>TRUNC(I530*D530,1)</f>
        <v>0</v>
      </c>
      <c r="K530" s="371">
        <f t="shared" si="101"/>
        <v>253.2</v>
      </c>
      <c r="L530" s="362">
        <f t="shared" si="101"/>
        <v>253.2</v>
      </c>
      <c r="M530" s="336" t="s">
        <v>378</v>
      </c>
      <c r="N530" s="329" t="s">
        <v>1332</v>
      </c>
      <c r="O530" s="329" t="s">
        <v>2740</v>
      </c>
      <c r="P530" s="329" t="s">
        <v>1105</v>
      </c>
      <c r="Q530" s="329" t="s">
        <v>1105</v>
      </c>
      <c r="R530" s="329" t="s">
        <v>1104</v>
      </c>
      <c r="AV530" s="329" t="s">
        <v>378</v>
      </c>
      <c r="AW530" s="329" t="s">
        <v>2795</v>
      </c>
      <c r="AX530" s="329" t="s">
        <v>378</v>
      </c>
      <c r="AY530" s="329" t="s">
        <v>378</v>
      </c>
    </row>
    <row r="531" spans="1:51" ht="30" customHeight="1">
      <c r="A531" s="336" t="s">
        <v>1851</v>
      </c>
      <c r="B531" s="336" t="s">
        <v>2221</v>
      </c>
      <c r="C531" s="336" t="s">
        <v>1852</v>
      </c>
      <c r="D531" s="337">
        <f>신규_공량산출근거서_일위대가!K253</f>
        <v>0.12</v>
      </c>
      <c r="E531" s="371">
        <f>신규_단가대비표!O154</f>
        <v>0</v>
      </c>
      <c r="F531" s="362">
        <f>TRUNC(E531*D531,1)</f>
        <v>0</v>
      </c>
      <c r="G531" s="371">
        <v>258917</v>
      </c>
      <c r="H531" s="362">
        <f>TRUNC(G531*D531,1)</f>
        <v>31070</v>
      </c>
      <c r="I531" s="371">
        <f>신규_단가대비표!V154</f>
        <v>0</v>
      </c>
      <c r="J531" s="362">
        <f>TRUNC(I531*D531,1)</f>
        <v>0</v>
      </c>
      <c r="K531" s="371">
        <f t="shared" si="101"/>
        <v>258917</v>
      </c>
      <c r="L531" s="362">
        <f t="shared" si="101"/>
        <v>31070</v>
      </c>
      <c r="M531" s="336" t="s">
        <v>378</v>
      </c>
      <c r="N531" s="329" t="s">
        <v>1332</v>
      </c>
      <c r="O531" s="329" t="s">
        <v>2222</v>
      </c>
      <c r="P531" s="329" t="s">
        <v>1105</v>
      </c>
      <c r="Q531" s="329" t="s">
        <v>1105</v>
      </c>
      <c r="R531" s="329" t="s">
        <v>1104</v>
      </c>
      <c r="V531" s="330">
        <v>1</v>
      </c>
      <c r="AV531" s="329" t="s">
        <v>378</v>
      </c>
      <c r="AW531" s="329" t="s">
        <v>2796</v>
      </c>
      <c r="AX531" s="329" t="s">
        <v>378</v>
      </c>
      <c r="AY531" s="329" t="s">
        <v>378</v>
      </c>
    </row>
    <row r="532" spans="1:51" ht="30" customHeight="1">
      <c r="A532" s="336" t="s">
        <v>2217</v>
      </c>
      <c r="B532" s="336" t="s">
        <v>2797</v>
      </c>
      <c r="C532" s="336" t="s">
        <v>212</v>
      </c>
      <c r="D532" s="337">
        <v>1</v>
      </c>
      <c r="E532" s="371">
        <v>621.4</v>
      </c>
      <c r="F532" s="362">
        <f>TRUNC(E532*D532,1)</f>
        <v>621.4</v>
      </c>
      <c r="G532" s="371">
        <v>0</v>
      </c>
      <c r="H532" s="362">
        <f>TRUNC(G532*D532,1)</f>
        <v>0</v>
      </c>
      <c r="I532" s="371">
        <v>0</v>
      </c>
      <c r="J532" s="362">
        <f>TRUNC(I532*D532,1)</f>
        <v>0</v>
      </c>
      <c r="K532" s="371">
        <f t="shared" si="101"/>
        <v>621.4</v>
      </c>
      <c r="L532" s="362">
        <f t="shared" si="101"/>
        <v>621.4</v>
      </c>
      <c r="M532" s="336" t="s">
        <v>378</v>
      </c>
      <c r="N532" s="329" t="s">
        <v>1332</v>
      </c>
      <c r="O532" s="329" t="s">
        <v>2211</v>
      </c>
      <c r="P532" s="329" t="s">
        <v>1105</v>
      </c>
      <c r="Q532" s="329" t="s">
        <v>1105</v>
      </c>
      <c r="R532" s="329" t="s">
        <v>1105</v>
      </c>
      <c r="S532" s="330">
        <v>1</v>
      </c>
      <c r="T532" s="330">
        <v>0</v>
      </c>
      <c r="U532" s="330">
        <v>0.03</v>
      </c>
      <c r="V532" s="330">
        <v>1</v>
      </c>
      <c r="AV532" s="329" t="s">
        <v>378</v>
      </c>
      <c r="AW532" s="329" t="s">
        <v>2798</v>
      </c>
      <c r="AX532" s="329" t="s">
        <v>378</v>
      </c>
      <c r="AY532" s="329" t="s">
        <v>378</v>
      </c>
    </row>
    <row r="533" spans="1:51" ht="30" customHeight="1">
      <c r="A533" s="336" t="s">
        <v>2224</v>
      </c>
      <c r="B533" s="336" t="s">
        <v>378</v>
      </c>
      <c r="C533" s="336" t="s">
        <v>378</v>
      </c>
      <c r="D533" s="337"/>
      <c r="E533" s="371"/>
      <c r="F533" s="362">
        <f>TRUNC(SUMIF(N529:N532, N528, F529:F532),0)</f>
        <v>1592</v>
      </c>
      <c r="G533" s="371"/>
      <c r="H533" s="362">
        <f>TRUNC(SUMIF(N529:N532, N528, H529:H532),0)</f>
        <v>31070</v>
      </c>
      <c r="I533" s="371"/>
      <c r="J533" s="362">
        <f>TRUNC(SUMIF(N529:N532, N528, J529:J532),0)</f>
        <v>0</v>
      </c>
      <c r="K533" s="371"/>
      <c r="L533" s="362">
        <f>F533+H533+J533</f>
        <v>32662</v>
      </c>
      <c r="M533" s="336" t="s">
        <v>378</v>
      </c>
      <c r="N533" s="329" t="s">
        <v>1197</v>
      </c>
      <c r="O533" s="329" t="s">
        <v>1197</v>
      </c>
      <c r="P533" s="329" t="s">
        <v>378</v>
      </c>
      <c r="Q533" s="329" t="s">
        <v>378</v>
      </c>
      <c r="R533" s="329" t="s">
        <v>378</v>
      </c>
      <c r="AV533" s="329" t="s">
        <v>378</v>
      </c>
      <c r="AW533" s="329" t="s">
        <v>378</v>
      </c>
      <c r="AX533" s="329" t="s">
        <v>378</v>
      </c>
      <c r="AY533" s="329" t="s">
        <v>378</v>
      </c>
    </row>
    <row r="534" spans="1:51" ht="30" customHeight="1">
      <c r="A534" s="337"/>
      <c r="B534" s="337"/>
      <c r="C534" s="337"/>
      <c r="D534" s="337"/>
      <c r="E534" s="371"/>
      <c r="F534" s="362"/>
      <c r="G534" s="371"/>
      <c r="H534" s="362"/>
      <c r="I534" s="371"/>
      <c r="J534" s="362"/>
      <c r="K534" s="371"/>
      <c r="L534" s="362"/>
      <c r="M534" s="337"/>
    </row>
    <row r="535" spans="1:51" ht="30" customHeight="1">
      <c r="A535" s="721" t="s">
        <v>2799</v>
      </c>
      <c r="B535" s="721"/>
      <c r="C535" s="721"/>
      <c r="D535" s="721"/>
      <c r="E535" s="722"/>
      <c r="F535" s="723"/>
      <c r="G535" s="722"/>
      <c r="H535" s="723"/>
      <c r="I535" s="722"/>
      <c r="J535" s="723"/>
      <c r="K535" s="722"/>
      <c r="L535" s="723"/>
      <c r="M535" s="721"/>
      <c r="N535" s="329" t="s">
        <v>1335</v>
      </c>
    </row>
    <row r="536" spans="1:51" ht="30" customHeight="1">
      <c r="A536" s="336" t="s">
        <v>451</v>
      </c>
      <c r="B536" s="336" t="s">
        <v>2800</v>
      </c>
      <c r="C536" s="336" t="s">
        <v>265</v>
      </c>
      <c r="D536" s="337">
        <v>1</v>
      </c>
      <c r="E536" s="371">
        <f>신규_단가대비표!O85</f>
        <v>516.20569</v>
      </c>
      <c r="F536" s="362">
        <f>TRUNC(E536*D536,1)</f>
        <v>516.20000000000005</v>
      </c>
      <c r="G536" s="371">
        <f>신규_단가대비표!P85</f>
        <v>0</v>
      </c>
      <c r="H536" s="362">
        <f>TRUNC(G536*D536,1)</f>
        <v>0</v>
      </c>
      <c r="I536" s="371">
        <f>신규_단가대비표!V85</f>
        <v>0</v>
      </c>
      <c r="J536" s="362">
        <f>TRUNC(I536*D536,1)</f>
        <v>0</v>
      </c>
      <c r="K536" s="371">
        <f t="shared" ref="K536:L539" si="102">TRUNC(E536+G536+I536,1)</f>
        <v>516.20000000000005</v>
      </c>
      <c r="L536" s="362">
        <f t="shared" si="102"/>
        <v>516.20000000000005</v>
      </c>
      <c r="M536" s="336" t="s">
        <v>378</v>
      </c>
      <c r="N536" s="329" t="s">
        <v>1335</v>
      </c>
      <c r="O536" s="329" t="s">
        <v>2801</v>
      </c>
      <c r="P536" s="329" t="s">
        <v>1105</v>
      </c>
      <c r="Q536" s="329" t="s">
        <v>1105</v>
      </c>
      <c r="R536" s="329" t="s">
        <v>1104</v>
      </c>
      <c r="AV536" s="329" t="s">
        <v>378</v>
      </c>
      <c r="AW536" s="329" t="s">
        <v>2802</v>
      </c>
      <c r="AX536" s="329" t="s">
        <v>378</v>
      </c>
      <c r="AY536" s="329" t="s">
        <v>378</v>
      </c>
    </row>
    <row r="537" spans="1:51" ht="30" customHeight="1">
      <c r="A537" s="336" t="s">
        <v>2735</v>
      </c>
      <c r="B537" s="336" t="s">
        <v>2803</v>
      </c>
      <c r="C537" s="336" t="s">
        <v>265</v>
      </c>
      <c r="D537" s="337">
        <v>1</v>
      </c>
      <c r="E537" s="371">
        <f>신규_단가대비표!O91</f>
        <v>354.17200000000003</v>
      </c>
      <c r="F537" s="362">
        <f>TRUNC(E537*D537,1)</f>
        <v>354.1</v>
      </c>
      <c r="G537" s="371">
        <f>신규_단가대비표!P91</f>
        <v>0</v>
      </c>
      <c r="H537" s="362">
        <f>TRUNC(G537*D537,1)</f>
        <v>0</v>
      </c>
      <c r="I537" s="371">
        <f>신규_단가대비표!V91</f>
        <v>0</v>
      </c>
      <c r="J537" s="362">
        <f>TRUNC(I537*D537,1)</f>
        <v>0</v>
      </c>
      <c r="K537" s="371">
        <f t="shared" si="102"/>
        <v>354.1</v>
      </c>
      <c r="L537" s="362">
        <f t="shared" si="102"/>
        <v>354.1</v>
      </c>
      <c r="M537" s="336" t="s">
        <v>378</v>
      </c>
      <c r="N537" s="329" t="s">
        <v>1335</v>
      </c>
      <c r="O537" s="329" t="s">
        <v>2804</v>
      </c>
      <c r="P537" s="329" t="s">
        <v>1105</v>
      </c>
      <c r="Q537" s="329" t="s">
        <v>1105</v>
      </c>
      <c r="R537" s="329" t="s">
        <v>1104</v>
      </c>
      <c r="AV537" s="329" t="s">
        <v>378</v>
      </c>
      <c r="AW537" s="329" t="s">
        <v>2805</v>
      </c>
      <c r="AX537" s="329" t="s">
        <v>378</v>
      </c>
      <c r="AY537" s="329" t="s">
        <v>378</v>
      </c>
    </row>
    <row r="538" spans="1:51" ht="30" customHeight="1">
      <c r="A538" s="336" t="s">
        <v>1851</v>
      </c>
      <c r="B538" s="336" t="s">
        <v>2221</v>
      </c>
      <c r="C538" s="336" t="s">
        <v>1852</v>
      </c>
      <c r="D538" s="337">
        <f>신규_공량산출근거서_일위대가!K256</f>
        <v>0.2</v>
      </c>
      <c r="E538" s="371">
        <f>신규_단가대비표!O154</f>
        <v>0</v>
      </c>
      <c r="F538" s="362">
        <f>TRUNC(E538*D538,1)</f>
        <v>0</v>
      </c>
      <c r="G538" s="371">
        <v>258917</v>
      </c>
      <c r="H538" s="362">
        <f>TRUNC(G538*D538,1)</f>
        <v>51783.4</v>
      </c>
      <c r="I538" s="371">
        <f>신규_단가대비표!V154</f>
        <v>0</v>
      </c>
      <c r="J538" s="362">
        <f>TRUNC(I538*D538,1)</f>
        <v>0</v>
      </c>
      <c r="K538" s="371">
        <f t="shared" si="102"/>
        <v>258917</v>
      </c>
      <c r="L538" s="362">
        <f t="shared" si="102"/>
        <v>51783.4</v>
      </c>
      <c r="M538" s="336" t="s">
        <v>378</v>
      </c>
      <c r="N538" s="329" t="s">
        <v>1335</v>
      </c>
      <c r="O538" s="329" t="s">
        <v>2222</v>
      </c>
      <c r="P538" s="329" t="s">
        <v>1105</v>
      </c>
      <c r="Q538" s="329" t="s">
        <v>1105</v>
      </c>
      <c r="R538" s="329" t="s">
        <v>1104</v>
      </c>
      <c r="V538" s="330">
        <v>1</v>
      </c>
      <c r="AV538" s="329" t="s">
        <v>378</v>
      </c>
      <c r="AW538" s="329" t="s">
        <v>2806</v>
      </c>
      <c r="AX538" s="329" t="s">
        <v>378</v>
      </c>
      <c r="AY538" s="329" t="s">
        <v>378</v>
      </c>
    </row>
    <row r="539" spans="1:51" ht="30" customHeight="1">
      <c r="A539" s="336" t="s">
        <v>2217</v>
      </c>
      <c r="B539" s="336" t="s">
        <v>2395</v>
      </c>
      <c r="C539" s="336" t="s">
        <v>212</v>
      </c>
      <c r="D539" s="337">
        <v>1</v>
      </c>
      <c r="E539" s="371">
        <v>1035.5999999999999</v>
      </c>
      <c r="F539" s="362">
        <f>TRUNC(E539*D539,1)</f>
        <v>1035.5999999999999</v>
      </c>
      <c r="G539" s="371">
        <v>0</v>
      </c>
      <c r="H539" s="362">
        <f>TRUNC(G539*D539,1)</f>
        <v>0</v>
      </c>
      <c r="I539" s="371">
        <v>0</v>
      </c>
      <c r="J539" s="362">
        <f>TRUNC(I539*D539,1)</f>
        <v>0</v>
      </c>
      <c r="K539" s="371">
        <f t="shared" si="102"/>
        <v>1035.5999999999999</v>
      </c>
      <c r="L539" s="362">
        <f t="shared" si="102"/>
        <v>1035.5999999999999</v>
      </c>
      <c r="M539" s="336" t="s">
        <v>378</v>
      </c>
      <c r="N539" s="329" t="s">
        <v>1335</v>
      </c>
      <c r="O539" s="329" t="s">
        <v>2211</v>
      </c>
      <c r="P539" s="329" t="s">
        <v>1105</v>
      </c>
      <c r="Q539" s="329" t="s">
        <v>1105</v>
      </c>
      <c r="R539" s="329" t="s">
        <v>1105</v>
      </c>
      <c r="S539" s="330">
        <v>1</v>
      </c>
      <c r="T539" s="330">
        <v>0</v>
      </c>
      <c r="U539" s="330">
        <v>0.03</v>
      </c>
      <c r="V539" s="330">
        <v>1</v>
      </c>
      <c r="AV539" s="329" t="s">
        <v>378</v>
      </c>
      <c r="AW539" s="329" t="s">
        <v>2807</v>
      </c>
      <c r="AX539" s="329" t="s">
        <v>378</v>
      </c>
      <c r="AY539" s="329" t="s">
        <v>378</v>
      </c>
    </row>
    <row r="540" spans="1:51" ht="30" customHeight="1">
      <c r="A540" s="336" t="s">
        <v>2224</v>
      </c>
      <c r="B540" s="336" t="s">
        <v>378</v>
      </c>
      <c r="C540" s="336" t="s">
        <v>378</v>
      </c>
      <c r="D540" s="337"/>
      <c r="E540" s="371"/>
      <c r="F540" s="362">
        <f>TRUNC(SUMIF(N536:N539, N535, F536:F539),0)</f>
        <v>1905</v>
      </c>
      <c r="G540" s="371"/>
      <c r="H540" s="362">
        <f>TRUNC(SUMIF(N536:N539, N535, H536:H539),0)</f>
        <v>51783</v>
      </c>
      <c r="I540" s="371"/>
      <c r="J540" s="362">
        <f>TRUNC(SUMIF(N536:N539, N535, J536:J539),0)</f>
        <v>0</v>
      </c>
      <c r="K540" s="371"/>
      <c r="L540" s="362">
        <f>F540+H540+J540</f>
        <v>53688</v>
      </c>
      <c r="M540" s="336" t="s">
        <v>378</v>
      </c>
      <c r="N540" s="329" t="s">
        <v>1197</v>
      </c>
      <c r="O540" s="329" t="s">
        <v>1197</v>
      </c>
      <c r="P540" s="329" t="s">
        <v>378</v>
      </c>
      <c r="Q540" s="329" t="s">
        <v>378</v>
      </c>
      <c r="R540" s="329" t="s">
        <v>378</v>
      </c>
      <c r="AV540" s="329" t="s">
        <v>378</v>
      </c>
      <c r="AW540" s="329" t="s">
        <v>378</v>
      </c>
      <c r="AX540" s="329" t="s">
        <v>378</v>
      </c>
      <c r="AY540" s="329" t="s">
        <v>378</v>
      </c>
    </row>
    <row r="541" spans="1:51" ht="30" customHeight="1">
      <c r="A541" s="337"/>
      <c r="B541" s="337"/>
      <c r="C541" s="337"/>
      <c r="D541" s="337"/>
      <c r="E541" s="371"/>
      <c r="F541" s="362"/>
      <c r="G541" s="371"/>
      <c r="H541" s="362"/>
      <c r="I541" s="371"/>
      <c r="J541" s="362"/>
      <c r="K541" s="371"/>
      <c r="L541" s="362"/>
      <c r="M541" s="337"/>
    </row>
    <row r="542" spans="1:51" ht="30" customHeight="1">
      <c r="A542" s="721" t="s">
        <v>2808</v>
      </c>
      <c r="B542" s="721"/>
      <c r="C542" s="721"/>
      <c r="D542" s="721"/>
      <c r="E542" s="722"/>
      <c r="F542" s="723"/>
      <c r="G542" s="722"/>
      <c r="H542" s="723"/>
      <c r="I542" s="722"/>
      <c r="J542" s="723"/>
      <c r="K542" s="722"/>
      <c r="L542" s="723"/>
      <c r="M542" s="721"/>
      <c r="N542" s="329" t="s">
        <v>1338</v>
      </c>
    </row>
    <row r="543" spans="1:51" ht="30" customHeight="1">
      <c r="A543" s="336" t="s">
        <v>2745</v>
      </c>
      <c r="B543" s="336" t="s">
        <v>2809</v>
      </c>
      <c r="C543" s="336" t="s">
        <v>300</v>
      </c>
      <c r="D543" s="337">
        <v>1.1000000000000001</v>
      </c>
      <c r="E543" s="371">
        <f>신규_단가대비표!O25</f>
        <v>401.98522000000003</v>
      </c>
      <c r="F543" s="362">
        <f>TRUNC(E543*D543,1)</f>
        <v>442.1</v>
      </c>
      <c r="G543" s="371">
        <f>신규_단가대비표!P25</f>
        <v>0</v>
      </c>
      <c r="H543" s="362">
        <f>TRUNC(G543*D543,1)</f>
        <v>0</v>
      </c>
      <c r="I543" s="371">
        <f>신규_단가대비표!V25</f>
        <v>0</v>
      </c>
      <c r="J543" s="362">
        <f>TRUNC(I543*D543,1)</f>
        <v>0</v>
      </c>
      <c r="K543" s="371">
        <f t="shared" ref="K543:L545" si="103">TRUNC(E543+G543+I543,1)</f>
        <v>401.9</v>
      </c>
      <c r="L543" s="362">
        <f t="shared" si="103"/>
        <v>442.1</v>
      </c>
      <c r="M543" s="336" t="s">
        <v>378</v>
      </c>
      <c r="N543" s="329" t="s">
        <v>1338</v>
      </c>
      <c r="O543" s="329" t="s">
        <v>2810</v>
      </c>
      <c r="P543" s="329" t="s">
        <v>1105</v>
      </c>
      <c r="Q543" s="329" t="s">
        <v>1105</v>
      </c>
      <c r="R543" s="329" t="s">
        <v>1104</v>
      </c>
      <c r="AV543" s="329" t="s">
        <v>378</v>
      </c>
      <c r="AW543" s="329" t="s">
        <v>2811</v>
      </c>
      <c r="AX543" s="329" t="s">
        <v>378</v>
      </c>
      <c r="AY543" s="329" t="s">
        <v>378</v>
      </c>
    </row>
    <row r="544" spans="1:51" ht="30" customHeight="1">
      <c r="A544" s="336" t="s">
        <v>1851</v>
      </c>
      <c r="B544" s="336" t="s">
        <v>2221</v>
      </c>
      <c r="C544" s="336" t="s">
        <v>1852</v>
      </c>
      <c r="D544" s="337">
        <f>신규_공량산출근거서_일위대가!K259</f>
        <v>0.01</v>
      </c>
      <c r="E544" s="371">
        <f>신규_단가대비표!O154</f>
        <v>0</v>
      </c>
      <c r="F544" s="362">
        <f>TRUNC(E544*D544,1)</f>
        <v>0</v>
      </c>
      <c r="G544" s="371">
        <f>신규_단가대비표!P154</f>
        <v>234998.43458</v>
      </c>
      <c r="H544" s="362">
        <f>TRUNC(G544*D544,1)</f>
        <v>2349.9</v>
      </c>
      <c r="I544" s="371">
        <f>신규_단가대비표!V154</f>
        <v>0</v>
      </c>
      <c r="J544" s="362">
        <f>TRUNC(I544*D544,1)</f>
        <v>0</v>
      </c>
      <c r="K544" s="371">
        <f t="shared" si="103"/>
        <v>234998.39999999999</v>
      </c>
      <c r="L544" s="362">
        <f t="shared" si="103"/>
        <v>2349.9</v>
      </c>
      <c r="M544" s="336" t="s">
        <v>378</v>
      </c>
      <c r="N544" s="329" t="s">
        <v>1338</v>
      </c>
      <c r="O544" s="329" t="s">
        <v>2222</v>
      </c>
      <c r="P544" s="329" t="s">
        <v>1105</v>
      </c>
      <c r="Q544" s="329" t="s">
        <v>1105</v>
      </c>
      <c r="R544" s="329" t="s">
        <v>1104</v>
      </c>
      <c r="V544" s="330">
        <v>1</v>
      </c>
      <c r="AV544" s="329" t="s">
        <v>378</v>
      </c>
      <c r="AW544" s="329" t="s">
        <v>2812</v>
      </c>
      <c r="AX544" s="329" t="s">
        <v>378</v>
      </c>
      <c r="AY544" s="329" t="s">
        <v>378</v>
      </c>
    </row>
    <row r="545" spans="1:51" ht="30" customHeight="1">
      <c r="A545" s="336" t="s">
        <v>2217</v>
      </c>
      <c r="B545" s="336" t="s">
        <v>2797</v>
      </c>
      <c r="C545" s="336" t="s">
        <v>212</v>
      </c>
      <c r="D545" s="337">
        <v>1</v>
      </c>
      <c r="E545" s="371">
        <f>TRUNC(SUMIF(V543:V545, RIGHTB(O545, 1), H543:H545)*U545, 2)</f>
        <v>70.489999999999995</v>
      </c>
      <c r="F545" s="362">
        <f>TRUNC(E545*D545,1)</f>
        <v>70.400000000000006</v>
      </c>
      <c r="G545" s="371">
        <v>0</v>
      </c>
      <c r="H545" s="362">
        <f>TRUNC(G545*D545,1)</f>
        <v>0</v>
      </c>
      <c r="I545" s="371">
        <v>0</v>
      </c>
      <c r="J545" s="362">
        <f>TRUNC(I545*D545,1)</f>
        <v>0</v>
      </c>
      <c r="K545" s="371">
        <f t="shared" si="103"/>
        <v>70.400000000000006</v>
      </c>
      <c r="L545" s="362">
        <f t="shared" si="103"/>
        <v>70.400000000000006</v>
      </c>
      <c r="M545" s="336" t="s">
        <v>378</v>
      </c>
      <c r="N545" s="329" t="s">
        <v>1338</v>
      </c>
      <c r="O545" s="329" t="s">
        <v>2211</v>
      </c>
      <c r="P545" s="329" t="s">
        <v>1105</v>
      </c>
      <c r="Q545" s="329" t="s">
        <v>1105</v>
      </c>
      <c r="R545" s="329" t="s">
        <v>1105</v>
      </c>
      <c r="S545" s="330">
        <v>1</v>
      </c>
      <c r="T545" s="330">
        <v>0</v>
      </c>
      <c r="U545" s="330">
        <v>0.03</v>
      </c>
      <c r="V545" s="330">
        <v>1</v>
      </c>
      <c r="AV545" s="329" t="s">
        <v>378</v>
      </c>
      <c r="AW545" s="329" t="s">
        <v>2813</v>
      </c>
      <c r="AX545" s="329" t="s">
        <v>378</v>
      </c>
      <c r="AY545" s="329" t="s">
        <v>378</v>
      </c>
    </row>
    <row r="546" spans="1:51" ht="30" customHeight="1">
      <c r="A546" s="336" t="s">
        <v>2224</v>
      </c>
      <c r="B546" s="336" t="s">
        <v>378</v>
      </c>
      <c r="C546" s="336" t="s">
        <v>378</v>
      </c>
      <c r="D546" s="337"/>
      <c r="E546" s="371"/>
      <c r="F546" s="362">
        <f>TRUNC(SUMIF(N543:N545, N542, F543:F545),0)</f>
        <v>512</v>
      </c>
      <c r="G546" s="371"/>
      <c r="H546" s="362">
        <f>TRUNC(SUMIF(N543:N545, N542, H543:H545),0)</f>
        <v>2349</v>
      </c>
      <c r="I546" s="371"/>
      <c r="J546" s="362">
        <f>TRUNC(SUMIF(N543:N545, N542, J543:J545),0)</f>
        <v>0</v>
      </c>
      <c r="K546" s="371"/>
      <c r="L546" s="362">
        <f>F546+H546+J546</f>
        <v>2861</v>
      </c>
      <c r="M546" s="336" t="s">
        <v>378</v>
      </c>
      <c r="N546" s="329" t="s">
        <v>1197</v>
      </c>
      <c r="O546" s="329" t="s">
        <v>1197</v>
      </c>
      <c r="P546" s="329" t="s">
        <v>378</v>
      </c>
      <c r="Q546" s="329" t="s">
        <v>378</v>
      </c>
      <c r="R546" s="329" t="s">
        <v>378</v>
      </c>
      <c r="AV546" s="329" t="s">
        <v>378</v>
      </c>
      <c r="AW546" s="329" t="s">
        <v>378</v>
      </c>
      <c r="AX546" s="329" t="s">
        <v>378</v>
      </c>
      <c r="AY546" s="329" t="s">
        <v>378</v>
      </c>
    </row>
    <row r="547" spans="1:51" ht="30" customHeight="1">
      <c r="A547" s="337"/>
      <c r="B547" s="337"/>
      <c r="C547" s="337"/>
      <c r="D547" s="337"/>
      <c r="E547" s="371"/>
      <c r="F547" s="362"/>
      <c r="G547" s="371"/>
      <c r="H547" s="362"/>
      <c r="I547" s="371"/>
      <c r="J547" s="362"/>
      <c r="K547" s="371"/>
      <c r="L547" s="362"/>
      <c r="M547" s="337"/>
    </row>
    <row r="548" spans="1:51" ht="30" customHeight="1">
      <c r="A548" s="718" t="s">
        <v>2814</v>
      </c>
      <c r="B548" s="718"/>
      <c r="C548" s="718"/>
      <c r="D548" s="718"/>
      <c r="E548" s="719"/>
      <c r="F548" s="720"/>
      <c r="G548" s="719"/>
      <c r="H548" s="720"/>
      <c r="I548" s="719"/>
      <c r="J548" s="720"/>
      <c r="K548" s="719"/>
      <c r="L548" s="720"/>
      <c r="M548" s="718"/>
      <c r="N548" s="329" t="s">
        <v>1341</v>
      </c>
    </row>
    <row r="549" spans="1:51" ht="30" customHeight="1">
      <c r="A549" s="333" t="s">
        <v>2815</v>
      </c>
      <c r="B549" s="333" t="s">
        <v>2816</v>
      </c>
      <c r="C549" s="333" t="s">
        <v>265</v>
      </c>
      <c r="D549" s="334">
        <v>1</v>
      </c>
      <c r="E549" s="370">
        <f>신규_단가대비표!O110</f>
        <v>1478.6681000000001</v>
      </c>
      <c r="F549" s="361">
        <f>TRUNC(E549*D549,1)</f>
        <v>1478.6</v>
      </c>
      <c r="G549" s="370">
        <f>신규_단가대비표!P110</f>
        <v>0</v>
      </c>
      <c r="H549" s="361">
        <f>TRUNC(G549*D549,1)</f>
        <v>0</v>
      </c>
      <c r="I549" s="370">
        <f>신규_단가대비표!V110</f>
        <v>0</v>
      </c>
      <c r="J549" s="361">
        <f>TRUNC(I549*D549,1)</f>
        <v>0</v>
      </c>
      <c r="K549" s="370">
        <f t="shared" ref="K549:L551" si="104">TRUNC(E549+G549+I549,1)</f>
        <v>1478.6</v>
      </c>
      <c r="L549" s="361">
        <f t="shared" si="104"/>
        <v>1478.6</v>
      </c>
      <c r="M549" s="333" t="s">
        <v>378</v>
      </c>
      <c r="N549" s="329" t="s">
        <v>1341</v>
      </c>
      <c r="O549" s="329" t="s">
        <v>2817</v>
      </c>
      <c r="P549" s="329" t="s">
        <v>1105</v>
      </c>
      <c r="Q549" s="329" t="s">
        <v>1105</v>
      </c>
      <c r="R549" s="329" t="s">
        <v>1104</v>
      </c>
      <c r="AV549" s="329" t="s">
        <v>378</v>
      </c>
      <c r="AW549" s="329" t="s">
        <v>2818</v>
      </c>
      <c r="AX549" s="329" t="s">
        <v>378</v>
      </c>
      <c r="AY549" s="329" t="s">
        <v>378</v>
      </c>
    </row>
    <row r="550" spans="1:51" ht="30" customHeight="1">
      <c r="A550" s="333" t="s">
        <v>1851</v>
      </c>
      <c r="B550" s="333" t="s">
        <v>2221</v>
      </c>
      <c r="C550" s="333" t="s">
        <v>1852</v>
      </c>
      <c r="D550" s="334">
        <f>신규_공량산출근거서_일위대가!K262</f>
        <v>8.5000000000000006E-2</v>
      </c>
      <c r="E550" s="370">
        <f>신규_단가대비표!O154</f>
        <v>0</v>
      </c>
      <c r="F550" s="361">
        <f>TRUNC(E550*D550,1)</f>
        <v>0</v>
      </c>
      <c r="G550" s="370">
        <f>신규_단가대비표!P154</f>
        <v>234998.43458</v>
      </c>
      <c r="H550" s="361">
        <f>TRUNC(G550*D550,1)</f>
        <v>19974.8</v>
      </c>
      <c r="I550" s="370">
        <f>신규_단가대비표!V154</f>
        <v>0</v>
      </c>
      <c r="J550" s="361">
        <f>TRUNC(I550*D550,1)</f>
        <v>0</v>
      </c>
      <c r="K550" s="370">
        <f t="shared" si="104"/>
        <v>234998.39999999999</v>
      </c>
      <c r="L550" s="361">
        <f t="shared" si="104"/>
        <v>19974.8</v>
      </c>
      <c r="M550" s="333" t="s">
        <v>378</v>
      </c>
      <c r="N550" s="329" t="s">
        <v>1341</v>
      </c>
      <c r="O550" s="329" t="s">
        <v>2222</v>
      </c>
      <c r="P550" s="329" t="s">
        <v>1105</v>
      </c>
      <c r="Q550" s="329" t="s">
        <v>1105</v>
      </c>
      <c r="R550" s="329" t="s">
        <v>1104</v>
      </c>
      <c r="V550" s="330">
        <v>1</v>
      </c>
      <c r="AV550" s="329" t="s">
        <v>378</v>
      </c>
      <c r="AW550" s="329" t="s">
        <v>2819</v>
      </c>
      <c r="AX550" s="329" t="s">
        <v>378</v>
      </c>
      <c r="AY550" s="329" t="s">
        <v>378</v>
      </c>
    </row>
    <row r="551" spans="1:51" ht="30" customHeight="1">
      <c r="A551" s="333" t="s">
        <v>2217</v>
      </c>
      <c r="B551" s="333" t="s">
        <v>2218</v>
      </c>
      <c r="C551" s="333" t="s">
        <v>212</v>
      </c>
      <c r="D551" s="334">
        <v>1</v>
      </c>
      <c r="E551" s="370">
        <f>TRUNC(SUMIF(V549:V551, RIGHTB(O551, 1), H549:H551)*U551, 2)</f>
        <v>599.24</v>
      </c>
      <c r="F551" s="361">
        <f>TRUNC(E551*D551,1)</f>
        <v>599.20000000000005</v>
      </c>
      <c r="G551" s="370">
        <v>0</v>
      </c>
      <c r="H551" s="361">
        <f>TRUNC(G551*D551,1)</f>
        <v>0</v>
      </c>
      <c r="I551" s="370">
        <v>0</v>
      </c>
      <c r="J551" s="361">
        <f>TRUNC(I551*D551,1)</f>
        <v>0</v>
      </c>
      <c r="K551" s="370">
        <f t="shared" si="104"/>
        <v>599.20000000000005</v>
      </c>
      <c r="L551" s="361">
        <f t="shared" si="104"/>
        <v>599.20000000000005</v>
      </c>
      <c r="M551" s="333" t="s">
        <v>378</v>
      </c>
      <c r="N551" s="329" t="s">
        <v>1341</v>
      </c>
      <c r="O551" s="329" t="s">
        <v>2211</v>
      </c>
      <c r="P551" s="329" t="s">
        <v>1105</v>
      </c>
      <c r="Q551" s="329" t="s">
        <v>1105</v>
      </c>
      <c r="R551" s="329" t="s">
        <v>1105</v>
      </c>
      <c r="S551" s="330">
        <v>1</v>
      </c>
      <c r="T551" s="330">
        <v>0</v>
      </c>
      <c r="U551" s="330">
        <v>0.03</v>
      </c>
      <c r="V551" s="330">
        <v>1</v>
      </c>
      <c r="AV551" s="329" t="s">
        <v>378</v>
      </c>
      <c r="AW551" s="329" t="s">
        <v>2820</v>
      </c>
      <c r="AX551" s="329" t="s">
        <v>378</v>
      </c>
      <c r="AY551" s="329" t="s">
        <v>378</v>
      </c>
    </row>
    <row r="552" spans="1:51" ht="30" customHeight="1">
      <c r="A552" s="333" t="s">
        <v>2224</v>
      </c>
      <c r="B552" s="333" t="s">
        <v>378</v>
      </c>
      <c r="C552" s="333" t="s">
        <v>378</v>
      </c>
      <c r="D552" s="334"/>
      <c r="E552" s="370"/>
      <c r="F552" s="361">
        <f>TRUNC(SUMIF(N549:N551, N548, F549:F551),0)</f>
        <v>2077</v>
      </c>
      <c r="G552" s="370"/>
      <c r="H552" s="361">
        <f>TRUNC(SUMIF(N549:N551, N548, H549:H551),0)</f>
        <v>19974</v>
      </c>
      <c r="I552" s="370"/>
      <c r="J552" s="361">
        <f>TRUNC(SUMIF(N549:N551, N548, J549:J551),0)</f>
        <v>0</v>
      </c>
      <c r="K552" s="370"/>
      <c r="L552" s="361">
        <f>F552+H552+J552</f>
        <v>22051</v>
      </c>
      <c r="M552" s="333" t="s">
        <v>378</v>
      </c>
      <c r="N552" s="329" t="s">
        <v>1197</v>
      </c>
      <c r="O552" s="329" t="s">
        <v>1197</v>
      </c>
      <c r="P552" s="329" t="s">
        <v>378</v>
      </c>
      <c r="Q552" s="329" t="s">
        <v>378</v>
      </c>
      <c r="R552" s="329" t="s">
        <v>378</v>
      </c>
      <c r="AV552" s="329" t="s">
        <v>378</v>
      </c>
      <c r="AW552" s="329" t="s">
        <v>378</v>
      </c>
      <c r="AX552" s="329" t="s">
        <v>378</v>
      </c>
      <c r="AY552" s="329" t="s">
        <v>378</v>
      </c>
    </row>
    <row r="553" spans="1:51" ht="30" customHeight="1">
      <c r="A553" s="334"/>
      <c r="B553" s="334"/>
      <c r="C553" s="334"/>
      <c r="D553" s="334"/>
      <c r="E553" s="370"/>
      <c r="F553" s="361"/>
      <c r="G553" s="370"/>
      <c r="H553" s="361"/>
      <c r="I553" s="370"/>
      <c r="J553" s="361"/>
      <c r="K553" s="370"/>
      <c r="L553" s="361"/>
      <c r="M553" s="334"/>
    </row>
    <row r="554" spans="1:51" ht="30" customHeight="1">
      <c r="A554" s="718" t="s">
        <v>2821</v>
      </c>
      <c r="B554" s="718"/>
      <c r="C554" s="718"/>
      <c r="D554" s="718"/>
      <c r="E554" s="719"/>
      <c r="F554" s="720"/>
      <c r="G554" s="719"/>
      <c r="H554" s="720"/>
      <c r="I554" s="719"/>
      <c r="J554" s="720"/>
      <c r="K554" s="719"/>
      <c r="L554" s="720"/>
      <c r="M554" s="718"/>
      <c r="N554" s="329" t="s">
        <v>1344</v>
      </c>
    </row>
    <row r="555" spans="1:51" ht="30" customHeight="1">
      <c r="A555" s="333" t="s">
        <v>2815</v>
      </c>
      <c r="B555" s="333" t="s">
        <v>2822</v>
      </c>
      <c r="C555" s="333" t="s">
        <v>265</v>
      </c>
      <c r="D555" s="334">
        <v>1</v>
      </c>
      <c r="E555" s="370">
        <f>신규_단가대비표!O111</f>
        <v>2195.8664000000003</v>
      </c>
      <c r="F555" s="361">
        <f>TRUNC(E555*D555,1)</f>
        <v>2195.8000000000002</v>
      </c>
      <c r="G555" s="370">
        <f>신규_단가대비표!P111</f>
        <v>0</v>
      </c>
      <c r="H555" s="361">
        <f>TRUNC(G555*D555,1)</f>
        <v>0</v>
      </c>
      <c r="I555" s="370">
        <f>신규_단가대비표!V111</f>
        <v>0</v>
      </c>
      <c r="J555" s="361">
        <f>TRUNC(I555*D555,1)</f>
        <v>0</v>
      </c>
      <c r="K555" s="370">
        <f t="shared" ref="K555:L557" si="105">TRUNC(E555+G555+I555,1)</f>
        <v>2195.8000000000002</v>
      </c>
      <c r="L555" s="361">
        <f t="shared" si="105"/>
        <v>2195.8000000000002</v>
      </c>
      <c r="M555" s="333" t="s">
        <v>378</v>
      </c>
      <c r="N555" s="329" t="s">
        <v>1344</v>
      </c>
      <c r="O555" s="329" t="s">
        <v>2823</v>
      </c>
      <c r="P555" s="329" t="s">
        <v>1105</v>
      </c>
      <c r="Q555" s="329" t="s">
        <v>1105</v>
      </c>
      <c r="R555" s="329" t="s">
        <v>1104</v>
      </c>
      <c r="AV555" s="329" t="s">
        <v>378</v>
      </c>
      <c r="AW555" s="329" t="s">
        <v>2824</v>
      </c>
      <c r="AX555" s="329" t="s">
        <v>378</v>
      </c>
      <c r="AY555" s="329" t="s">
        <v>378</v>
      </c>
    </row>
    <row r="556" spans="1:51" ht="30" customHeight="1">
      <c r="A556" s="333" t="s">
        <v>1851</v>
      </c>
      <c r="B556" s="333" t="s">
        <v>2221</v>
      </c>
      <c r="C556" s="333" t="s">
        <v>1852</v>
      </c>
      <c r="D556" s="334">
        <f>신규_공량산출근거서_일위대가!K265</f>
        <v>8.5000000000000006E-2</v>
      </c>
      <c r="E556" s="370">
        <f>신규_단가대비표!O154</f>
        <v>0</v>
      </c>
      <c r="F556" s="361">
        <f>TRUNC(E556*D556,1)</f>
        <v>0</v>
      </c>
      <c r="G556" s="370">
        <f>신규_단가대비표!P154</f>
        <v>234998.43458</v>
      </c>
      <c r="H556" s="361">
        <f>TRUNC(G556*D556,1)</f>
        <v>19974.8</v>
      </c>
      <c r="I556" s="370">
        <f>신규_단가대비표!V154</f>
        <v>0</v>
      </c>
      <c r="J556" s="361">
        <f>TRUNC(I556*D556,1)</f>
        <v>0</v>
      </c>
      <c r="K556" s="370">
        <f t="shared" si="105"/>
        <v>234998.39999999999</v>
      </c>
      <c r="L556" s="361">
        <f t="shared" si="105"/>
        <v>19974.8</v>
      </c>
      <c r="M556" s="333" t="s">
        <v>378</v>
      </c>
      <c r="N556" s="329" t="s">
        <v>1344</v>
      </c>
      <c r="O556" s="329" t="s">
        <v>2222</v>
      </c>
      <c r="P556" s="329" t="s">
        <v>1105</v>
      </c>
      <c r="Q556" s="329" t="s">
        <v>1105</v>
      </c>
      <c r="R556" s="329" t="s">
        <v>1104</v>
      </c>
      <c r="V556" s="330">
        <v>1</v>
      </c>
      <c r="AV556" s="329" t="s">
        <v>378</v>
      </c>
      <c r="AW556" s="329" t="s">
        <v>2825</v>
      </c>
      <c r="AX556" s="329" t="s">
        <v>378</v>
      </c>
      <c r="AY556" s="329" t="s">
        <v>378</v>
      </c>
    </row>
    <row r="557" spans="1:51" ht="30" customHeight="1">
      <c r="A557" s="333" t="s">
        <v>2217</v>
      </c>
      <c r="B557" s="333" t="s">
        <v>2218</v>
      </c>
      <c r="C557" s="333" t="s">
        <v>212</v>
      </c>
      <c r="D557" s="334">
        <v>1</v>
      </c>
      <c r="E557" s="370">
        <f>TRUNC(SUMIF(V555:V557, RIGHTB(O557, 1), H555:H557)*U557, 2)</f>
        <v>599.24</v>
      </c>
      <c r="F557" s="361">
        <f>TRUNC(E557*D557,1)</f>
        <v>599.20000000000005</v>
      </c>
      <c r="G557" s="370">
        <v>0</v>
      </c>
      <c r="H557" s="361">
        <f>TRUNC(G557*D557,1)</f>
        <v>0</v>
      </c>
      <c r="I557" s="370">
        <v>0</v>
      </c>
      <c r="J557" s="361">
        <f>TRUNC(I557*D557,1)</f>
        <v>0</v>
      </c>
      <c r="K557" s="370">
        <f t="shared" si="105"/>
        <v>599.20000000000005</v>
      </c>
      <c r="L557" s="361">
        <f t="shared" si="105"/>
        <v>599.20000000000005</v>
      </c>
      <c r="M557" s="333" t="s">
        <v>378</v>
      </c>
      <c r="N557" s="329" t="s">
        <v>1344</v>
      </c>
      <c r="O557" s="329" t="s">
        <v>2211</v>
      </c>
      <c r="P557" s="329" t="s">
        <v>1105</v>
      </c>
      <c r="Q557" s="329" t="s">
        <v>1105</v>
      </c>
      <c r="R557" s="329" t="s">
        <v>1105</v>
      </c>
      <c r="S557" s="330">
        <v>1</v>
      </c>
      <c r="T557" s="330">
        <v>0</v>
      </c>
      <c r="U557" s="330">
        <v>0.03</v>
      </c>
      <c r="V557" s="330">
        <v>1</v>
      </c>
      <c r="AV557" s="329" t="s">
        <v>378</v>
      </c>
      <c r="AW557" s="329" t="s">
        <v>2826</v>
      </c>
      <c r="AX557" s="329" t="s">
        <v>378</v>
      </c>
      <c r="AY557" s="329" t="s">
        <v>378</v>
      </c>
    </row>
    <row r="558" spans="1:51" ht="30" customHeight="1">
      <c r="A558" s="333" t="s">
        <v>2224</v>
      </c>
      <c r="B558" s="333" t="s">
        <v>378</v>
      </c>
      <c r="C558" s="333" t="s">
        <v>378</v>
      </c>
      <c r="D558" s="334"/>
      <c r="E558" s="370"/>
      <c r="F558" s="361">
        <f>TRUNC(SUMIF(N555:N557, N554, F555:F557),0)</f>
        <v>2795</v>
      </c>
      <c r="G558" s="370"/>
      <c r="H558" s="361">
        <f>TRUNC(SUMIF(N555:N557, N554, H555:H557),0)</f>
        <v>19974</v>
      </c>
      <c r="I558" s="370"/>
      <c r="J558" s="361">
        <f>TRUNC(SUMIF(N555:N557, N554, J555:J557),0)</f>
        <v>0</v>
      </c>
      <c r="K558" s="370"/>
      <c r="L558" s="361">
        <f>F558+H558+J558</f>
        <v>22769</v>
      </c>
      <c r="M558" s="333" t="s">
        <v>378</v>
      </c>
      <c r="N558" s="329" t="s">
        <v>1197</v>
      </c>
      <c r="O558" s="329" t="s">
        <v>1197</v>
      </c>
      <c r="P558" s="329" t="s">
        <v>378</v>
      </c>
      <c r="Q558" s="329" t="s">
        <v>378</v>
      </c>
      <c r="R558" s="329" t="s">
        <v>378</v>
      </c>
      <c r="AV558" s="329" t="s">
        <v>378</v>
      </c>
      <c r="AW558" s="329" t="s">
        <v>378</v>
      </c>
      <c r="AX558" s="329" t="s">
        <v>378</v>
      </c>
      <c r="AY558" s="329" t="s">
        <v>378</v>
      </c>
    </row>
    <row r="559" spans="1:51" ht="30" customHeight="1">
      <c r="A559" s="334"/>
      <c r="B559" s="334"/>
      <c r="C559" s="334"/>
      <c r="D559" s="334"/>
      <c r="E559" s="370"/>
      <c r="F559" s="361"/>
      <c r="G559" s="370"/>
      <c r="H559" s="361"/>
      <c r="I559" s="370"/>
      <c r="J559" s="361"/>
      <c r="K559" s="370"/>
      <c r="L559" s="361"/>
      <c r="M559" s="334"/>
    </row>
    <row r="560" spans="1:51" ht="30" customHeight="1">
      <c r="A560" s="718" t="s">
        <v>2827</v>
      </c>
      <c r="B560" s="718"/>
      <c r="C560" s="718"/>
      <c r="D560" s="718"/>
      <c r="E560" s="719"/>
      <c r="F560" s="720"/>
      <c r="G560" s="719"/>
      <c r="H560" s="720"/>
      <c r="I560" s="719"/>
      <c r="J560" s="720"/>
      <c r="K560" s="719"/>
      <c r="L560" s="720"/>
      <c r="M560" s="718"/>
      <c r="N560" s="329" t="s">
        <v>1347</v>
      </c>
    </row>
    <row r="561" spans="1:51" ht="30" customHeight="1">
      <c r="A561" s="333" t="s">
        <v>2815</v>
      </c>
      <c r="B561" s="333" t="s">
        <v>2828</v>
      </c>
      <c r="C561" s="333" t="s">
        <v>265</v>
      </c>
      <c r="D561" s="334">
        <v>1</v>
      </c>
      <c r="E561" s="370">
        <f>신규_단가대비표!O112</f>
        <v>2833.3760000000002</v>
      </c>
      <c r="F561" s="361">
        <f>TRUNC(E561*D561,1)</f>
        <v>2833.3</v>
      </c>
      <c r="G561" s="370">
        <f>신규_단가대비표!P112</f>
        <v>0</v>
      </c>
      <c r="H561" s="361">
        <f>TRUNC(G561*D561,1)</f>
        <v>0</v>
      </c>
      <c r="I561" s="370">
        <f>신규_단가대비표!V112</f>
        <v>0</v>
      </c>
      <c r="J561" s="361">
        <f>TRUNC(I561*D561,1)</f>
        <v>0</v>
      </c>
      <c r="K561" s="370">
        <f t="shared" ref="K561:L563" si="106">TRUNC(E561+G561+I561,1)</f>
        <v>2833.3</v>
      </c>
      <c r="L561" s="361">
        <f t="shared" si="106"/>
        <v>2833.3</v>
      </c>
      <c r="M561" s="333" t="s">
        <v>378</v>
      </c>
      <c r="N561" s="329" t="s">
        <v>1347</v>
      </c>
      <c r="O561" s="329" t="s">
        <v>2829</v>
      </c>
      <c r="P561" s="329" t="s">
        <v>1105</v>
      </c>
      <c r="Q561" s="329" t="s">
        <v>1105</v>
      </c>
      <c r="R561" s="329" t="s">
        <v>1104</v>
      </c>
      <c r="AV561" s="329" t="s">
        <v>378</v>
      </c>
      <c r="AW561" s="329" t="s">
        <v>2830</v>
      </c>
      <c r="AX561" s="329" t="s">
        <v>378</v>
      </c>
      <c r="AY561" s="329" t="s">
        <v>378</v>
      </c>
    </row>
    <row r="562" spans="1:51" ht="30" customHeight="1">
      <c r="A562" s="333" t="s">
        <v>1851</v>
      </c>
      <c r="B562" s="333" t="s">
        <v>2221</v>
      </c>
      <c r="C562" s="333" t="s">
        <v>1852</v>
      </c>
      <c r="D562" s="334">
        <f>신규_공량산출근거서_일위대가!K268</f>
        <v>8.5000000000000006E-2</v>
      </c>
      <c r="E562" s="370">
        <f>신규_단가대비표!O154</f>
        <v>0</v>
      </c>
      <c r="F562" s="361">
        <f>TRUNC(E562*D562,1)</f>
        <v>0</v>
      </c>
      <c r="G562" s="370">
        <f>신규_단가대비표!P154</f>
        <v>234998.43458</v>
      </c>
      <c r="H562" s="361">
        <f>TRUNC(G562*D562,1)</f>
        <v>19974.8</v>
      </c>
      <c r="I562" s="370">
        <f>신규_단가대비표!V154</f>
        <v>0</v>
      </c>
      <c r="J562" s="361">
        <f>TRUNC(I562*D562,1)</f>
        <v>0</v>
      </c>
      <c r="K562" s="370">
        <f t="shared" si="106"/>
        <v>234998.39999999999</v>
      </c>
      <c r="L562" s="361">
        <f t="shared" si="106"/>
        <v>19974.8</v>
      </c>
      <c r="M562" s="333" t="s">
        <v>378</v>
      </c>
      <c r="N562" s="329" t="s">
        <v>1347</v>
      </c>
      <c r="O562" s="329" t="s">
        <v>2222</v>
      </c>
      <c r="P562" s="329" t="s">
        <v>1105</v>
      </c>
      <c r="Q562" s="329" t="s">
        <v>1105</v>
      </c>
      <c r="R562" s="329" t="s">
        <v>1104</v>
      </c>
      <c r="V562" s="330">
        <v>1</v>
      </c>
      <c r="AV562" s="329" t="s">
        <v>378</v>
      </c>
      <c r="AW562" s="329" t="s">
        <v>2831</v>
      </c>
      <c r="AX562" s="329" t="s">
        <v>378</v>
      </c>
      <c r="AY562" s="329" t="s">
        <v>378</v>
      </c>
    </row>
    <row r="563" spans="1:51" ht="30" customHeight="1">
      <c r="A563" s="333" t="s">
        <v>2217</v>
      </c>
      <c r="B563" s="333" t="s">
        <v>2218</v>
      </c>
      <c r="C563" s="333" t="s">
        <v>212</v>
      </c>
      <c r="D563" s="334">
        <v>1</v>
      </c>
      <c r="E563" s="370">
        <f>TRUNC(SUMIF(V561:V563, RIGHTB(O563, 1), H561:H563)*U563, 2)</f>
        <v>599.24</v>
      </c>
      <c r="F563" s="361">
        <f>TRUNC(E563*D563,1)</f>
        <v>599.20000000000005</v>
      </c>
      <c r="G563" s="370">
        <v>0</v>
      </c>
      <c r="H563" s="361">
        <f>TRUNC(G563*D563,1)</f>
        <v>0</v>
      </c>
      <c r="I563" s="370">
        <v>0</v>
      </c>
      <c r="J563" s="361">
        <f>TRUNC(I563*D563,1)</f>
        <v>0</v>
      </c>
      <c r="K563" s="370">
        <f t="shared" si="106"/>
        <v>599.20000000000005</v>
      </c>
      <c r="L563" s="361">
        <f t="shared" si="106"/>
        <v>599.20000000000005</v>
      </c>
      <c r="M563" s="333" t="s">
        <v>378</v>
      </c>
      <c r="N563" s="329" t="s">
        <v>1347</v>
      </c>
      <c r="O563" s="329" t="s">
        <v>2211</v>
      </c>
      <c r="P563" s="329" t="s">
        <v>1105</v>
      </c>
      <c r="Q563" s="329" t="s">
        <v>1105</v>
      </c>
      <c r="R563" s="329" t="s">
        <v>1105</v>
      </c>
      <c r="S563" s="330">
        <v>1</v>
      </c>
      <c r="T563" s="330">
        <v>0</v>
      </c>
      <c r="U563" s="330">
        <v>0.03</v>
      </c>
      <c r="V563" s="330">
        <v>1</v>
      </c>
      <c r="AV563" s="329" t="s">
        <v>378</v>
      </c>
      <c r="AW563" s="329" t="s">
        <v>2832</v>
      </c>
      <c r="AX563" s="329" t="s">
        <v>378</v>
      </c>
      <c r="AY563" s="329" t="s">
        <v>378</v>
      </c>
    </row>
    <row r="564" spans="1:51" ht="30" customHeight="1">
      <c r="A564" s="333" t="s">
        <v>2224</v>
      </c>
      <c r="B564" s="333" t="s">
        <v>378</v>
      </c>
      <c r="C564" s="333" t="s">
        <v>378</v>
      </c>
      <c r="D564" s="334"/>
      <c r="E564" s="370"/>
      <c r="F564" s="361">
        <f>TRUNC(SUMIF(N561:N563, N560, F561:F563),0)</f>
        <v>3432</v>
      </c>
      <c r="G564" s="370"/>
      <c r="H564" s="361">
        <f>TRUNC(SUMIF(N561:N563, N560, H561:H563),0)</f>
        <v>19974</v>
      </c>
      <c r="I564" s="370"/>
      <c r="J564" s="361">
        <f>TRUNC(SUMIF(N561:N563, N560, J561:J563),0)</f>
        <v>0</v>
      </c>
      <c r="K564" s="370"/>
      <c r="L564" s="361">
        <f>F564+H564+J564</f>
        <v>23406</v>
      </c>
      <c r="M564" s="333" t="s">
        <v>378</v>
      </c>
      <c r="N564" s="329" t="s">
        <v>1197</v>
      </c>
      <c r="O564" s="329" t="s">
        <v>1197</v>
      </c>
      <c r="P564" s="329" t="s">
        <v>378</v>
      </c>
      <c r="Q564" s="329" t="s">
        <v>378</v>
      </c>
      <c r="R564" s="329" t="s">
        <v>378</v>
      </c>
      <c r="AV564" s="329" t="s">
        <v>378</v>
      </c>
      <c r="AW564" s="329" t="s">
        <v>378</v>
      </c>
      <c r="AX564" s="329" t="s">
        <v>378</v>
      </c>
      <c r="AY564" s="329" t="s">
        <v>378</v>
      </c>
    </row>
    <row r="565" spans="1:51" ht="30" customHeight="1">
      <c r="A565" s="334"/>
      <c r="B565" s="334"/>
      <c r="C565" s="334"/>
      <c r="D565" s="334"/>
      <c r="E565" s="370"/>
      <c r="F565" s="361"/>
      <c r="G565" s="370"/>
      <c r="H565" s="361"/>
      <c r="I565" s="370"/>
      <c r="J565" s="361"/>
      <c r="K565" s="370"/>
      <c r="L565" s="361"/>
      <c r="M565" s="334"/>
    </row>
    <row r="566" spans="1:51" ht="30" customHeight="1">
      <c r="A566" s="718" t="s">
        <v>2833</v>
      </c>
      <c r="B566" s="718"/>
      <c r="C566" s="718"/>
      <c r="D566" s="718"/>
      <c r="E566" s="719"/>
      <c r="F566" s="720"/>
      <c r="G566" s="719"/>
      <c r="H566" s="720"/>
      <c r="I566" s="719"/>
      <c r="J566" s="720"/>
      <c r="K566" s="719"/>
      <c r="L566" s="720"/>
      <c r="M566" s="718"/>
      <c r="N566" s="329" t="s">
        <v>1350</v>
      </c>
    </row>
    <row r="567" spans="1:51" ht="30" customHeight="1">
      <c r="A567" s="333" t="s">
        <v>2815</v>
      </c>
      <c r="B567" s="333" t="s">
        <v>2834</v>
      </c>
      <c r="C567" s="333" t="s">
        <v>265</v>
      </c>
      <c r="D567" s="334">
        <v>1</v>
      </c>
      <c r="E567" s="370">
        <f>신규_단가대비표!O113</f>
        <v>5234.6621599999999</v>
      </c>
      <c r="F567" s="361">
        <f>TRUNC(E567*D567,1)</f>
        <v>5234.6000000000004</v>
      </c>
      <c r="G567" s="370">
        <f>신규_단가대비표!P113</f>
        <v>0</v>
      </c>
      <c r="H567" s="361">
        <f>TRUNC(G567*D567,1)</f>
        <v>0</v>
      </c>
      <c r="I567" s="370">
        <f>신규_단가대비표!V113</f>
        <v>0</v>
      </c>
      <c r="J567" s="361">
        <f>TRUNC(I567*D567,1)</f>
        <v>0</v>
      </c>
      <c r="K567" s="370">
        <f t="shared" ref="K567:L569" si="107">TRUNC(E567+G567+I567,1)</f>
        <v>5234.6000000000004</v>
      </c>
      <c r="L567" s="361">
        <f t="shared" si="107"/>
        <v>5234.6000000000004</v>
      </c>
      <c r="M567" s="333" t="s">
        <v>378</v>
      </c>
      <c r="N567" s="329" t="s">
        <v>1350</v>
      </c>
      <c r="O567" s="329" t="s">
        <v>2835</v>
      </c>
      <c r="P567" s="329" t="s">
        <v>1105</v>
      </c>
      <c r="Q567" s="329" t="s">
        <v>1105</v>
      </c>
      <c r="R567" s="329" t="s">
        <v>1104</v>
      </c>
      <c r="AV567" s="329" t="s">
        <v>378</v>
      </c>
      <c r="AW567" s="329" t="s">
        <v>2836</v>
      </c>
      <c r="AX567" s="329" t="s">
        <v>378</v>
      </c>
      <c r="AY567" s="329" t="s">
        <v>378</v>
      </c>
    </row>
    <row r="568" spans="1:51" ht="30" customHeight="1">
      <c r="A568" s="333" t="s">
        <v>1851</v>
      </c>
      <c r="B568" s="333" t="s">
        <v>2221</v>
      </c>
      <c r="C568" s="333" t="s">
        <v>1852</v>
      </c>
      <c r="D568" s="334">
        <f>신규_공량산출근거서_일위대가!K271</f>
        <v>8.5000000000000006E-2</v>
      </c>
      <c r="E568" s="370">
        <f>신규_단가대비표!O154</f>
        <v>0</v>
      </c>
      <c r="F568" s="361">
        <f>TRUNC(E568*D568,1)</f>
        <v>0</v>
      </c>
      <c r="G568" s="370">
        <f>신규_단가대비표!P154</f>
        <v>234998.43458</v>
      </c>
      <c r="H568" s="361">
        <f>TRUNC(G568*D568,1)</f>
        <v>19974.8</v>
      </c>
      <c r="I568" s="370">
        <f>신규_단가대비표!V154</f>
        <v>0</v>
      </c>
      <c r="J568" s="361">
        <f>TRUNC(I568*D568,1)</f>
        <v>0</v>
      </c>
      <c r="K568" s="370">
        <f t="shared" si="107"/>
        <v>234998.39999999999</v>
      </c>
      <c r="L568" s="361">
        <f t="shared" si="107"/>
        <v>19974.8</v>
      </c>
      <c r="M568" s="333" t="s">
        <v>378</v>
      </c>
      <c r="N568" s="329" t="s">
        <v>1350</v>
      </c>
      <c r="O568" s="329" t="s">
        <v>2222</v>
      </c>
      <c r="P568" s="329" t="s">
        <v>1105</v>
      </c>
      <c r="Q568" s="329" t="s">
        <v>1105</v>
      </c>
      <c r="R568" s="329" t="s">
        <v>1104</v>
      </c>
      <c r="V568" s="330">
        <v>1</v>
      </c>
      <c r="AV568" s="329" t="s">
        <v>378</v>
      </c>
      <c r="AW568" s="329" t="s">
        <v>2837</v>
      </c>
      <c r="AX568" s="329" t="s">
        <v>378</v>
      </c>
      <c r="AY568" s="329" t="s">
        <v>378</v>
      </c>
    </row>
    <row r="569" spans="1:51" ht="30" customHeight="1">
      <c r="A569" s="333" t="s">
        <v>2217</v>
      </c>
      <c r="B569" s="333" t="s">
        <v>2218</v>
      </c>
      <c r="C569" s="333" t="s">
        <v>212</v>
      </c>
      <c r="D569" s="334">
        <v>1</v>
      </c>
      <c r="E569" s="370">
        <f>TRUNC(SUMIF(V567:V569, RIGHTB(O569, 1), H567:H569)*U569, 2)</f>
        <v>599.24</v>
      </c>
      <c r="F569" s="361">
        <f>TRUNC(E569*D569,1)</f>
        <v>599.20000000000005</v>
      </c>
      <c r="G569" s="370">
        <v>0</v>
      </c>
      <c r="H569" s="361">
        <f>TRUNC(G569*D569,1)</f>
        <v>0</v>
      </c>
      <c r="I569" s="370">
        <v>0</v>
      </c>
      <c r="J569" s="361">
        <f>TRUNC(I569*D569,1)</f>
        <v>0</v>
      </c>
      <c r="K569" s="370">
        <f t="shared" si="107"/>
        <v>599.20000000000005</v>
      </c>
      <c r="L569" s="361">
        <f t="shared" si="107"/>
        <v>599.20000000000005</v>
      </c>
      <c r="M569" s="333" t="s">
        <v>378</v>
      </c>
      <c r="N569" s="329" t="s">
        <v>1350</v>
      </c>
      <c r="O569" s="329" t="s">
        <v>2211</v>
      </c>
      <c r="P569" s="329" t="s">
        <v>1105</v>
      </c>
      <c r="Q569" s="329" t="s">
        <v>1105</v>
      </c>
      <c r="R569" s="329" t="s">
        <v>1105</v>
      </c>
      <c r="S569" s="330">
        <v>1</v>
      </c>
      <c r="T569" s="330">
        <v>0</v>
      </c>
      <c r="U569" s="330">
        <v>0.03</v>
      </c>
      <c r="V569" s="330">
        <v>1</v>
      </c>
      <c r="AV569" s="329" t="s">
        <v>378</v>
      </c>
      <c r="AW569" s="329" t="s">
        <v>2838</v>
      </c>
      <c r="AX569" s="329" t="s">
        <v>378</v>
      </c>
      <c r="AY569" s="329" t="s">
        <v>378</v>
      </c>
    </row>
    <row r="570" spans="1:51" ht="30" customHeight="1">
      <c r="A570" s="333" t="s">
        <v>2224</v>
      </c>
      <c r="B570" s="333" t="s">
        <v>378</v>
      </c>
      <c r="C570" s="333" t="s">
        <v>378</v>
      </c>
      <c r="D570" s="334"/>
      <c r="E570" s="370"/>
      <c r="F570" s="361">
        <f>TRUNC(SUMIF(N567:N569, N566, F567:F569),0)</f>
        <v>5833</v>
      </c>
      <c r="G570" s="370"/>
      <c r="H570" s="361">
        <f>TRUNC(SUMIF(N567:N569, N566, H567:H569),0)</f>
        <v>19974</v>
      </c>
      <c r="I570" s="370"/>
      <c r="J570" s="361">
        <f>TRUNC(SUMIF(N567:N569, N566, J567:J569),0)</f>
        <v>0</v>
      </c>
      <c r="K570" s="370"/>
      <c r="L570" s="361">
        <f>F570+H570+J570</f>
        <v>25807</v>
      </c>
      <c r="M570" s="333" t="s">
        <v>378</v>
      </c>
      <c r="N570" s="329" t="s">
        <v>1197</v>
      </c>
      <c r="O570" s="329" t="s">
        <v>1197</v>
      </c>
      <c r="P570" s="329" t="s">
        <v>378</v>
      </c>
      <c r="Q570" s="329" t="s">
        <v>378</v>
      </c>
      <c r="R570" s="329" t="s">
        <v>378</v>
      </c>
      <c r="AV570" s="329" t="s">
        <v>378</v>
      </c>
      <c r="AW570" s="329" t="s">
        <v>378</v>
      </c>
      <c r="AX570" s="329" t="s">
        <v>378</v>
      </c>
      <c r="AY570" s="329" t="s">
        <v>378</v>
      </c>
    </row>
    <row r="571" spans="1:51" ht="30" customHeight="1">
      <c r="A571" s="334"/>
      <c r="B571" s="334"/>
      <c r="C571" s="334"/>
      <c r="D571" s="334"/>
      <c r="E571" s="370"/>
      <c r="F571" s="361"/>
      <c r="G571" s="370"/>
      <c r="H571" s="361"/>
      <c r="I571" s="370"/>
      <c r="J571" s="361"/>
      <c r="K571" s="370"/>
      <c r="L571" s="361"/>
      <c r="M571" s="334"/>
    </row>
    <row r="572" spans="1:51" ht="30" customHeight="1">
      <c r="A572" s="718" t="s">
        <v>2839</v>
      </c>
      <c r="B572" s="718"/>
      <c r="C572" s="718"/>
      <c r="D572" s="718"/>
      <c r="E572" s="719"/>
      <c r="F572" s="720"/>
      <c r="G572" s="719"/>
      <c r="H572" s="720"/>
      <c r="I572" s="719"/>
      <c r="J572" s="720"/>
      <c r="K572" s="719"/>
      <c r="L572" s="720"/>
      <c r="M572" s="718"/>
      <c r="N572" s="329" t="s">
        <v>1353</v>
      </c>
    </row>
    <row r="573" spans="1:51" ht="30" customHeight="1">
      <c r="A573" s="333" t="s">
        <v>489</v>
      </c>
      <c r="B573" s="333" t="s">
        <v>2840</v>
      </c>
      <c r="C573" s="333" t="s">
        <v>265</v>
      </c>
      <c r="D573" s="334">
        <v>1</v>
      </c>
      <c r="E573" s="370">
        <f>신규_단가대비표!O33</f>
        <v>8854.3000000000011</v>
      </c>
      <c r="F573" s="361">
        <f>TRUNC(E573*D573,1)</f>
        <v>8854.2999999999993</v>
      </c>
      <c r="G573" s="370">
        <f>신규_단가대비표!P33</f>
        <v>0</v>
      </c>
      <c r="H573" s="361">
        <f>TRUNC(G573*D573,1)</f>
        <v>0</v>
      </c>
      <c r="I573" s="370">
        <f>신규_단가대비표!V33</f>
        <v>0</v>
      </c>
      <c r="J573" s="361">
        <f>TRUNC(I573*D573,1)</f>
        <v>0</v>
      </c>
      <c r="K573" s="370">
        <f t="shared" ref="K573:L575" si="108">TRUNC(E573+G573+I573,1)</f>
        <v>8854.2999999999993</v>
      </c>
      <c r="L573" s="361">
        <f t="shared" si="108"/>
        <v>8854.2999999999993</v>
      </c>
      <c r="M573" s="333" t="s">
        <v>378</v>
      </c>
      <c r="N573" s="329" t="s">
        <v>1353</v>
      </c>
      <c r="O573" s="329" t="s">
        <v>2841</v>
      </c>
      <c r="P573" s="329" t="s">
        <v>1105</v>
      </c>
      <c r="Q573" s="329" t="s">
        <v>1105</v>
      </c>
      <c r="R573" s="329" t="s">
        <v>1104</v>
      </c>
      <c r="AV573" s="329" t="s">
        <v>378</v>
      </c>
      <c r="AW573" s="329" t="s">
        <v>2842</v>
      </c>
      <c r="AX573" s="329" t="s">
        <v>378</v>
      </c>
      <c r="AY573" s="329" t="s">
        <v>378</v>
      </c>
    </row>
    <row r="574" spans="1:51" ht="30" customHeight="1">
      <c r="A574" s="333" t="s">
        <v>1851</v>
      </c>
      <c r="B574" s="333" t="s">
        <v>2221</v>
      </c>
      <c r="C574" s="333" t="s">
        <v>1852</v>
      </c>
      <c r="D574" s="334">
        <f>신규_공량산출근거서_일위대가!K274</f>
        <v>0.111</v>
      </c>
      <c r="E574" s="370">
        <f>신규_단가대비표!O154</f>
        <v>0</v>
      </c>
      <c r="F574" s="361">
        <f>TRUNC(E574*D574,1)</f>
        <v>0</v>
      </c>
      <c r="G574" s="370">
        <f>신규_단가대비표!P154</f>
        <v>234998.43458</v>
      </c>
      <c r="H574" s="361">
        <f>TRUNC(G574*D574,1)</f>
        <v>26084.799999999999</v>
      </c>
      <c r="I574" s="370">
        <f>신규_단가대비표!V154</f>
        <v>0</v>
      </c>
      <c r="J574" s="361">
        <f>TRUNC(I574*D574,1)</f>
        <v>0</v>
      </c>
      <c r="K574" s="370">
        <f t="shared" si="108"/>
        <v>234998.39999999999</v>
      </c>
      <c r="L574" s="361">
        <f t="shared" si="108"/>
        <v>26084.799999999999</v>
      </c>
      <c r="M574" s="333" t="s">
        <v>378</v>
      </c>
      <c r="N574" s="329" t="s">
        <v>1353</v>
      </c>
      <c r="O574" s="329" t="s">
        <v>2222</v>
      </c>
      <c r="P574" s="329" t="s">
        <v>1105</v>
      </c>
      <c r="Q574" s="329" t="s">
        <v>1105</v>
      </c>
      <c r="R574" s="329" t="s">
        <v>1104</v>
      </c>
      <c r="V574" s="330">
        <v>1</v>
      </c>
      <c r="AV574" s="329" t="s">
        <v>378</v>
      </c>
      <c r="AW574" s="329" t="s">
        <v>2843</v>
      </c>
      <c r="AX574" s="329" t="s">
        <v>378</v>
      </c>
      <c r="AY574" s="329" t="s">
        <v>378</v>
      </c>
    </row>
    <row r="575" spans="1:51" ht="30" customHeight="1">
      <c r="A575" s="333" t="s">
        <v>2217</v>
      </c>
      <c r="B575" s="333" t="s">
        <v>2218</v>
      </c>
      <c r="C575" s="333" t="s">
        <v>212</v>
      </c>
      <c r="D575" s="334">
        <v>1</v>
      </c>
      <c r="E575" s="370">
        <f>TRUNC(SUMIF(V573:V575, RIGHTB(O575, 1), H573:H575)*U575, 2)</f>
        <v>782.54</v>
      </c>
      <c r="F575" s="361">
        <f>TRUNC(E575*D575,1)</f>
        <v>782.5</v>
      </c>
      <c r="G575" s="370">
        <v>0</v>
      </c>
      <c r="H575" s="361">
        <f>TRUNC(G575*D575,1)</f>
        <v>0</v>
      </c>
      <c r="I575" s="370">
        <v>0</v>
      </c>
      <c r="J575" s="361">
        <f>TRUNC(I575*D575,1)</f>
        <v>0</v>
      </c>
      <c r="K575" s="370">
        <f t="shared" si="108"/>
        <v>782.5</v>
      </c>
      <c r="L575" s="361">
        <f t="shared" si="108"/>
        <v>782.5</v>
      </c>
      <c r="M575" s="333" t="s">
        <v>378</v>
      </c>
      <c r="N575" s="329" t="s">
        <v>1353</v>
      </c>
      <c r="O575" s="329" t="s">
        <v>2211</v>
      </c>
      <c r="P575" s="329" t="s">
        <v>1105</v>
      </c>
      <c r="Q575" s="329" t="s">
        <v>1105</v>
      </c>
      <c r="R575" s="329" t="s">
        <v>1105</v>
      </c>
      <c r="S575" s="330">
        <v>1</v>
      </c>
      <c r="T575" s="330">
        <v>0</v>
      </c>
      <c r="U575" s="330">
        <v>0.03</v>
      </c>
      <c r="V575" s="330">
        <v>1</v>
      </c>
      <c r="AV575" s="329" t="s">
        <v>378</v>
      </c>
      <c r="AW575" s="329" t="s">
        <v>2844</v>
      </c>
      <c r="AX575" s="329" t="s">
        <v>378</v>
      </c>
      <c r="AY575" s="329" t="s">
        <v>378</v>
      </c>
    </row>
    <row r="576" spans="1:51" ht="30" customHeight="1">
      <c r="A576" s="333" t="s">
        <v>2224</v>
      </c>
      <c r="B576" s="333" t="s">
        <v>378</v>
      </c>
      <c r="C576" s="333" t="s">
        <v>378</v>
      </c>
      <c r="D576" s="334"/>
      <c r="E576" s="370"/>
      <c r="F576" s="361">
        <f>TRUNC(SUMIF(N573:N575, N572, F573:F575),0)</f>
        <v>9636</v>
      </c>
      <c r="G576" s="370"/>
      <c r="H576" s="361">
        <f>TRUNC(SUMIF(N573:N575, N572, H573:H575),0)</f>
        <v>26084</v>
      </c>
      <c r="I576" s="370"/>
      <c r="J576" s="361">
        <f>TRUNC(SUMIF(N573:N575, N572, J573:J575),0)</f>
        <v>0</v>
      </c>
      <c r="K576" s="370"/>
      <c r="L576" s="361">
        <f>F576+H576+J576</f>
        <v>35720</v>
      </c>
      <c r="M576" s="333" t="s">
        <v>378</v>
      </c>
      <c r="N576" s="329" t="s">
        <v>1197</v>
      </c>
      <c r="O576" s="329" t="s">
        <v>1197</v>
      </c>
      <c r="P576" s="329" t="s">
        <v>378</v>
      </c>
      <c r="Q576" s="329" t="s">
        <v>378</v>
      </c>
      <c r="R576" s="329" t="s">
        <v>378</v>
      </c>
      <c r="AV576" s="329" t="s">
        <v>378</v>
      </c>
      <c r="AW576" s="329" t="s">
        <v>378</v>
      </c>
      <c r="AX576" s="329" t="s">
        <v>378</v>
      </c>
      <c r="AY576" s="329" t="s">
        <v>378</v>
      </c>
    </row>
    <row r="577" spans="1:51" ht="30" customHeight="1">
      <c r="A577" s="334"/>
      <c r="B577" s="334"/>
      <c r="C577" s="334"/>
      <c r="D577" s="334"/>
      <c r="E577" s="370"/>
      <c r="F577" s="361"/>
      <c r="G577" s="370"/>
      <c r="H577" s="361"/>
      <c r="I577" s="370"/>
      <c r="J577" s="361"/>
      <c r="K577" s="370"/>
      <c r="L577" s="361"/>
      <c r="M577" s="334"/>
    </row>
    <row r="578" spans="1:51" ht="30" customHeight="1">
      <c r="A578" s="718" t="s">
        <v>2845</v>
      </c>
      <c r="B578" s="718"/>
      <c r="C578" s="718"/>
      <c r="D578" s="718"/>
      <c r="E578" s="719"/>
      <c r="F578" s="720"/>
      <c r="G578" s="719"/>
      <c r="H578" s="720"/>
      <c r="I578" s="719"/>
      <c r="J578" s="720"/>
      <c r="K578" s="719"/>
      <c r="L578" s="720"/>
      <c r="M578" s="718"/>
      <c r="N578" s="329" t="s">
        <v>1360</v>
      </c>
    </row>
    <row r="579" spans="1:51" ht="30" customHeight="1">
      <c r="A579" s="333" t="s">
        <v>493</v>
      </c>
      <c r="B579" s="333" t="s">
        <v>494</v>
      </c>
      <c r="C579" s="333" t="s">
        <v>265</v>
      </c>
      <c r="D579" s="334">
        <v>1</v>
      </c>
      <c r="E579" s="370">
        <f>신규_단가대비표!O114</f>
        <v>0</v>
      </c>
      <c r="F579" s="361">
        <f>TRUNC(E579*D579,1)</f>
        <v>0</v>
      </c>
      <c r="G579" s="370">
        <f>신규_단가대비표!P114</f>
        <v>0</v>
      </c>
      <c r="H579" s="361">
        <f>TRUNC(G579*D579,1)</f>
        <v>0</v>
      </c>
      <c r="I579" s="370">
        <f>신규_단가대비표!V114</f>
        <v>0</v>
      </c>
      <c r="J579" s="361">
        <f>TRUNC(I579*D579,1)</f>
        <v>0</v>
      </c>
      <c r="K579" s="370">
        <f t="shared" ref="K579:L581" si="109">TRUNC(E579+G579+I579,1)</f>
        <v>0</v>
      </c>
      <c r="L579" s="361">
        <f t="shared" si="109"/>
        <v>0</v>
      </c>
      <c r="M579" s="333" t="s">
        <v>378</v>
      </c>
      <c r="N579" s="329" t="s">
        <v>1360</v>
      </c>
      <c r="O579" s="329" t="s">
        <v>2846</v>
      </c>
      <c r="P579" s="329" t="s">
        <v>1105</v>
      </c>
      <c r="Q579" s="329" t="s">
        <v>1105</v>
      </c>
      <c r="R579" s="329" t="s">
        <v>1104</v>
      </c>
      <c r="AV579" s="329" t="s">
        <v>378</v>
      </c>
      <c r="AW579" s="329" t="s">
        <v>2847</v>
      </c>
      <c r="AX579" s="329" t="s">
        <v>378</v>
      </c>
      <c r="AY579" s="329" t="s">
        <v>378</v>
      </c>
    </row>
    <row r="580" spans="1:51" ht="30" customHeight="1">
      <c r="A580" s="333" t="s">
        <v>2217</v>
      </c>
      <c r="B580" s="333" t="s">
        <v>2218</v>
      </c>
      <c r="C580" s="333" t="s">
        <v>212</v>
      </c>
      <c r="D580" s="334">
        <v>1</v>
      </c>
      <c r="E580" s="370">
        <f>TRUNC(SUMIF(V579:V581, RIGHTB(O580, 1), H579:H581)*U580, 2)</f>
        <v>972.89</v>
      </c>
      <c r="F580" s="361">
        <f>TRUNC(E580*D580,1)</f>
        <v>972.8</v>
      </c>
      <c r="G580" s="370">
        <v>0</v>
      </c>
      <c r="H580" s="361">
        <f>TRUNC(G580*D580,1)</f>
        <v>0</v>
      </c>
      <c r="I580" s="370">
        <v>0</v>
      </c>
      <c r="J580" s="361">
        <f>TRUNC(I580*D580,1)</f>
        <v>0</v>
      </c>
      <c r="K580" s="370">
        <f t="shared" si="109"/>
        <v>972.8</v>
      </c>
      <c r="L580" s="361">
        <f t="shared" si="109"/>
        <v>972.8</v>
      </c>
      <c r="M580" s="333" t="s">
        <v>378</v>
      </c>
      <c r="N580" s="329" t="s">
        <v>1360</v>
      </c>
      <c r="O580" s="329" t="s">
        <v>2211</v>
      </c>
      <c r="P580" s="329" t="s">
        <v>1105</v>
      </c>
      <c r="Q580" s="329" t="s">
        <v>1105</v>
      </c>
      <c r="R580" s="329" t="s">
        <v>1105</v>
      </c>
      <c r="S580" s="330">
        <v>1</v>
      </c>
      <c r="T580" s="330">
        <v>0</v>
      </c>
      <c r="U580" s="330">
        <v>0.03</v>
      </c>
      <c r="V580" s="330">
        <v>1</v>
      </c>
      <c r="AV580" s="329" t="s">
        <v>378</v>
      </c>
      <c r="AW580" s="329" t="s">
        <v>2848</v>
      </c>
      <c r="AX580" s="329" t="s">
        <v>378</v>
      </c>
      <c r="AY580" s="329" t="s">
        <v>378</v>
      </c>
    </row>
    <row r="581" spans="1:51" ht="30" customHeight="1">
      <c r="A581" s="333" t="s">
        <v>1851</v>
      </c>
      <c r="B581" s="333" t="s">
        <v>2221</v>
      </c>
      <c r="C581" s="333" t="s">
        <v>1852</v>
      </c>
      <c r="D581" s="334">
        <f>신규_공량산출근거서_일위대가!K277</f>
        <v>0.13800000000000001</v>
      </c>
      <c r="E581" s="370">
        <f>신규_단가대비표!O154</f>
        <v>0</v>
      </c>
      <c r="F581" s="361">
        <f>TRUNC(E581*D581,1)</f>
        <v>0</v>
      </c>
      <c r="G581" s="370">
        <f>신규_단가대비표!P154</f>
        <v>234998.43458</v>
      </c>
      <c r="H581" s="361">
        <f>TRUNC(G581*D581,1)</f>
        <v>32429.7</v>
      </c>
      <c r="I581" s="370">
        <f>신규_단가대비표!V154</f>
        <v>0</v>
      </c>
      <c r="J581" s="361">
        <f>TRUNC(I581*D581,1)</f>
        <v>0</v>
      </c>
      <c r="K581" s="370">
        <f t="shared" si="109"/>
        <v>234998.39999999999</v>
      </c>
      <c r="L581" s="361">
        <f t="shared" si="109"/>
        <v>32429.7</v>
      </c>
      <c r="M581" s="333" t="s">
        <v>378</v>
      </c>
      <c r="N581" s="329" t="s">
        <v>1360</v>
      </c>
      <c r="O581" s="329" t="s">
        <v>2222</v>
      </c>
      <c r="P581" s="329" t="s">
        <v>1105</v>
      </c>
      <c r="Q581" s="329" t="s">
        <v>1105</v>
      </c>
      <c r="R581" s="329" t="s">
        <v>1104</v>
      </c>
      <c r="V581" s="330">
        <v>1</v>
      </c>
      <c r="AV581" s="329" t="s">
        <v>378</v>
      </c>
      <c r="AW581" s="329" t="s">
        <v>2849</v>
      </c>
      <c r="AX581" s="329" t="s">
        <v>378</v>
      </c>
      <c r="AY581" s="329" t="s">
        <v>378</v>
      </c>
    </row>
    <row r="582" spans="1:51" ht="30" customHeight="1">
      <c r="A582" s="333" t="s">
        <v>2224</v>
      </c>
      <c r="B582" s="333" t="s">
        <v>378</v>
      </c>
      <c r="C582" s="333" t="s">
        <v>378</v>
      </c>
      <c r="D582" s="334"/>
      <c r="E582" s="370"/>
      <c r="F582" s="361">
        <f>TRUNC(SUMIF(N579:N581, N578, F579:F581),0)</f>
        <v>972</v>
      </c>
      <c r="G582" s="370"/>
      <c r="H582" s="361">
        <f>TRUNC(SUMIF(N579:N581, N578, H579:H581),0)</f>
        <v>32429</v>
      </c>
      <c r="I582" s="370"/>
      <c r="J582" s="361">
        <f>TRUNC(SUMIF(N579:N581, N578, J579:J581),0)</f>
        <v>0</v>
      </c>
      <c r="K582" s="370"/>
      <c r="L582" s="361">
        <f>F582+H582+J582</f>
        <v>33401</v>
      </c>
      <c r="M582" s="333" t="s">
        <v>378</v>
      </c>
      <c r="N582" s="329" t="s">
        <v>1197</v>
      </c>
      <c r="O582" s="329" t="s">
        <v>1197</v>
      </c>
      <c r="P582" s="329" t="s">
        <v>378</v>
      </c>
      <c r="Q582" s="329" t="s">
        <v>378</v>
      </c>
      <c r="R582" s="329" t="s">
        <v>378</v>
      </c>
      <c r="AV582" s="329" t="s">
        <v>378</v>
      </c>
      <c r="AW582" s="329" t="s">
        <v>378</v>
      </c>
      <c r="AX582" s="329" t="s">
        <v>378</v>
      </c>
      <c r="AY582" s="329" t="s">
        <v>378</v>
      </c>
    </row>
    <row r="583" spans="1:51" ht="30" customHeight="1">
      <c r="A583" s="334"/>
      <c r="B583" s="334"/>
      <c r="C583" s="334"/>
      <c r="D583" s="334"/>
      <c r="E583" s="370"/>
      <c r="F583" s="361"/>
      <c r="G583" s="370"/>
      <c r="H583" s="361"/>
      <c r="I583" s="370"/>
      <c r="J583" s="361"/>
      <c r="K583" s="370"/>
      <c r="L583" s="361"/>
      <c r="M583" s="334"/>
    </row>
    <row r="584" spans="1:51" ht="30" customHeight="1">
      <c r="A584" s="718" t="s">
        <v>2850</v>
      </c>
      <c r="B584" s="718"/>
      <c r="C584" s="718"/>
      <c r="D584" s="718"/>
      <c r="E584" s="719"/>
      <c r="F584" s="720"/>
      <c r="G584" s="719"/>
      <c r="H584" s="720"/>
      <c r="I584" s="719"/>
      <c r="J584" s="720"/>
      <c r="K584" s="719"/>
      <c r="L584" s="720"/>
      <c r="M584" s="718"/>
      <c r="N584" s="329" t="s">
        <v>1363</v>
      </c>
    </row>
    <row r="585" spans="1:51" ht="30" customHeight="1">
      <c r="A585" s="333" t="s">
        <v>495</v>
      </c>
      <c r="B585" s="333" t="s">
        <v>496</v>
      </c>
      <c r="C585" s="333" t="s">
        <v>265</v>
      </c>
      <c r="D585" s="334">
        <v>1</v>
      </c>
      <c r="E585" s="370">
        <f>신규_단가대비표!O115</f>
        <v>0</v>
      </c>
      <c r="F585" s="361">
        <f>TRUNC(E585*D585,1)</f>
        <v>0</v>
      </c>
      <c r="G585" s="370">
        <f>신규_단가대비표!P115</f>
        <v>0</v>
      </c>
      <c r="H585" s="361">
        <f>TRUNC(G585*D585,1)</f>
        <v>0</v>
      </c>
      <c r="I585" s="370">
        <f>신규_단가대비표!V115</f>
        <v>0</v>
      </c>
      <c r="J585" s="361">
        <f>TRUNC(I585*D585,1)</f>
        <v>0</v>
      </c>
      <c r="K585" s="370">
        <f t="shared" ref="K585:L587" si="110">TRUNC(E585+G585+I585,1)</f>
        <v>0</v>
      </c>
      <c r="L585" s="361">
        <f t="shared" si="110"/>
        <v>0</v>
      </c>
      <c r="M585" s="333" t="s">
        <v>378</v>
      </c>
      <c r="N585" s="329" t="s">
        <v>1363</v>
      </c>
      <c r="O585" s="329" t="s">
        <v>2851</v>
      </c>
      <c r="P585" s="329" t="s">
        <v>1105</v>
      </c>
      <c r="Q585" s="329" t="s">
        <v>1105</v>
      </c>
      <c r="R585" s="329" t="s">
        <v>1104</v>
      </c>
      <c r="AV585" s="329" t="s">
        <v>378</v>
      </c>
      <c r="AW585" s="329" t="s">
        <v>2852</v>
      </c>
      <c r="AX585" s="329" t="s">
        <v>378</v>
      </c>
      <c r="AY585" s="329" t="s">
        <v>378</v>
      </c>
    </row>
    <row r="586" spans="1:51" ht="30" customHeight="1">
      <c r="A586" s="333" t="s">
        <v>1851</v>
      </c>
      <c r="B586" s="333" t="s">
        <v>2221</v>
      </c>
      <c r="C586" s="333" t="s">
        <v>1852</v>
      </c>
      <c r="D586" s="334">
        <f>신규_공량산출근거서_일위대가!K280</f>
        <v>0.249</v>
      </c>
      <c r="E586" s="370">
        <f>신규_단가대비표!O154</f>
        <v>0</v>
      </c>
      <c r="F586" s="361">
        <f>TRUNC(E586*D586,1)</f>
        <v>0</v>
      </c>
      <c r="G586" s="370">
        <f>신규_단가대비표!P154</f>
        <v>234998.43458</v>
      </c>
      <c r="H586" s="361">
        <f>TRUNC(G586*D586,1)</f>
        <v>58514.6</v>
      </c>
      <c r="I586" s="370">
        <f>신규_단가대비표!V154</f>
        <v>0</v>
      </c>
      <c r="J586" s="361">
        <f>TRUNC(I586*D586,1)</f>
        <v>0</v>
      </c>
      <c r="K586" s="370">
        <f t="shared" si="110"/>
        <v>234998.39999999999</v>
      </c>
      <c r="L586" s="361">
        <f t="shared" si="110"/>
        <v>58514.6</v>
      </c>
      <c r="M586" s="333" t="s">
        <v>378</v>
      </c>
      <c r="N586" s="329" t="s">
        <v>1363</v>
      </c>
      <c r="O586" s="329" t="s">
        <v>2222</v>
      </c>
      <c r="P586" s="329" t="s">
        <v>1105</v>
      </c>
      <c r="Q586" s="329" t="s">
        <v>1105</v>
      </c>
      <c r="R586" s="329" t="s">
        <v>1104</v>
      </c>
      <c r="V586" s="330">
        <v>1</v>
      </c>
      <c r="AV586" s="329" t="s">
        <v>378</v>
      </c>
      <c r="AW586" s="329" t="s">
        <v>2853</v>
      </c>
      <c r="AX586" s="329" t="s">
        <v>378</v>
      </c>
      <c r="AY586" s="329" t="s">
        <v>378</v>
      </c>
    </row>
    <row r="587" spans="1:51" ht="30" customHeight="1">
      <c r="A587" s="333" t="s">
        <v>2217</v>
      </c>
      <c r="B587" s="333" t="s">
        <v>2218</v>
      </c>
      <c r="C587" s="333" t="s">
        <v>212</v>
      </c>
      <c r="D587" s="334">
        <v>1</v>
      </c>
      <c r="E587" s="370">
        <f>TRUNC(SUMIF(V585:V587, RIGHTB(O587, 1), H585:H587)*U587, 2)</f>
        <v>1755.43</v>
      </c>
      <c r="F587" s="361">
        <f>TRUNC(E587*D587,1)</f>
        <v>1755.4</v>
      </c>
      <c r="G587" s="370">
        <v>0</v>
      </c>
      <c r="H587" s="361">
        <f>TRUNC(G587*D587,1)</f>
        <v>0</v>
      </c>
      <c r="I587" s="370">
        <v>0</v>
      </c>
      <c r="J587" s="361">
        <f>TRUNC(I587*D587,1)</f>
        <v>0</v>
      </c>
      <c r="K587" s="370">
        <f t="shared" si="110"/>
        <v>1755.4</v>
      </c>
      <c r="L587" s="361">
        <f t="shared" si="110"/>
        <v>1755.4</v>
      </c>
      <c r="M587" s="333" t="s">
        <v>378</v>
      </c>
      <c r="N587" s="329" t="s">
        <v>1363</v>
      </c>
      <c r="O587" s="329" t="s">
        <v>2211</v>
      </c>
      <c r="P587" s="329" t="s">
        <v>1105</v>
      </c>
      <c r="Q587" s="329" t="s">
        <v>1105</v>
      </c>
      <c r="R587" s="329" t="s">
        <v>1105</v>
      </c>
      <c r="S587" s="330">
        <v>1</v>
      </c>
      <c r="T587" s="330">
        <v>0</v>
      </c>
      <c r="U587" s="330">
        <v>0.03</v>
      </c>
      <c r="V587" s="330">
        <v>1</v>
      </c>
      <c r="AV587" s="329" t="s">
        <v>378</v>
      </c>
      <c r="AW587" s="329" t="s">
        <v>2854</v>
      </c>
      <c r="AX587" s="329" t="s">
        <v>378</v>
      </c>
      <c r="AY587" s="329" t="s">
        <v>378</v>
      </c>
    </row>
    <row r="588" spans="1:51" ht="30" customHeight="1">
      <c r="A588" s="333" t="s">
        <v>2224</v>
      </c>
      <c r="B588" s="333" t="s">
        <v>378</v>
      </c>
      <c r="C588" s="333" t="s">
        <v>378</v>
      </c>
      <c r="D588" s="334"/>
      <c r="E588" s="370"/>
      <c r="F588" s="361">
        <f>TRUNC(SUMIF(N585:N587, N584, F585:F587),0)</f>
        <v>1755</v>
      </c>
      <c r="G588" s="370"/>
      <c r="H588" s="361">
        <f>TRUNC(SUMIF(N585:N587, N584, H585:H587),0)</f>
        <v>58514</v>
      </c>
      <c r="I588" s="370"/>
      <c r="J588" s="361">
        <f>TRUNC(SUMIF(N585:N587, N584, J585:J587),0)</f>
        <v>0</v>
      </c>
      <c r="K588" s="370"/>
      <c r="L588" s="361">
        <f>F588+H588+J588</f>
        <v>60269</v>
      </c>
      <c r="M588" s="333" t="s">
        <v>378</v>
      </c>
      <c r="N588" s="329" t="s">
        <v>1197</v>
      </c>
      <c r="O588" s="329" t="s">
        <v>1197</v>
      </c>
      <c r="P588" s="329" t="s">
        <v>378</v>
      </c>
      <c r="Q588" s="329" t="s">
        <v>378</v>
      </c>
      <c r="R588" s="329" t="s">
        <v>378</v>
      </c>
      <c r="AV588" s="329" t="s">
        <v>378</v>
      </c>
      <c r="AW588" s="329" t="s">
        <v>378</v>
      </c>
      <c r="AX588" s="329" t="s">
        <v>378</v>
      </c>
      <c r="AY588" s="329" t="s">
        <v>378</v>
      </c>
    </row>
    <row r="589" spans="1:51" ht="30" customHeight="1">
      <c r="A589" s="334"/>
      <c r="B589" s="334"/>
      <c r="C589" s="334"/>
      <c r="D589" s="334"/>
      <c r="E589" s="370"/>
      <c r="F589" s="361"/>
      <c r="G589" s="370"/>
      <c r="H589" s="361"/>
      <c r="I589" s="370"/>
      <c r="J589" s="361"/>
      <c r="K589" s="370"/>
      <c r="L589" s="361"/>
      <c r="M589" s="334"/>
    </row>
    <row r="590" spans="1:51" ht="30" customHeight="1">
      <c r="A590" s="718" t="s">
        <v>2855</v>
      </c>
      <c r="B590" s="718"/>
      <c r="C590" s="718"/>
      <c r="D590" s="718"/>
      <c r="E590" s="719"/>
      <c r="F590" s="720"/>
      <c r="G590" s="719"/>
      <c r="H590" s="720"/>
      <c r="I590" s="719"/>
      <c r="J590" s="720"/>
      <c r="K590" s="719"/>
      <c r="L590" s="720"/>
      <c r="M590" s="718"/>
      <c r="N590" s="329" t="s">
        <v>1366</v>
      </c>
    </row>
    <row r="591" spans="1:51" ht="30" customHeight="1">
      <c r="A591" s="333" t="s">
        <v>497</v>
      </c>
      <c r="B591" s="333" t="s">
        <v>498</v>
      </c>
      <c r="C591" s="333" t="s">
        <v>265</v>
      </c>
      <c r="D591" s="334">
        <v>1</v>
      </c>
      <c r="E591" s="370">
        <f>신규_단가대비표!O116</f>
        <v>0</v>
      </c>
      <c r="F591" s="361">
        <f>TRUNC(E591*D591,1)</f>
        <v>0</v>
      </c>
      <c r="G591" s="370">
        <f>신규_단가대비표!P116</f>
        <v>0</v>
      </c>
      <c r="H591" s="361">
        <f>TRUNC(G591*D591,1)</f>
        <v>0</v>
      </c>
      <c r="I591" s="370">
        <f>신규_단가대비표!V116</f>
        <v>0</v>
      </c>
      <c r="J591" s="361">
        <f>TRUNC(I591*D591,1)</f>
        <v>0</v>
      </c>
      <c r="K591" s="370">
        <f t="shared" ref="K591:L593" si="111">TRUNC(E591+G591+I591,1)</f>
        <v>0</v>
      </c>
      <c r="L591" s="361">
        <f t="shared" si="111"/>
        <v>0</v>
      </c>
      <c r="M591" s="333" t="s">
        <v>378</v>
      </c>
      <c r="N591" s="329" t="s">
        <v>1366</v>
      </c>
      <c r="O591" s="329" t="s">
        <v>2856</v>
      </c>
      <c r="P591" s="329" t="s">
        <v>1105</v>
      </c>
      <c r="Q591" s="329" t="s">
        <v>1105</v>
      </c>
      <c r="R591" s="329" t="s">
        <v>1104</v>
      </c>
      <c r="AV591" s="329" t="s">
        <v>378</v>
      </c>
      <c r="AW591" s="329" t="s">
        <v>2857</v>
      </c>
      <c r="AX591" s="329" t="s">
        <v>378</v>
      </c>
      <c r="AY591" s="329" t="s">
        <v>378</v>
      </c>
    </row>
    <row r="592" spans="1:51" ht="30" customHeight="1">
      <c r="A592" s="333" t="s">
        <v>1851</v>
      </c>
      <c r="B592" s="333" t="s">
        <v>2221</v>
      </c>
      <c r="C592" s="333" t="s">
        <v>1852</v>
      </c>
      <c r="D592" s="334">
        <f>신규_공량산출근거서_일위대가!K283</f>
        <v>0.158</v>
      </c>
      <c r="E592" s="370">
        <f>신규_단가대비표!O154</f>
        <v>0</v>
      </c>
      <c r="F592" s="361">
        <f>TRUNC(E592*D592,1)</f>
        <v>0</v>
      </c>
      <c r="G592" s="370">
        <f>신규_단가대비표!P154</f>
        <v>234998.43458</v>
      </c>
      <c r="H592" s="361">
        <f>TRUNC(G592*D592,1)</f>
        <v>37129.699999999997</v>
      </c>
      <c r="I592" s="370">
        <f>신규_단가대비표!V154</f>
        <v>0</v>
      </c>
      <c r="J592" s="361">
        <f>TRUNC(I592*D592,1)</f>
        <v>0</v>
      </c>
      <c r="K592" s="370">
        <f t="shared" si="111"/>
        <v>234998.39999999999</v>
      </c>
      <c r="L592" s="361">
        <f t="shared" si="111"/>
        <v>37129.699999999997</v>
      </c>
      <c r="M592" s="333" t="s">
        <v>378</v>
      </c>
      <c r="N592" s="329" t="s">
        <v>1366</v>
      </c>
      <c r="O592" s="329" t="s">
        <v>2222</v>
      </c>
      <c r="P592" s="329" t="s">
        <v>1105</v>
      </c>
      <c r="Q592" s="329" t="s">
        <v>1105</v>
      </c>
      <c r="R592" s="329" t="s">
        <v>1104</v>
      </c>
      <c r="V592" s="330">
        <v>1</v>
      </c>
      <c r="AV592" s="329" t="s">
        <v>378</v>
      </c>
      <c r="AW592" s="329" t="s">
        <v>2858</v>
      </c>
      <c r="AX592" s="329" t="s">
        <v>378</v>
      </c>
      <c r="AY592" s="329" t="s">
        <v>378</v>
      </c>
    </row>
    <row r="593" spans="1:51" ht="30" customHeight="1">
      <c r="A593" s="333" t="s">
        <v>2217</v>
      </c>
      <c r="B593" s="333" t="s">
        <v>2218</v>
      </c>
      <c r="C593" s="333" t="s">
        <v>212</v>
      </c>
      <c r="D593" s="334">
        <v>1</v>
      </c>
      <c r="E593" s="370">
        <f>TRUNC(SUMIF(V591:V593, RIGHTB(O593, 1), H591:H593)*U593, 2)</f>
        <v>1113.8900000000001</v>
      </c>
      <c r="F593" s="361">
        <f>TRUNC(E593*D593,1)</f>
        <v>1113.8</v>
      </c>
      <c r="G593" s="370">
        <v>0</v>
      </c>
      <c r="H593" s="361">
        <f>TRUNC(G593*D593,1)</f>
        <v>0</v>
      </c>
      <c r="I593" s="370">
        <v>0</v>
      </c>
      <c r="J593" s="361">
        <f>TRUNC(I593*D593,1)</f>
        <v>0</v>
      </c>
      <c r="K593" s="370">
        <f t="shared" si="111"/>
        <v>1113.8</v>
      </c>
      <c r="L593" s="361">
        <f t="shared" si="111"/>
        <v>1113.8</v>
      </c>
      <c r="M593" s="333" t="s">
        <v>378</v>
      </c>
      <c r="N593" s="329" t="s">
        <v>1366</v>
      </c>
      <c r="O593" s="329" t="s">
        <v>2211</v>
      </c>
      <c r="P593" s="329" t="s">
        <v>1105</v>
      </c>
      <c r="Q593" s="329" t="s">
        <v>1105</v>
      </c>
      <c r="R593" s="329" t="s">
        <v>1105</v>
      </c>
      <c r="S593" s="330">
        <v>1</v>
      </c>
      <c r="T593" s="330">
        <v>0</v>
      </c>
      <c r="U593" s="330">
        <v>0.03</v>
      </c>
      <c r="V593" s="330">
        <v>1</v>
      </c>
      <c r="AV593" s="329" t="s">
        <v>378</v>
      </c>
      <c r="AW593" s="329" t="s">
        <v>2859</v>
      </c>
      <c r="AX593" s="329" t="s">
        <v>378</v>
      </c>
      <c r="AY593" s="329" t="s">
        <v>378</v>
      </c>
    </row>
    <row r="594" spans="1:51" ht="30" customHeight="1">
      <c r="A594" s="333" t="s">
        <v>2224</v>
      </c>
      <c r="B594" s="333" t="s">
        <v>378</v>
      </c>
      <c r="C594" s="333" t="s">
        <v>378</v>
      </c>
      <c r="D594" s="334"/>
      <c r="E594" s="370"/>
      <c r="F594" s="361">
        <f>TRUNC(SUMIF(N591:N593, N590, F591:F593),0)</f>
        <v>1113</v>
      </c>
      <c r="G594" s="370"/>
      <c r="H594" s="361">
        <f>TRUNC(SUMIF(N591:N593, N590, H591:H593),0)</f>
        <v>37129</v>
      </c>
      <c r="I594" s="370"/>
      <c r="J594" s="361">
        <f>TRUNC(SUMIF(N591:N593, N590, J591:J593),0)</f>
        <v>0</v>
      </c>
      <c r="K594" s="370"/>
      <c r="L594" s="361">
        <f>F594+H594+J594</f>
        <v>38242</v>
      </c>
      <c r="M594" s="333" t="s">
        <v>378</v>
      </c>
      <c r="N594" s="329" t="s">
        <v>1197</v>
      </c>
      <c r="O594" s="329" t="s">
        <v>1197</v>
      </c>
      <c r="P594" s="329" t="s">
        <v>378</v>
      </c>
      <c r="Q594" s="329" t="s">
        <v>378</v>
      </c>
      <c r="R594" s="329" t="s">
        <v>378</v>
      </c>
      <c r="AV594" s="329" t="s">
        <v>378</v>
      </c>
      <c r="AW594" s="329" t="s">
        <v>378</v>
      </c>
      <c r="AX594" s="329" t="s">
        <v>378</v>
      </c>
      <c r="AY594" s="329" t="s">
        <v>378</v>
      </c>
    </row>
    <row r="595" spans="1:51" ht="30" customHeight="1">
      <c r="A595" s="334"/>
      <c r="B595" s="334"/>
      <c r="C595" s="334"/>
      <c r="D595" s="334"/>
      <c r="E595" s="370"/>
      <c r="F595" s="361"/>
      <c r="G595" s="370"/>
      <c r="H595" s="361"/>
      <c r="I595" s="370"/>
      <c r="J595" s="361"/>
      <c r="K595" s="370"/>
      <c r="L595" s="361"/>
      <c r="M595" s="334"/>
    </row>
    <row r="596" spans="1:51" ht="30" customHeight="1">
      <c r="A596" s="718" t="s">
        <v>2860</v>
      </c>
      <c r="B596" s="718"/>
      <c r="C596" s="718"/>
      <c r="D596" s="718"/>
      <c r="E596" s="719"/>
      <c r="F596" s="720"/>
      <c r="G596" s="719"/>
      <c r="H596" s="720"/>
      <c r="I596" s="719"/>
      <c r="J596" s="720"/>
      <c r="K596" s="719"/>
      <c r="L596" s="720"/>
      <c r="M596" s="718"/>
      <c r="N596" s="329" t="s">
        <v>1369</v>
      </c>
    </row>
    <row r="597" spans="1:51" ht="30" customHeight="1">
      <c r="A597" s="333" t="s">
        <v>499</v>
      </c>
      <c r="B597" s="333" t="s">
        <v>500</v>
      </c>
      <c r="C597" s="333" t="s">
        <v>265</v>
      </c>
      <c r="D597" s="334">
        <v>1</v>
      </c>
      <c r="E597" s="370">
        <f>신규_단가대비표!O117</f>
        <v>0</v>
      </c>
      <c r="F597" s="361">
        <f>TRUNC(E597*D597,1)</f>
        <v>0</v>
      </c>
      <c r="G597" s="370">
        <f>신규_단가대비표!P117</f>
        <v>0</v>
      </c>
      <c r="H597" s="361">
        <f>TRUNC(G597*D597,1)</f>
        <v>0</v>
      </c>
      <c r="I597" s="370">
        <f>신규_단가대비표!V117</f>
        <v>0</v>
      </c>
      <c r="J597" s="361">
        <f>TRUNC(I597*D597,1)</f>
        <v>0</v>
      </c>
      <c r="K597" s="370">
        <f t="shared" ref="K597:L599" si="112">TRUNC(E597+G597+I597,1)</f>
        <v>0</v>
      </c>
      <c r="L597" s="361">
        <f t="shared" si="112"/>
        <v>0</v>
      </c>
      <c r="M597" s="333" t="s">
        <v>378</v>
      </c>
      <c r="N597" s="329" t="s">
        <v>1369</v>
      </c>
      <c r="O597" s="329" t="s">
        <v>2861</v>
      </c>
      <c r="P597" s="329" t="s">
        <v>1105</v>
      </c>
      <c r="Q597" s="329" t="s">
        <v>1105</v>
      </c>
      <c r="R597" s="329" t="s">
        <v>1104</v>
      </c>
      <c r="AV597" s="329" t="s">
        <v>378</v>
      </c>
      <c r="AW597" s="329" t="s">
        <v>2862</v>
      </c>
      <c r="AX597" s="329" t="s">
        <v>378</v>
      </c>
      <c r="AY597" s="329" t="s">
        <v>378</v>
      </c>
    </row>
    <row r="598" spans="1:51" ht="30" customHeight="1">
      <c r="A598" s="333" t="s">
        <v>1851</v>
      </c>
      <c r="B598" s="333" t="s">
        <v>2221</v>
      </c>
      <c r="C598" s="333" t="s">
        <v>1852</v>
      </c>
      <c r="D598" s="334">
        <f>신규_공량산출근거서_일위대가!K286</f>
        <v>0.221</v>
      </c>
      <c r="E598" s="370">
        <f>신규_단가대비표!O154</f>
        <v>0</v>
      </c>
      <c r="F598" s="361">
        <f>TRUNC(E598*D598,1)</f>
        <v>0</v>
      </c>
      <c r="G598" s="370">
        <f>신규_단가대비표!P154</f>
        <v>234998.43458</v>
      </c>
      <c r="H598" s="361">
        <f>TRUNC(G598*D598,1)</f>
        <v>51934.6</v>
      </c>
      <c r="I598" s="370">
        <f>신규_단가대비표!V154</f>
        <v>0</v>
      </c>
      <c r="J598" s="361">
        <f>TRUNC(I598*D598,1)</f>
        <v>0</v>
      </c>
      <c r="K598" s="370">
        <f t="shared" si="112"/>
        <v>234998.39999999999</v>
      </c>
      <c r="L598" s="361">
        <f t="shared" si="112"/>
        <v>51934.6</v>
      </c>
      <c r="M598" s="333" t="s">
        <v>378</v>
      </c>
      <c r="N598" s="329" t="s">
        <v>1369</v>
      </c>
      <c r="O598" s="329" t="s">
        <v>2222</v>
      </c>
      <c r="P598" s="329" t="s">
        <v>1105</v>
      </c>
      <c r="Q598" s="329" t="s">
        <v>1105</v>
      </c>
      <c r="R598" s="329" t="s">
        <v>1104</v>
      </c>
      <c r="V598" s="330">
        <v>1</v>
      </c>
      <c r="AV598" s="329" t="s">
        <v>378</v>
      </c>
      <c r="AW598" s="329" t="s">
        <v>2863</v>
      </c>
      <c r="AX598" s="329" t="s">
        <v>378</v>
      </c>
      <c r="AY598" s="329" t="s">
        <v>378</v>
      </c>
    </row>
    <row r="599" spans="1:51" ht="30" customHeight="1">
      <c r="A599" s="333" t="s">
        <v>2217</v>
      </c>
      <c r="B599" s="333" t="s">
        <v>2218</v>
      </c>
      <c r="C599" s="333" t="s">
        <v>212</v>
      </c>
      <c r="D599" s="334">
        <v>1</v>
      </c>
      <c r="E599" s="370">
        <f>TRUNC(SUMIF(V597:V599, RIGHTB(O599, 1), H597:H599)*U599, 2)</f>
        <v>1558.03</v>
      </c>
      <c r="F599" s="361">
        <f>TRUNC(E599*D599,1)</f>
        <v>1558</v>
      </c>
      <c r="G599" s="370">
        <v>0</v>
      </c>
      <c r="H599" s="361">
        <f>TRUNC(G599*D599,1)</f>
        <v>0</v>
      </c>
      <c r="I599" s="370">
        <v>0</v>
      </c>
      <c r="J599" s="361">
        <f>TRUNC(I599*D599,1)</f>
        <v>0</v>
      </c>
      <c r="K599" s="370">
        <f t="shared" si="112"/>
        <v>1558</v>
      </c>
      <c r="L599" s="361">
        <f t="shared" si="112"/>
        <v>1558</v>
      </c>
      <c r="M599" s="333" t="s">
        <v>378</v>
      </c>
      <c r="N599" s="329" t="s">
        <v>1369</v>
      </c>
      <c r="O599" s="329" t="s">
        <v>2211</v>
      </c>
      <c r="P599" s="329" t="s">
        <v>1105</v>
      </c>
      <c r="Q599" s="329" t="s">
        <v>1105</v>
      </c>
      <c r="R599" s="329" t="s">
        <v>1105</v>
      </c>
      <c r="S599" s="330">
        <v>1</v>
      </c>
      <c r="T599" s="330">
        <v>0</v>
      </c>
      <c r="U599" s="330">
        <v>0.03</v>
      </c>
      <c r="V599" s="330">
        <v>1</v>
      </c>
      <c r="AV599" s="329" t="s">
        <v>378</v>
      </c>
      <c r="AW599" s="329" t="s">
        <v>2864</v>
      </c>
      <c r="AX599" s="329" t="s">
        <v>378</v>
      </c>
      <c r="AY599" s="329" t="s">
        <v>378</v>
      </c>
    </row>
    <row r="600" spans="1:51" ht="30" customHeight="1">
      <c r="A600" s="333" t="s">
        <v>2224</v>
      </c>
      <c r="B600" s="333" t="s">
        <v>378</v>
      </c>
      <c r="C600" s="333" t="s">
        <v>378</v>
      </c>
      <c r="D600" s="334"/>
      <c r="E600" s="370"/>
      <c r="F600" s="361">
        <f>TRUNC(SUMIF(N597:N599, N596, F597:F599),0)</f>
        <v>1558</v>
      </c>
      <c r="G600" s="370"/>
      <c r="H600" s="361">
        <f>TRUNC(SUMIF(N597:N599, N596, H597:H599),0)</f>
        <v>51934</v>
      </c>
      <c r="I600" s="370"/>
      <c r="J600" s="361">
        <f>TRUNC(SUMIF(N597:N599, N596, J597:J599),0)</f>
        <v>0</v>
      </c>
      <c r="K600" s="370"/>
      <c r="L600" s="361">
        <f>F600+H600+J600</f>
        <v>53492</v>
      </c>
      <c r="M600" s="333" t="s">
        <v>378</v>
      </c>
      <c r="N600" s="329" t="s">
        <v>1197</v>
      </c>
      <c r="O600" s="329" t="s">
        <v>1197</v>
      </c>
      <c r="P600" s="329" t="s">
        <v>378</v>
      </c>
      <c r="Q600" s="329" t="s">
        <v>378</v>
      </c>
      <c r="R600" s="329" t="s">
        <v>378</v>
      </c>
      <c r="AV600" s="329" t="s">
        <v>378</v>
      </c>
      <c r="AW600" s="329" t="s">
        <v>378</v>
      </c>
      <c r="AX600" s="329" t="s">
        <v>378</v>
      </c>
      <c r="AY600" s="329" t="s">
        <v>378</v>
      </c>
    </row>
    <row r="601" spans="1:51" ht="30" customHeight="1">
      <c r="A601" s="334"/>
      <c r="B601" s="334"/>
      <c r="C601" s="334"/>
      <c r="D601" s="334"/>
      <c r="E601" s="370"/>
      <c r="F601" s="361"/>
      <c r="G601" s="370"/>
      <c r="H601" s="361"/>
      <c r="I601" s="370"/>
      <c r="J601" s="361"/>
      <c r="K601" s="370"/>
      <c r="L601" s="361"/>
      <c r="M601" s="334"/>
    </row>
    <row r="602" spans="1:51" ht="30" customHeight="1">
      <c r="A602" s="718" t="s">
        <v>2865</v>
      </c>
      <c r="B602" s="718"/>
      <c r="C602" s="718"/>
      <c r="D602" s="718"/>
      <c r="E602" s="719"/>
      <c r="F602" s="720"/>
      <c r="G602" s="719"/>
      <c r="H602" s="720"/>
      <c r="I602" s="719"/>
      <c r="J602" s="720"/>
      <c r="K602" s="719"/>
      <c r="L602" s="720"/>
      <c r="M602" s="718"/>
      <c r="N602" s="329" t="s">
        <v>1372</v>
      </c>
    </row>
    <row r="603" spans="1:51" ht="30" customHeight="1">
      <c r="A603" s="333" t="s">
        <v>501</v>
      </c>
      <c r="B603" s="333" t="s">
        <v>502</v>
      </c>
      <c r="C603" s="333" t="s">
        <v>265</v>
      </c>
      <c r="D603" s="334">
        <v>1</v>
      </c>
      <c r="E603" s="370">
        <f>신규_단가대비표!O118</f>
        <v>0</v>
      </c>
      <c r="F603" s="361">
        <f>TRUNC(E603*D603,1)</f>
        <v>0</v>
      </c>
      <c r="G603" s="370">
        <f>신규_단가대비표!P118</f>
        <v>0</v>
      </c>
      <c r="H603" s="361">
        <f>TRUNC(G603*D603,1)</f>
        <v>0</v>
      </c>
      <c r="I603" s="370">
        <f>신규_단가대비표!V118</f>
        <v>0</v>
      </c>
      <c r="J603" s="361">
        <f>TRUNC(I603*D603,1)</f>
        <v>0</v>
      </c>
      <c r="K603" s="370">
        <f t="shared" ref="K603:L605" si="113">TRUNC(E603+G603+I603,1)</f>
        <v>0</v>
      </c>
      <c r="L603" s="361">
        <f t="shared" si="113"/>
        <v>0</v>
      </c>
      <c r="M603" s="333" t="s">
        <v>378</v>
      </c>
      <c r="N603" s="329" t="s">
        <v>1372</v>
      </c>
      <c r="O603" s="329" t="s">
        <v>2866</v>
      </c>
      <c r="P603" s="329" t="s">
        <v>1105</v>
      </c>
      <c r="Q603" s="329" t="s">
        <v>1105</v>
      </c>
      <c r="R603" s="329" t="s">
        <v>1104</v>
      </c>
      <c r="AV603" s="329" t="s">
        <v>378</v>
      </c>
      <c r="AW603" s="329" t="s">
        <v>2867</v>
      </c>
      <c r="AX603" s="329" t="s">
        <v>378</v>
      </c>
      <c r="AY603" s="329" t="s">
        <v>378</v>
      </c>
    </row>
    <row r="604" spans="1:51" ht="30" customHeight="1">
      <c r="A604" s="333" t="s">
        <v>1851</v>
      </c>
      <c r="B604" s="333" t="s">
        <v>2221</v>
      </c>
      <c r="C604" s="333" t="s">
        <v>1852</v>
      </c>
      <c r="D604" s="334">
        <f>신규_공량산출근거서_일위대가!K289</f>
        <v>0.13800000000000001</v>
      </c>
      <c r="E604" s="370">
        <f>신규_단가대비표!O154</f>
        <v>0</v>
      </c>
      <c r="F604" s="361">
        <f>TRUNC(E604*D604,1)</f>
        <v>0</v>
      </c>
      <c r="G604" s="370">
        <f>신규_단가대비표!P154</f>
        <v>234998.43458</v>
      </c>
      <c r="H604" s="361">
        <f>TRUNC(G604*D604,1)</f>
        <v>32429.7</v>
      </c>
      <c r="I604" s="370">
        <f>신규_단가대비표!V154</f>
        <v>0</v>
      </c>
      <c r="J604" s="361">
        <f>TRUNC(I604*D604,1)</f>
        <v>0</v>
      </c>
      <c r="K604" s="370">
        <f t="shared" si="113"/>
        <v>234998.39999999999</v>
      </c>
      <c r="L604" s="361">
        <f t="shared" si="113"/>
        <v>32429.7</v>
      </c>
      <c r="M604" s="333" t="s">
        <v>378</v>
      </c>
      <c r="N604" s="329" t="s">
        <v>1372</v>
      </c>
      <c r="O604" s="329" t="s">
        <v>2222</v>
      </c>
      <c r="P604" s="329" t="s">
        <v>1105</v>
      </c>
      <c r="Q604" s="329" t="s">
        <v>1105</v>
      </c>
      <c r="R604" s="329" t="s">
        <v>1104</v>
      </c>
      <c r="V604" s="330">
        <v>1</v>
      </c>
      <c r="AV604" s="329" t="s">
        <v>378</v>
      </c>
      <c r="AW604" s="329" t="s">
        <v>2868</v>
      </c>
      <c r="AX604" s="329" t="s">
        <v>378</v>
      </c>
      <c r="AY604" s="329" t="s">
        <v>378</v>
      </c>
    </row>
    <row r="605" spans="1:51" ht="30" customHeight="1">
      <c r="A605" s="333" t="s">
        <v>2217</v>
      </c>
      <c r="B605" s="333" t="s">
        <v>2218</v>
      </c>
      <c r="C605" s="333" t="s">
        <v>212</v>
      </c>
      <c r="D605" s="334">
        <v>1</v>
      </c>
      <c r="E605" s="370">
        <f>TRUNC(SUMIF(V603:V605, RIGHTB(O605, 1), H603:H605)*U605, 2)</f>
        <v>972.89</v>
      </c>
      <c r="F605" s="361">
        <f>TRUNC(E605*D605,1)</f>
        <v>972.8</v>
      </c>
      <c r="G605" s="370">
        <v>0</v>
      </c>
      <c r="H605" s="361">
        <f>TRUNC(G605*D605,1)</f>
        <v>0</v>
      </c>
      <c r="I605" s="370">
        <v>0</v>
      </c>
      <c r="J605" s="361">
        <f>TRUNC(I605*D605,1)</f>
        <v>0</v>
      </c>
      <c r="K605" s="370">
        <f t="shared" si="113"/>
        <v>972.8</v>
      </c>
      <c r="L605" s="361">
        <f t="shared" si="113"/>
        <v>972.8</v>
      </c>
      <c r="M605" s="333" t="s">
        <v>378</v>
      </c>
      <c r="N605" s="329" t="s">
        <v>1372</v>
      </c>
      <c r="O605" s="329" t="s">
        <v>2211</v>
      </c>
      <c r="P605" s="329" t="s">
        <v>1105</v>
      </c>
      <c r="Q605" s="329" t="s">
        <v>1105</v>
      </c>
      <c r="R605" s="329" t="s">
        <v>1105</v>
      </c>
      <c r="S605" s="330">
        <v>1</v>
      </c>
      <c r="T605" s="330">
        <v>0</v>
      </c>
      <c r="U605" s="330">
        <v>0.03</v>
      </c>
      <c r="V605" s="330">
        <v>1</v>
      </c>
      <c r="AV605" s="329" t="s">
        <v>378</v>
      </c>
      <c r="AW605" s="329" t="s">
        <v>2869</v>
      </c>
      <c r="AX605" s="329" t="s">
        <v>378</v>
      </c>
      <c r="AY605" s="329" t="s">
        <v>378</v>
      </c>
    </row>
    <row r="606" spans="1:51" ht="30" customHeight="1">
      <c r="A606" s="333" t="s">
        <v>2224</v>
      </c>
      <c r="B606" s="333" t="s">
        <v>378</v>
      </c>
      <c r="C606" s="333" t="s">
        <v>378</v>
      </c>
      <c r="D606" s="334"/>
      <c r="E606" s="370"/>
      <c r="F606" s="361">
        <f>TRUNC(SUMIF(N603:N605, N602, F603:F605),0)</f>
        <v>972</v>
      </c>
      <c r="G606" s="370"/>
      <c r="H606" s="361">
        <f>TRUNC(SUMIF(N603:N605, N602, H603:H605),0)</f>
        <v>32429</v>
      </c>
      <c r="I606" s="370"/>
      <c r="J606" s="361">
        <f>TRUNC(SUMIF(N603:N605, N602, J603:J605),0)</f>
        <v>0</v>
      </c>
      <c r="K606" s="370"/>
      <c r="L606" s="361">
        <f>F606+H606+J606</f>
        <v>33401</v>
      </c>
      <c r="M606" s="333" t="s">
        <v>378</v>
      </c>
      <c r="N606" s="329" t="s">
        <v>1197</v>
      </c>
      <c r="O606" s="329" t="s">
        <v>1197</v>
      </c>
      <c r="P606" s="329" t="s">
        <v>378</v>
      </c>
      <c r="Q606" s="329" t="s">
        <v>378</v>
      </c>
      <c r="R606" s="329" t="s">
        <v>378</v>
      </c>
      <c r="AV606" s="329" t="s">
        <v>378</v>
      </c>
      <c r="AW606" s="329" t="s">
        <v>378</v>
      </c>
      <c r="AX606" s="329" t="s">
        <v>378</v>
      </c>
      <c r="AY606" s="329" t="s">
        <v>378</v>
      </c>
    </row>
    <row r="607" spans="1:51" ht="30" customHeight="1">
      <c r="A607" s="334"/>
      <c r="B607" s="334"/>
      <c r="C607" s="334"/>
      <c r="D607" s="334"/>
      <c r="E607" s="370"/>
      <c r="F607" s="361"/>
      <c r="G607" s="370"/>
      <c r="H607" s="361"/>
      <c r="I607" s="370"/>
      <c r="J607" s="361"/>
      <c r="K607" s="370"/>
      <c r="L607" s="361"/>
      <c r="M607" s="334"/>
    </row>
    <row r="608" spans="1:51" ht="30" customHeight="1">
      <c r="A608" s="718" t="s">
        <v>2870</v>
      </c>
      <c r="B608" s="718"/>
      <c r="C608" s="718"/>
      <c r="D608" s="718"/>
      <c r="E608" s="719"/>
      <c r="F608" s="720"/>
      <c r="G608" s="719"/>
      <c r="H608" s="720"/>
      <c r="I608" s="719"/>
      <c r="J608" s="720"/>
      <c r="K608" s="719"/>
      <c r="L608" s="720"/>
      <c r="M608" s="718"/>
      <c r="N608" s="329" t="s">
        <v>1375</v>
      </c>
    </row>
    <row r="609" spans="1:51" ht="30" customHeight="1">
      <c r="A609" s="333" t="s">
        <v>503</v>
      </c>
      <c r="B609" s="333" t="s">
        <v>504</v>
      </c>
      <c r="C609" s="333" t="s">
        <v>265</v>
      </c>
      <c r="D609" s="334">
        <v>1</v>
      </c>
      <c r="E609" s="370">
        <f>신규_단가대비표!O119</f>
        <v>0</v>
      </c>
      <c r="F609" s="361">
        <f>TRUNC(E609*D609,1)</f>
        <v>0</v>
      </c>
      <c r="G609" s="370">
        <f>신규_단가대비표!P119</f>
        <v>0</v>
      </c>
      <c r="H609" s="361">
        <f>TRUNC(G609*D609,1)</f>
        <v>0</v>
      </c>
      <c r="I609" s="370">
        <f>신규_단가대비표!V119</f>
        <v>0</v>
      </c>
      <c r="J609" s="361">
        <f>TRUNC(I609*D609,1)</f>
        <v>0</v>
      </c>
      <c r="K609" s="370">
        <f t="shared" ref="K609:L611" si="114">TRUNC(E609+G609+I609,1)</f>
        <v>0</v>
      </c>
      <c r="L609" s="361">
        <f t="shared" si="114"/>
        <v>0</v>
      </c>
      <c r="M609" s="333" t="s">
        <v>378</v>
      </c>
      <c r="N609" s="329" t="s">
        <v>1375</v>
      </c>
      <c r="O609" s="329" t="s">
        <v>2871</v>
      </c>
      <c r="P609" s="329" t="s">
        <v>1105</v>
      </c>
      <c r="Q609" s="329" t="s">
        <v>1105</v>
      </c>
      <c r="R609" s="329" t="s">
        <v>1104</v>
      </c>
      <c r="AV609" s="329" t="s">
        <v>378</v>
      </c>
      <c r="AW609" s="329" t="s">
        <v>2872</v>
      </c>
      <c r="AX609" s="329" t="s">
        <v>378</v>
      </c>
      <c r="AY609" s="329" t="s">
        <v>378</v>
      </c>
    </row>
    <row r="610" spans="1:51" ht="30" customHeight="1">
      <c r="A610" s="333" t="s">
        <v>1851</v>
      </c>
      <c r="B610" s="333" t="s">
        <v>2221</v>
      </c>
      <c r="C610" s="333" t="s">
        <v>1852</v>
      </c>
      <c r="D610" s="334">
        <f>신규_공량산출근거서_일위대가!K292</f>
        <v>0.11700000000000001</v>
      </c>
      <c r="E610" s="370">
        <f>신규_단가대비표!O154</f>
        <v>0</v>
      </c>
      <c r="F610" s="361">
        <f>TRUNC(E610*D610,1)</f>
        <v>0</v>
      </c>
      <c r="G610" s="370">
        <f>신규_단가대비표!P154</f>
        <v>234998.43458</v>
      </c>
      <c r="H610" s="361">
        <f>TRUNC(G610*D610,1)</f>
        <v>27494.799999999999</v>
      </c>
      <c r="I610" s="370">
        <f>신규_단가대비표!V154</f>
        <v>0</v>
      </c>
      <c r="J610" s="361">
        <f>TRUNC(I610*D610,1)</f>
        <v>0</v>
      </c>
      <c r="K610" s="370">
        <f t="shared" si="114"/>
        <v>234998.39999999999</v>
      </c>
      <c r="L610" s="361">
        <f t="shared" si="114"/>
        <v>27494.799999999999</v>
      </c>
      <c r="M610" s="333" t="s">
        <v>378</v>
      </c>
      <c r="N610" s="329" t="s">
        <v>1375</v>
      </c>
      <c r="O610" s="329" t="s">
        <v>2222</v>
      </c>
      <c r="P610" s="329" t="s">
        <v>1105</v>
      </c>
      <c r="Q610" s="329" t="s">
        <v>1105</v>
      </c>
      <c r="R610" s="329" t="s">
        <v>1104</v>
      </c>
      <c r="V610" s="330">
        <v>1</v>
      </c>
      <c r="AV610" s="329" t="s">
        <v>378</v>
      </c>
      <c r="AW610" s="329" t="s">
        <v>2873</v>
      </c>
      <c r="AX610" s="329" t="s">
        <v>378</v>
      </c>
      <c r="AY610" s="329" t="s">
        <v>378</v>
      </c>
    </row>
    <row r="611" spans="1:51" ht="30" customHeight="1">
      <c r="A611" s="333" t="s">
        <v>2217</v>
      </c>
      <c r="B611" s="333" t="s">
        <v>2218</v>
      </c>
      <c r="C611" s="333" t="s">
        <v>212</v>
      </c>
      <c r="D611" s="334">
        <v>1</v>
      </c>
      <c r="E611" s="370">
        <f>TRUNC(SUMIF(V609:V611, RIGHTB(O611, 1), H609:H611)*U611, 2)</f>
        <v>824.84</v>
      </c>
      <c r="F611" s="361">
        <f>TRUNC(E611*D611,1)</f>
        <v>824.8</v>
      </c>
      <c r="G611" s="370">
        <v>0</v>
      </c>
      <c r="H611" s="361">
        <f>TRUNC(G611*D611,1)</f>
        <v>0</v>
      </c>
      <c r="I611" s="370">
        <v>0</v>
      </c>
      <c r="J611" s="361">
        <f>TRUNC(I611*D611,1)</f>
        <v>0</v>
      </c>
      <c r="K611" s="370">
        <f t="shared" si="114"/>
        <v>824.8</v>
      </c>
      <c r="L611" s="361">
        <f t="shared" si="114"/>
        <v>824.8</v>
      </c>
      <c r="M611" s="333" t="s">
        <v>378</v>
      </c>
      <c r="N611" s="329" t="s">
        <v>1375</v>
      </c>
      <c r="O611" s="329" t="s">
        <v>2211</v>
      </c>
      <c r="P611" s="329" t="s">
        <v>1105</v>
      </c>
      <c r="Q611" s="329" t="s">
        <v>1105</v>
      </c>
      <c r="R611" s="329" t="s">
        <v>1105</v>
      </c>
      <c r="S611" s="330">
        <v>1</v>
      </c>
      <c r="T611" s="330">
        <v>0</v>
      </c>
      <c r="U611" s="330">
        <v>0.03</v>
      </c>
      <c r="V611" s="330">
        <v>1</v>
      </c>
      <c r="AV611" s="329" t="s">
        <v>378</v>
      </c>
      <c r="AW611" s="329" t="s">
        <v>2874</v>
      </c>
      <c r="AX611" s="329" t="s">
        <v>378</v>
      </c>
      <c r="AY611" s="329" t="s">
        <v>378</v>
      </c>
    </row>
    <row r="612" spans="1:51" ht="30" customHeight="1">
      <c r="A612" s="333" t="s">
        <v>2224</v>
      </c>
      <c r="B612" s="333" t="s">
        <v>378</v>
      </c>
      <c r="C612" s="333" t="s">
        <v>378</v>
      </c>
      <c r="D612" s="334"/>
      <c r="E612" s="370"/>
      <c r="F612" s="361">
        <f>TRUNC(SUMIF(N609:N611, N608, F609:F611),0)</f>
        <v>824</v>
      </c>
      <c r="G612" s="370"/>
      <c r="H612" s="361">
        <f>TRUNC(SUMIF(N609:N611, N608, H609:H611),0)</f>
        <v>27494</v>
      </c>
      <c r="I612" s="370"/>
      <c r="J612" s="361">
        <f>TRUNC(SUMIF(N609:N611, N608, J609:J611),0)</f>
        <v>0</v>
      </c>
      <c r="K612" s="370"/>
      <c r="L612" s="361">
        <f>F612+H612+J612</f>
        <v>28318</v>
      </c>
      <c r="M612" s="333" t="s">
        <v>378</v>
      </c>
      <c r="N612" s="329" t="s">
        <v>1197</v>
      </c>
      <c r="O612" s="329" t="s">
        <v>1197</v>
      </c>
      <c r="P612" s="329" t="s">
        <v>378</v>
      </c>
      <c r="Q612" s="329" t="s">
        <v>378</v>
      </c>
      <c r="R612" s="329" t="s">
        <v>378</v>
      </c>
      <c r="AV612" s="329" t="s">
        <v>378</v>
      </c>
      <c r="AW612" s="329" t="s">
        <v>378</v>
      </c>
      <c r="AX612" s="329" t="s">
        <v>378</v>
      </c>
      <c r="AY612" s="329" t="s">
        <v>378</v>
      </c>
    </row>
    <row r="613" spans="1:51" ht="30" customHeight="1">
      <c r="A613" s="334"/>
      <c r="B613" s="334"/>
      <c r="C613" s="334"/>
      <c r="D613" s="334"/>
      <c r="E613" s="370"/>
      <c r="F613" s="361"/>
      <c r="G613" s="370"/>
      <c r="H613" s="361"/>
      <c r="I613" s="370"/>
      <c r="J613" s="361"/>
      <c r="K613" s="370"/>
      <c r="L613" s="361"/>
      <c r="M613" s="334"/>
    </row>
    <row r="614" spans="1:51" ht="30" customHeight="1">
      <c r="A614" s="718" t="s">
        <v>2875</v>
      </c>
      <c r="B614" s="718"/>
      <c r="C614" s="718"/>
      <c r="D614" s="718"/>
      <c r="E614" s="719"/>
      <c r="F614" s="720"/>
      <c r="G614" s="719"/>
      <c r="H614" s="720"/>
      <c r="I614" s="719"/>
      <c r="J614" s="720"/>
      <c r="K614" s="719"/>
      <c r="L614" s="720"/>
      <c r="M614" s="718"/>
      <c r="N614" s="329" t="s">
        <v>1378</v>
      </c>
    </row>
    <row r="615" spans="1:51" ht="30" customHeight="1">
      <c r="A615" s="333" t="s">
        <v>505</v>
      </c>
      <c r="B615" s="333" t="s">
        <v>506</v>
      </c>
      <c r="C615" s="333" t="s">
        <v>265</v>
      </c>
      <c r="D615" s="334">
        <v>1</v>
      </c>
      <c r="E615" s="370">
        <f>신규_단가대비표!O120</f>
        <v>0</v>
      </c>
      <c r="F615" s="361">
        <f>TRUNC(E615*D615,1)</f>
        <v>0</v>
      </c>
      <c r="G615" s="370">
        <f>신규_단가대비표!P120</f>
        <v>0</v>
      </c>
      <c r="H615" s="361">
        <f>TRUNC(G615*D615,1)</f>
        <v>0</v>
      </c>
      <c r="I615" s="370">
        <f>신규_단가대비표!V120</f>
        <v>0</v>
      </c>
      <c r="J615" s="361">
        <f>TRUNC(I615*D615,1)</f>
        <v>0</v>
      </c>
      <c r="K615" s="370">
        <f t="shared" ref="K615:L617" si="115">TRUNC(E615+G615+I615,1)</f>
        <v>0</v>
      </c>
      <c r="L615" s="361">
        <f t="shared" si="115"/>
        <v>0</v>
      </c>
      <c r="M615" s="333" t="s">
        <v>378</v>
      </c>
      <c r="N615" s="329" t="s">
        <v>1378</v>
      </c>
      <c r="O615" s="329" t="s">
        <v>2876</v>
      </c>
      <c r="P615" s="329" t="s">
        <v>1105</v>
      </c>
      <c r="Q615" s="329" t="s">
        <v>1105</v>
      </c>
      <c r="R615" s="329" t="s">
        <v>1104</v>
      </c>
      <c r="AV615" s="329" t="s">
        <v>378</v>
      </c>
      <c r="AW615" s="329" t="s">
        <v>2877</v>
      </c>
      <c r="AX615" s="329" t="s">
        <v>378</v>
      </c>
      <c r="AY615" s="329" t="s">
        <v>378</v>
      </c>
    </row>
    <row r="616" spans="1:51" ht="30" customHeight="1">
      <c r="A616" s="333" t="s">
        <v>1851</v>
      </c>
      <c r="B616" s="333" t="s">
        <v>2221</v>
      </c>
      <c r="C616" s="333" t="s">
        <v>1852</v>
      </c>
      <c r="D616" s="334">
        <f>신규_공량산출근거서_일위대가!K295</f>
        <v>0.155</v>
      </c>
      <c r="E616" s="370">
        <f>신규_단가대비표!O154</f>
        <v>0</v>
      </c>
      <c r="F616" s="361">
        <f>TRUNC(E616*D616,1)</f>
        <v>0</v>
      </c>
      <c r="G616" s="370">
        <f>신규_단가대비표!P154</f>
        <v>234998.43458</v>
      </c>
      <c r="H616" s="361">
        <f>TRUNC(G616*D616,1)</f>
        <v>36424.699999999997</v>
      </c>
      <c r="I616" s="370">
        <f>신규_단가대비표!V154</f>
        <v>0</v>
      </c>
      <c r="J616" s="361">
        <f>TRUNC(I616*D616,1)</f>
        <v>0</v>
      </c>
      <c r="K616" s="370">
        <f t="shared" si="115"/>
        <v>234998.39999999999</v>
      </c>
      <c r="L616" s="361">
        <f t="shared" si="115"/>
        <v>36424.699999999997</v>
      </c>
      <c r="M616" s="333" t="s">
        <v>378</v>
      </c>
      <c r="N616" s="329" t="s">
        <v>1378</v>
      </c>
      <c r="O616" s="329" t="s">
        <v>2222</v>
      </c>
      <c r="P616" s="329" t="s">
        <v>1105</v>
      </c>
      <c r="Q616" s="329" t="s">
        <v>1105</v>
      </c>
      <c r="R616" s="329" t="s">
        <v>1104</v>
      </c>
      <c r="V616" s="330">
        <v>1</v>
      </c>
      <c r="AV616" s="329" t="s">
        <v>378</v>
      </c>
      <c r="AW616" s="329" t="s">
        <v>2878</v>
      </c>
      <c r="AX616" s="329" t="s">
        <v>378</v>
      </c>
      <c r="AY616" s="329" t="s">
        <v>378</v>
      </c>
    </row>
    <row r="617" spans="1:51" ht="30" customHeight="1">
      <c r="A617" s="333" t="s">
        <v>2217</v>
      </c>
      <c r="B617" s="333" t="s">
        <v>2218</v>
      </c>
      <c r="C617" s="333" t="s">
        <v>212</v>
      </c>
      <c r="D617" s="334">
        <v>1</v>
      </c>
      <c r="E617" s="370">
        <f>TRUNC(SUMIF(V615:V617, RIGHTB(O617, 1), H615:H617)*U617, 2)</f>
        <v>1092.74</v>
      </c>
      <c r="F617" s="361">
        <f>TRUNC(E617*D617,1)</f>
        <v>1092.7</v>
      </c>
      <c r="G617" s="370">
        <v>0</v>
      </c>
      <c r="H617" s="361">
        <f>TRUNC(G617*D617,1)</f>
        <v>0</v>
      </c>
      <c r="I617" s="370">
        <v>0</v>
      </c>
      <c r="J617" s="361">
        <f>TRUNC(I617*D617,1)</f>
        <v>0</v>
      </c>
      <c r="K617" s="370">
        <f t="shared" si="115"/>
        <v>1092.7</v>
      </c>
      <c r="L617" s="361">
        <f t="shared" si="115"/>
        <v>1092.7</v>
      </c>
      <c r="M617" s="333" t="s">
        <v>378</v>
      </c>
      <c r="N617" s="329" t="s">
        <v>1378</v>
      </c>
      <c r="O617" s="329" t="s">
        <v>2211</v>
      </c>
      <c r="P617" s="329" t="s">
        <v>1105</v>
      </c>
      <c r="Q617" s="329" t="s">
        <v>1105</v>
      </c>
      <c r="R617" s="329" t="s">
        <v>1105</v>
      </c>
      <c r="S617" s="330">
        <v>1</v>
      </c>
      <c r="T617" s="330">
        <v>0</v>
      </c>
      <c r="U617" s="330">
        <v>0.03</v>
      </c>
      <c r="V617" s="330">
        <v>1</v>
      </c>
      <c r="AV617" s="329" t="s">
        <v>378</v>
      </c>
      <c r="AW617" s="329" t="s">
        <v>2879</v>
      </c>
      <c r="AX617" s="329" t="s">
        <v>378</v>
      </c>
      <c r="AY617" s="329" t="s">
        <v>378</v>
      </c>
    </row>
    <row r="618" spans="1:51" ht="30" customHeight="1">
      <c r="A618" s="333" t="s">
        <v>2224</v>
      </c>
      <c r="B618" s="333" t="s">
        <v>378</v>
      </c>
      <c r="C618" s="333" t="s">
        <v>378</v>
      </c>
      <c r="D618" s="334"/>
      <c r="E618" s="370"/>
      <c r="F618" s="361">
        <f>TRUNC(SUMIF(N615:N617, N614, F615:F617),0)</f>
        <v>1092</v>
      </c>
      <c r="G618" s="370"/>
      <c r="H618" s="361">
        <f>TRUNC(SUMIF(N615:N617, N614, H615:H617),0)</f>
        <v>36424</v>
      </c>
      <c r="I618" s="370"/>
      <c r="J618" s="361">
        <f>TRUNC(SUMIF(N615:N617, N614, J615:J617),0)</f>
        <v>0</v>
      </c>
      <c r="K618" s="370"/>
      <c r="L618" s="361">
        <f>F618+H618+J618</f>
        <v>37516</v>
      </c>
      <c r="M618" s="333" t="s">
        <v>378</v>
      </c>
      <c r="N618" s="329" t="s">
        <v>1197</v>
      </c>
      <c r="O618" s="329" t="s">
        <v>1197</v>
      </c>
      <c r="P618" s="329" t="s">
        <v>378</v>
      </c>
      <c r="Q618" s="329" t="s">
        <v>378</v>
      </c>
      <c r="R618" s="329" t="s">
        <v>378</v>
      </c>
      <c r="AV618" s="329" t="s">
        <v>378</v>
      </c>
      <c r="AW618" s="329" t="s">
        <v>378</v>
      </c>
      <c r="AX618" s="329" t="s">
        <v>378</v>
      </c>
      <c r="AY618" s="329" t="s">
        <v>378</v>
      </c>
    </row>
    <row r="619" spans="1:51" ht="30" customHeight="1">
      <c r="A619" s="334"/>
      <c r="B619" s="334"/>
      <c r="C619" s="334"/>
      <c r="D619" s="334"/>
      <c r="E619" s="370"/>
      <c r="F619" s="361"/>
      <c r="G619" s="370"/>
      <c r="H619" s="361"/>
      <c r="I619" s="370"/>
      <c r="J619" s="361"/>
      <c r="K619" s="370"/>
      <c r="L619" s="361"/>
      <c r="M619" s="334"/>
    </row>
    <row r="620" spans="1:51" ht="30" customHeight="1">
      <c r="A620" s="718" t="s">
        <v>2880</v>
      </c>
      <c r="B620" s="718"/>
      <c r="C620" s="718"/>
      <c r="D620" s="718"/>
      <c r="E620" s="719"/>
      <c r="F620" s="720"/>
      <c r="G620" s="719"/>
      <c r="H620" s="720"/>
      <c r="I620" s="719"/>
      <c r="J620" s="720"/>
      <c r="K620" s="719"/>
      <c r="L620" s="720"/>
      <c r="M620" s="718"/>
      <c r="N620" s="329" t="s">
        <v>1381</v>
      </c>
    </row>
    <row r="621" spans="1:51" ht="30" customHeight="1">
      <c r="A621" s="333" t="s">
        <v>507</v>
      </c>
      <c r="B621" s="333" t="s">
        <v>508</v>
      </c>
      <c r="C621" s="333" t="s">
        <v>265</v>
      </c>
      <c r="D621" s="334">
        <v>1</v>
      </c>
      <c r="E621" s="370">
        <f>신규_단가대비표!O121</f>
        <v>0</v>
      </c>
      <c r="F621" s="361">
        <f>TRUNC(E621*D621,1)</f>
        <v>0</v>
      </c>
      <c r="G621" s="370">
        <f>신규_단가대비표!P121</f>
        <v>0</v>
      </c>
      <c r="H621" s="361">
        <f>TRUNC(G621*D621,1)</f>
        <v>0</v>
      </c>
      <c r="I621" s="370">
        <f>신규_단가대비표!V121</f>
        <v>0</v>
      </c>
      <c r="J621" s="361">
        <f>TRUNC(I621*D621,1)</f>
        <v>0</v>
      </c>
      <c r="K621" s="370">
        <f t="shared" ref="K621:L623" si="116">TRUNC(E621+G621+I621,1)</f>
        <v>0</v>
      </c>
      <c r="L621" s="361">
        <f t="shared" si="116"/>
        <v>0</v>
      </c>
      <c r="M621" s="333" t="s">
        <v>378</v>
      </c>
      <c r="N621" s="329" t="s">
        <v>1381</v>
      </c>
      <c r="O621" s="329" t="s">
        <v>2881</v>
      </c>
      <c r="P621" s="329" t="s">
        <v>1105</v>
      </c>
      <c r="Q621" s="329" t="s">
        <v>1105</v>
      </c>
      <c r="R621" s="329" t="s">
        <v>1104</v>
      </c>
      <c r="AV621" s="329" t="s">
        <v>378</v>
      </c>
      <c r="AW621" s="329" t="s">
        <v>2882</v>
      </c>
      <c r="AX621" s="329" t="s">
        <v>378</v>
      </c>
      <c r="AY621" s="329" t="s">
        <v>378</v>
      </c>
    </row>
    <row r="622" spans="1:51" ht="30" customHeight="1">
      <c r="A622" s="333" t="s">
        <v>1851</v>
      </c>
      <c r="B622" s="333" t="s">
        <v>2221</v>
      </c>
      <c r="C622" s="333" t="s">
        <v>1852</v>
      </c>
      <c r="D622" s="334">
        <f>신규_공량산출근거서_일위대가!K298</f>
        <v>0.11700000000000001</v>
      </c>
      <c r="E622" s="370">
        <f>신규_단가대비표!O154</f>
        <v>0</v>
      </c>
      <c r="F622" s="361">
        <f>TRUNC(E622*D622,1)</f>
        <v>0</v>
      </c>
      <c r="G622" s="370">
        <f>신규_단가대비표!P154</f>
        <v>234998.43458</v>
      </c>
      <c r="H622" s="361">
        <f>TRUNC(G622*D622,1)</f>
        <v>27494.799999999999</v>
      </c>
      <c r="I622" s="370">
        <f>신규_단가대비표!V154</f>
        <v>0</v>
      </c>
      <c r="J622" s="361">
        <f>TRUNC(I622*D622,1)</f>
        <v>0</v>
      </c>
      <c r="K622" s="370">
        <f t="shared" si="116"/>
        <v>234998.39999999999</v>
      </c>
      <c r="L622" s="361">
        <f t="shared" si="116"/>
        <v>27494.799999999999</v>
      </c>
      <c r="M622" s="333" t="s">
        <v>378</v>
      </c>
      <c r="N622" s="329" t="s">
        <v>1381</v>
      </c>
      <c r="O622" s="329" t="s">
        <v>2222</v>
      </c>
      <c r="P622" s="329" t="s">
        <v>1105</v>
      </c>
      <c r="Q622" s="329" t="s">
        <v>1105</v>
      </c>
      <c r="R622" s="329" t="s">
        <v>1104</v>
      </c>
      <c r="V622" s="330">
        <v>1</v>
      </c>
      <c r="AV622" s="329" t="s">
        <v>378</v>
      </c>
      <c r="AW622" s="329" t="s">
        <v>2883</v>
      </c>
      <c r="AX622" s="329" t="s">
        <v>378</v>
      </c>
      <c r="AY622" s="329" t="s">
        <v>378</v>
      </c>
    </row>
    <row r="623" spans="1:51" ht="30" customHeight="1">
      <c r="A623" s="333" t="s">
        <v>2217</v>
      </c>
      <c r="B623" s="333" t="s">
        <v>2218</v>
      </c>
      <c r="C623" s="333" t="s">
        <v>212</v>
      </c>
      <c r="D623" s="334">
        <v>1</v>
      </c>
      <c r="E623" s="370">
        <f>TRUNC(SUMIF(V621:V623, RIGHTB(O623, 1), H621:H623)*U623, 2)</f>
        <v>824.84</v>
      </c>
      <c r="F623" s="361">
        <f>TRUNC(E623*D623,1)</f>
        <v>824.8</v>
      </c>
      <c r="G623" s="370">
        <v>0</v>
      </c>
      <c r="H623" s="361">
        <f>TRUNC(G623*D623,1)</f>
        <v>0</v>
      </c>
      <c r="I623" s="370">
        <v>0</v>
      </c>
      <c r="J623" s="361">
        <f>TRUNC(I623*D623,1)</f>
        <v>0</v>
      </c>
      <c r="K623" s="370">
        <f t="shared" si="116"/>
        <v>824.8</v>
      </c>
      <c r="L623" s="361">
        <f t="shared" si="116"/>
        <v>824.8</v>
      </c>
      <c r="M623" s="333" t="s">
        <v>378</v>
      </c>
      <c r="N623" s="329" t="s">
        <v>1381</v>
      </c>
      <c r="O623" s="329" t="s">
        <v>2211</v>
      </c>
      <c r="P623" s="329" t="s">
        <v>1105</v>
      </c>
      <c r="Q623" s="329" t="s">
        <v>1105</v>
      </c>
      <c r="R623" s="329" t="s">
        <v>1105</v>
      </c>
      <c r="S623" s="330">
        <v>1</v>
      </c>
      <c r="T623" s="330">
        <v>0</v>
      </c>
      <c r="U623" s="330">
        <v>0.03</v>
      </c>
      <c r="V623" s="330">
        <v>1</v>
      </c>
      <c r="AV623" s="329" t="s">
        <v>378</v>
      </c>
      <c r="AW623" s="329" t="s">
        <v>2884</v>
      </c>
      <c r="AX623" s="329" t="s">
        <v>378</v>
      </c>
      <c r="AY623" s="329" t="s">
        <v>378</v>
      </c>
    </row>
    <row r="624" spans="1:51" ht="30" customHeight="1">
      <c r="A624" s="333" t="s">
        <v>2224</v>
      </c>
      <c r="B624" s="333" t="s">
        <v>378</v>
      </c>
      <c r="C624" s="333" t="s">
        <v>378</v>
      </c>
      <c r="D624" s="334"/>
      <c r="E624" s="370"/>
      <c r="F624" s="361">
        <f>TRUNC(SUMIF(N621:N623, N620, F621:F623),0)</f>
        <v>824</v>
      </c>
      <c r="G624" s="370"/>
      <c r="H624" s="361">
        <f>TRUNC(SUMIF(N621:N623, N620, H621:H623),0)</f>
        <v>27494</v>
      </c>
      <c r="I624" s="370"/>
      <c r="J624" s="361">
        <f>TRUNC(SUMIF(N621:N623, N620, J621:J623),0)</f>
        <v>0</v>
      </c>
      <c r="K624" s="370"/>
      <c r="L624" s="361">
        <f>F624+H624+J624</f>
        <v>28318</v>
      </c>
      <c r="M624" s="333" t="s">
        <v>378</v>
      </c>
      <c r="N624" s="329" t="s">
        <v>1197</v>
      </c>
      <c r="O624" s="329" t="s">
        <v>1197</v>
      </c>
      <c r="P624" s="329" t="s">
        <v>378</v>
      </c>
      <c r="Q624" s="329" t="s">
        <v>378</v>
      </c>
      <c r="R624" s="329" t="s">
        <v>378</v>
      </c>
      <c r="AV624" s="329" t="s">
        <v>378</v>
      </c>
      <c r="AW624" s="329" t="s">
        <v>378</v>
      </c>
      <c r="AX624" s="329" t="s">
        <v>378</v>
      </c>
      <c r="AY624" s="329" t="s">
        <v>378</v>
      </c>
    </row>
    <row r="625" spans="1:51" ht="30" customHeight="1">
      <c r="A625" s="334"/>
      <c r="B625" s="334"/>
      <c r="C625" s="334"/>
      <c r="D625" s="334"/>
      <c r="E625" s="370"/>
      <c r="F625" s="361"/>
      <c r="G625" s="370"/>
      <c r="H625" s="361"/>
      <c r="I625" s="370"/>
      <c r="J625" s="361"/>
      <c r="K625" s="370"/>
      <c r="L625" s="361"/>
      <c r="M625" s="334"/>
    </row>
    <row r="626" spans="1:51" ht="30" customHeight="1">
      <c r="A626" s="718" t="s">
        <v>2885</v>
      </c>
      <c r="B626" s="718"/>
      <c r="C626" s="718"/>
      <c r="D626" s="718"/>
      <c r="E626" s="719"/>
      <c r="F626" s="720"/>
      <c r="G626" s="719"/>
      <c r="H626" s="720"/>
      <c r="I626" s="719"/>
      <c r="J626" s="720"/>
      <c r="K626" s="719"/>
      <c r="L626" s="720"/>
      <c r="M626" s="718"/>
      <c r="N626" s="329" t="s">
        <v>1384</v>
      </c>
    </row>
    <row r="627" spans="1:51" ht="30" customHeight="1">
      <c r="A627" s="333" t="s">
        <v>509</v>
      </c>
      <c r="B627" s="333" t="s">
        <v>510</v>
      </c>
      <c r="C627" s="333" t="s">
        <v>265</v>
      </c>
      <c r="D627" s="334">
        <v>1</v>
      </c>
      <c r="E627" s="370">
        <f>신규_단가대비표!O122</f>
        <v>0</v>
      </c>
      <c r="F627" s="361">
        <f>TRUNC(E627*D627,1)</f>
        <v>0</v>
      </c>
      <c r="G627" s="370">
        <f>신규_단가대비표!P122</f>
        <v>0</v>
      </c>
      <c r="H627" s="361">
        <f>TRUNC(G627*D627,1)</f>
        <v>0</v>
      </c>
      <c r="I627" s="370">
        <f>신규_단가대비표!V122</f>
        <v>0</v>
      </c>
      <c r="J627" s="361">
        <f>TRUNC(I627*D627,1)</f>
        <v>0</v>
      </c>
      <c r="K627" s="370">
        <f t="shared" ref="K627:L629" si="117">TRUNC(E627+G627+I627,1)</f>
        <v>0</v>
      </c>
      <c r="L627" s="361">
        <f t="shared" si="117"/>
        <v>0</v>
      </c>
      <c r="M627" s="333" t="s">
        <v>378</v>
      </c>
      <c r="N627" s="329" t="s">
        <v>1384</v>
      </c>
      <c r="O627" s="329" t="s">
        <v>2886</v>
      </c>
      <c r="P627" s="329" t="s">
        <v>1105</v>
      </c>
      <c r="Q627" s="329" t="s">
        <v>1105</v>
      </c>
      <c r="R627" s="329" t="s">
        <v>1104</v>
      </c>
      <c r="AV627" s="329" t="s">
        <v>378</v>
      </c>
      <c r="AW627" s="329" t="s">
        <v>2887</v>
      </c>
      <c r="AX627" s="329" t="s">
        <v>378</v>
      </c>
      <c r="AY627" s="329" t="s">
        <v>378</v>
      </c>
    </row>
    <row r="628" spans="1:51" ht="30" customHeight="1">
      <c r="A628" s="333" t="s">
        <v>1851</v>
      </c>
      <c r="B628" s="333" t="s">
        <v>2221</v>
      </c>
      <c r="C628" s="333" t="s">
        <v>1852</v>
      </c>
      <c r="D628" s="334">
        <f>신규_공량산출근거서_일위대가!K301</f>
        <v>0.11700000000000001</v>
      </c>
      <c r="E628" s="370">
        <f>신규_단가대비표!O154</f>
        <v>0</v>
      </c>
      <c r="F628" s="361">
        <f>TRUNC(E628*D628,1)</f>
        <v>0</v>
      </c>
      <c r="G628" s="370">
        <f>신규_단가대비표!P154</f>
        <v>234998.43458</v>
      </c>
      <c r="H628" s="361">
        <f>TRUNC(G628*D628,1)</f>
        <v>27494.799999999999</v>
      </c>
      <c r="I628" s="370">
        <f>신규_단가대비표!V154</f>
        <v>0</v>
      </c>
      <c r="J628" s="361">
        <f>TRUNC(I628*D628,1)</f>
        <v>0</v>
      </c>
      <c r="K628" s="370">
        <f t="shared" si="117"/>
        <v>234998.39999999999</v>
      </c>
      <c r="L628" s="361">
        <f t="shared" si="117"/>
        <v>27494.799999999999</v>
      </c>
      <c r="M628" s="333" t="s">
        <v>378</v>
      </c>
      <c r="N628" s="329" t="s">
        <v>1384</v>
      </c>
      <c r="O628" s="329" t="s">
        <v>2222</v>
      </c>
      <c r="P628" s="329" t="s">
        <v>1105</v>
      </c>
      <c r="Q628" s="329" t="s">
        <v>1105</v>
      </c>
      <c r="R628" s="329" t="s">
        <v>1104</v>
      </c>
      <c r="V628" s="330">
        <v>1</v>
      </c>
      <c r="AV628" s="329" t="s">
        <v>378</v>
      </c>
      <c r="AW628" s="329" t="s">
        <v>2888</v>
      </c>
      <c r="AX628" s="329" t="s">
        <v>378</v>
      </c>
      <c r="AY628" s="329" t="s">
        <v>378</v>
      </c>
    </row>
    <row r="629" spans="1:51" ht="30" customHeight="1">
      <c r="A629" s="333" t="s">
        <v>2217</v>
      </c>
      <c r="B629" s="333" t="s">
        <v>2218</v>
      </c>
      <c r="C629" s="333" t="s">
        <v>212</v>
      </c>
      <c r="D629" s="334">
        <v>1</v>
      </c>
      <c r="E629" s="370">
        <f>TRUNC(SUMIF(V627:V629, RIGHTB(O629, 1), H627:H629)*U629, 2)</f>
        <v>824.84</v>
      </c>
      <c r="F629" s="361">
        <f>TRUNC(E629*D629,1)</f>
        <v>824.8</v>
      </c>
      <c r="G629" s="370">
        <v>0</v>
      </c>
      <c r="H629" s="361">
        <f>TRUNC(G629*D629,1)</f>
        <v>0</v>
      </c>
      <c r="I629" s="370">
        <v>0</v>
      </c>
      <c r="J629" s="361">
        <f>TRUNC(I629*D629,1)</f>
        <v>0</v>
      </c>
      <c r="K629" s="370">
        <f t="shared" si="117"/>
        <v>824.8</v>
      </c>
      <c r="L629" s="361">
        <f t="shared" si="117"/>
        <v>824.8</v>
      </c>
      <c r="M629" s="333" t="s">
        <v>378</v>
      </c>
      <c r="N629" s="329" t="s">
        <v>1384</v>
      </c>
      <c r="O629" s="329" t="s">
        <v>2211</v>
      </c>
      <c r="P629" s="329" t="s">
        <v>1105</v>
      </c>
      <c r="Q629" s="329" t="s">
        <v>1105</v>
      </c>
      <c r="R629" s="329" t="s">
        <v>1105</v>
      </c>
      <c r="S629" s="330">
        <v>1</v>
      </c>
      <c r="T629" s="330">
        <v>0</v>
      </c>
      <c r="U629" s="330">
        <v>0.03</v>
      </c>
      <c r="V629" s="330">
        <v>1</v>
      </c>
      <c r="AV629" s="329" t="s">
        <v>378</v>
      </c>
      <c r="AW629" s="329" t="s">
        <v>2889</v>
      </c>
      <c r="AX629" s="329" t="s">
        <v>378</v>
      </c>
      <c r="AY629" s="329" t="s">
        <v>378</v>
      </c>
    </row>
    <row r="630" spans="1:51" ht="30" customHeight="1">
      <c r="A630" s="333" t="s">
        <v>2224</v>
      </c>
      <c r="B630" s="333" t="s">
        <v>378</v>
      </c>
      <c r="C630" s="333" t="s">
        <v>378</v>
      </c>
      <c r="D630" s="334"/>
      <c r="E630" s="370"/>
      <c r="F630" s="361">
        <f>TRUNC(SUMIF(N627:N629, N626, F627:F629),0)</f>
        <v>824</v>
      </c>
      <c r="G630" s="370"/>
      <c r="H630" s="361">
        <f>TRUNC(SUMIF(N627:N629, N626, H627:H629),0)</f>
        <v>27494</v>
      </c>
      <c r="I630" s="370"/>
      <c r="J630" s="361">
        <f>TRUNC(SUMIF(N627:N629, N626, J627:J629),0)</f>
        <v>0</v>
      </c>
      <c r="K630" s="370"/>
      <c r="L630" s="361">
        <f>F630+H630+J630</f>
        <v>28318</v>
      </c>
      <c r="M630" s="333" t="s">
        <v>378</v>
      </c>
      <c r="N630" s="329" t="s">
        <v>1197</v>
      </c>
      <c r="O630" s="329" t="s">
        <v>1197</v>
      </c>
      <c r="P630" s="329" t="s">
        <v>378</v>
      </c>
      <c r="Q630" s="329" t="s">
        <v>378</v>
      </c>
      <c r="R630" s="329" t="s">
        <v>378</v>
      </c>
      <c r="AV630" s="329" t="s">
        <v>378</v>
      </c>
      <c r="AW630" s="329" t="s">
        <v>378</v>
      </c>
      <c r="AX630" s="329" t="s">
        <v>378</v>
      </c>
      <c r="AY630" s="329" t="s">
        <v>378</v>
      </c>
    </row>
    <row r="631" spans="1:51" ht="30" customHeight="1">
      <c r="A631" s="334"/>
      <c r="B631" s="334"/>
      <c r="C631" s="334"/>
      <c r="D631" s="334"/>
      <c r="E631" s="370"/>
      <c r="F631" s="361"/>
      <c r="G631" s="370"/>
      <c r="H631" s="361"/>
      <c r="I631" s="370"/>
      <c r="J631" s="361"/>
      <c r="K631" s="370"/>
      <c r="L631" s="361"/>
      <c r="M631" s="334"/>
    </row>
    <row r="632" spans="1:51" ht="30" customHeight="1">
      <c r="A632" s="718" t="s">
        <v>2890</v>
      </c>
      <c r="B632" s="718"/>
      <c r="C632" s="718"/>
      <c r="D632" s="718"/>
      <c r="E632" s="719"/>
      <c r="F632" s="720"/>
      <c r="G632" s="719"/>
      <c r="H632" s="720"/>
      <c r="I632" s="719"/>
      <c r="J632" s="720"/>
      <c r="K632" s="719"/>
      <c r="L632" s="720"/>
      <c r="M632" s="718"/>
      <c r="N632" s="329" t="s">
        <v>1391</v>
      </c>
    </row>
    <row r="633" spans="1:51" ht="30" customHeight="1">
      <c r="A633" s="333" t="s">
        <v>446</v>
      </c>
      <c r="B633" s="333" t="s">
        <v>2891</v>
      </c>
      <c r="C633" s="333" t="s">
        <v>255</v>
      </c>
      <c r="D633" s="334">
        <v>1.1000000000000001</v>
      </c>
      <c r="E633" s="370">
        <f>신규_단가대비표!O139</f>
        <v>10518.9084</v>
      </c>
      <c r="F633" s="361">
        <f>TRUNC(E633*D633,1)</f>
        <v>11570.7</v>
      </c>
      <c r="G633" s="370">
        <f>신규_단가대비표!P139</f>
        <v>0</v>
      </c>
      <c r="H633" s="361">
        <f>TRUNC(G633*D633,1)</f>
        <v>0</v>
      </c>
      <c r="I633" s="370">
        <f>신규_단가대비표!V139</f>
        <v>0</v>
      </c>
      <c r="J633" s="361">
        <f>TRUNC(I633*D633,1)</f>
        <v>0</v>
      </c>
      <c r="K633" s="370">
        <f t="shared" ref="K633:L637" si="118">TRUNC(E633+G633+I633,1)</f>
        <v>10518.9</v>
      </c>
      <c r="L633" s="361">
        <f t="shared" si="118"/>
        <v>11570.7</v>
      </c>
      <c r="M633" s="333" t="s">
        <v>378</v>
      </c>
      <c r="N633" s="329" t="s">
        <v>1391</v>
      </c>
      <c r="O633" s="329" t="s">
        <v>2892</v>
      </c>
      <c r="P633" s="329" t="s">
        <v>1105</v>
      </c>
      <c r="Q633" s="329" t="s">
        <v>1105</v>
      </c>
      <c r="R633" s="329" t="s">
        <v>1104</v>
      </c>
      <c r="V633" s="330">
        <v>1</v>
      </c>
      <c r="W633" s="330">
        <v>2</v>
      </c>
      <c r="AV633" s="329" t="s">
        <v>378</v>
      </c>
      <c r="AW633" s="329" t="s">
        <v>2893</v>
      </c>
      <c r="AX633" s="329" t="s">
        <v>378</v>
      </c>
      <c r="AY633" s="329" t="s">
        <v>378</v>
      </c>
    </row>
    <row r="634" spans="1:51" ht="30" customHeight="1">
      <c r="A634" s="333" t="s">
        <v>2209</v>
      </c>
      <c r="B634" s="333" t="s">
        <v>2210</v>
      </c>
      <c r="C634" s="333" t="s">
        <v>212</v>
      </c>
      <c r="D634" s="334">
        <v>1</v>
      </c>
      <c r="E634" s="370">
        <f>TRUNC(SUMIF(V633:V637, RIGHTB(O634, 1), F633:F637)*U634, 2)</f>
        <v>1735.6</v>
      </c>
      <c r="F634" s="361">
        <f>TRUNC(E634*D634,1)</f>
        <v>1735.6</v>
      </c>
      <c r="G634" s="370">
        <v>0</v>
      </c>
      <c r="H634" s="361">
        <f>TRUNC(G634*D634,1)</f>
        <v>0</v>
      </c>
      <c r="I634" s="370">
        <v>0</v>
      </c>
      <c r="J634" s="361">
        <f>TRUNC(I634*D634,1)</f>
        <v>0</v>
      </c>
      <c r="K634" s="370">
        <f t="shared" si="118"/>
        <v>1735.6</v>
      </c>
      <c r="L634" s="361">
        <f t="shared" si="118"/>
        <v>1735.6</v>
      </c>
      <c r="M634" s="333" t="s">
        <v>378</v>
      </c>
      <c r="N634" s="329" t="s">
        <v>1391</v>
      </c>
      <c r="O634" s="329" t="s">
        <v>2211</v>
      </c>
      <c r="P634" s="329" t="s">
        <v>1105</v>
      </c>
      <c r="Q634" s="329" t="s">
        <v>1105</v>
      </c>
      <c r="R634" s="329" t="s">
        <v>1105</v>
      </c>
      <c r="S634" s="330">
        <v>0</v>
      </c>
      <c r="T634" s="330">
        <v>0</v>
      </c>
      <c r="U634" s="330">
        <v>0.15</v>
      </c>
      <c r="X634" s="330">
        <v>3</v>
      </c>
      <c r="AV634" s="329" t="s">
        <v>378</v>
      </c>
      <c r="AW634" s="329" t="s">
        <v>2894</v>
      </c>
      <c r="AX634" s="329" t="s">
        <v>378</v>
      </c>
      <c r="AY634" s="329" t="s">
        <v>378</v>
      </c>
    </row>
    <row r="635" spans="1:51" ht="30" customHeight="1">
      <c r="A635" s="333" t="s">
        <v>2213</v>
      </c>
      <c r="B635" s="333" t="s">
        <v>2214</v>
      </c>
      <c r="C635" s="333" t="s">
        <v>212</v>
      </c>
      <c r="D635" s="334">
        <v>1</v>
      </c>
      <c r="E635" s="370">
        <f>TRUNC(SUMIF(W633:W637, RIGHTB(O635, 1), F633:F637)*U635, 2)</f>
        <v>231.41</v>
      </c>
      <c r="F635" s="361">
        <f>TRUNC(E635*D635,1)</f>
        <v>231.4</v>
      </c>
      <c r="G635" s="370">
        <v>0</v>
      </c>
      <c r="H635" s="361">
        <f>TRUNC(G635*D635,1)</f>
        <v>0</v>
      </c>
      <c r="I635" s="370">
        <v>0</v>
      </c>
      <c r="J635" s="361">
        <f>TRUNC(I635*D635,1)</f>
        <v>0</v>
      </c>
      <c r="K635" s="370">
        <f t="shared" si="118"/>
        <v>231.4</v>
      </c>
      <c r="L635" s="361">
        <f t="shared" si="118"/>
        <v>231.4</v>
      </c>
      <c r="M635" s="333" t="s">
        <v>378</v>
      </c>
      <c r="N635" s="329" t="s">
        <v>1391</v>
      </c>
      <c r="O635" s="329" t="s">
        <v>2215</v>
      </c>
      <c r="P635" s="329" t="s">
        <v>1105</v>
      </c>
      <c r="Q635" s="329" t="s">
        <v>1105</v>
      </c>
      <c r="R635" s="329" t="s">
        <v>1105</v>
      </c>
      <c r="S635" s="330">
        <v>0</v>
      </c>
      <c r="T635" s="330">
        <v>0</v>
      </c>
      <c r="U635" s="330">
        <v>0.02</v>
      </c>
      <c r="X635" s="330">
        <v>3</v>
      </c>
      <c r="AV635" s="329" t="s">
        <v>378</v>
      </c>
      <c r="AW635" s="329" t="s">
        <v>2895</v>
      </c>
      <c r="AX635" s="329" t="s">
        <v>378</v>
      </c>
      <c r="AY635" s="329" t="s">
        <v>378</v>
      </c>
    </row>
    <row r="636" spans="1:51" ht="30" customHeight="1">
      <c r="A636" s="333" t="s">
        <v>2217</v>
      </c>
      <c r="B636" s="333" t="s">
        <v>2218</v>
      </c>
      <c r="C636" s="333" t="s">
        <v>212</v>
      </c>
      <c r="D636" s="334">
        <v>1</v>
      </c>
      <c r="E636" s="370">
        <f>TRUNC(SUMIF(X633:X637, RIGHTB(O636, 1), H633:H637)*U636, 2)</f>
        <v>0</v>
      </c>
      <c r="F636" s="361">
        <f>TRUNC(E636*D636,1)</f>
        <v>0</v>
      </c>
      <c r="G636" s="370">
        <v>0</v>
      </c>
      <c r="H636" s="361">
        <f>TRUNC(G636*D636,1)</f>
        <v>0</v>
      </c>
      <c r="I636" s="370">
        <v>0</v>
      </c>
      <c r="J636" s="361">
        <f>TRUNC(I636*D636,1)</f>
        <v>0</v>
      </c>
      <c r="K636" s="370">
        <f t="shared" si="118"/>
        <v>0</v>
      </c>
      <c r="L636" s="361">
        <f t="shared" si="118"/>
        <v>0</v>
      </c>
      <c r="M636" s="333" t="s">
        <v>378</v>
      </c>
      <c r="N636" s="329" t="s">
        <v>1391</v>
      </c>
      <c r="O636" s="329" t="s">
        <v>2219</v>
      </c>
      <c r="P636" s="329" t="s">
        <v>1105</v>
      </c>
      <c r="Q636" s="329" t="s">
        <v>1105</v>
      </c>
      <c r="R636" s="329" t="s">
        <v>1105</v>
      </c>
      <c r="S636" s="330">
        <v>1</v>
      </c>
      <c r="T636" s="330">
        <v>0</v>
      </c>
      <c r="U636" s="330">
        <v>0.03</v>
      </c>
      <c r="X636" s="330">
        <v>3</v>
      </c>
      <c r="AV636" s="329" t="s">
        <v>378</v>
      </c>
      <c r="AW636" s="329" t="s">
        <v>2894</v>
      </c>
      <c r="AX636" s="329" t="s">
        <v>378</v>
      </c>
      <c r="AY636" s="329" t="s">
        <v>378</v>
      </c>
    </row>
    <row r="637" spans="1:51" ht="30" customHeight="1">
      <c r="A637" s="333" t="s">
        <v>1851</v>
      </c>
      <c r="B637" s="333" t="s">
        <v>2221</v>
      </c>
      <c r="C637" s="333" t="s">
        <v>1852</v>
      </c>
      <c r="D637" s="334">
        <f>신규_공량산출근거서_일위대가!K304</f>
        <v>0.16300000000000001</v>
      </c>
      <c r="E637" s="370">
        <f>신규_단가대비표!O154</f>
        <v>0</v>
      </c>
      <c r="F637" s="361">
        <f>TRUNC(E637*D637,1)</f>
        <v>0</v>
      </c>
      <c r="G637" s="370">
        <f>신규_단가대비표!P154</f>
        <v>234998.43458</v>
      </c>
      <c r="H637" s="361">
        <f>TRUNC(G637*D637,1)</f>
        <v>38304.699999999997</v>
      </c>
      <c r="I637" s="370">
        <f>신규_단가대비표!V154</f>
        <v>0</v>
      </c>
      <c r="J637" s="361">
        <f>TRUNC(I637*D637,1)</f>
        <v>0</v>
      </c>
      <c r="K637" s="370">
        <f t="shared" si="118"/>
        <v>234998.39999999999</v>
      </c>
      <c r="L637" s="361">
        <f t="shared" si="118"/>
        <v>38304.699999999997</v>
      </c>
      <c r="M637" s="333" t="s">
        <v>378</v>
      </c>
      <c r="N637" s="329" t="s">
        <v>1391</v>
      </c>
      <c r="O637" s="329" t="s">
        <v>2222</v>
      </c>
      <c r="P637" s="329" t="s">
        <v>1105</v>
      </c>
      <c r="Q637" s="329" t="s">
        <v>1105</v>
      </c>
      <c r="R637" s="329" t="s">
        <v>1104</v>
      </c>
      <c r="AV637" s="329" t="s">
        <v>378</v>
      </c>
      <c r="AW637" s="329" t="s">
        <v>2896</v>
      </c>
      <c r="AX637" s="329" t="s">
        <v>378</v>
      </c>
      <c r="AY637" s="329" t="s">
        <v>378</v>
      </c>
    </row>
    <row r="638" spans="1:51" ht="30" customHeight="1">
      <c r="A638" s="333" t="s">
        <v>2224</v>
      </c>
      <c r="B638" s="333" t="s">
        <v>378</v>
      </c>
      <c r="C638" s="333" t="s">
        <v>378</v>
      </c>
      <c r="D638" s="334"/>
      <c r="E638" s="370"/>
      <c r="F638" s="361">
        <f>TRUNC(SUMIF(N633:N637, N632, F633:F637),0)</f>
        <v>13537</v>
      </c>
      <c r="G638" s="370"/>
      <c r="H638" s="361">
        <f>TRUNC(SUMIF(N633:N637, N632, H633:H637),0)</f>
        <v>38304</v>
      </c>
      <c r="I638" s="370"/>
      <c r="J638" s="361">
        <f>TRUNC(SUMIF(N633:N637, N632, J633:J637),0)</f>
        <v>0</v>
      </c>
      <c r="K638" s="370"/>
      <c r="L638" s="361">
        <f>F638+H638+J638</f>
        <v>51841</v>
      </c>
      <c r="M638" s="333" t="s">
        <v>378</v>
      </c>
      <c r="N638" s="329" t="s">
        <v>1197</v>
      </c>
      <c r="O638" s="329" t="s">
        <v>1197</v>
      </c>
      <c r="P638" s="329" t="s">
        <v>378</v>
      </c>
      <c r="Q638" s="329" t="s">
        <v>378</v>
      </c>
      <c r="R638" s="329" t="s">
        <v>378</v>
      </c>
      <c r="AV638" s="329" t="s">
        <v>378</v>
      </c>
      <c r="AW638" s="329" t="s">
        <v>378</v>
      </c>
      <c r="AX638" s="329" t="s">
        <v>378</v>
      </c>
      <c r="AY638" s="329" t="s">
        <v>378</v>
      </c>
    </row>
    <row r="639" spans="1:51" ht="30" customHeight="1">
      <c r="A639" s="334"/>
      <c r="B639" s="334"/>
      <c r="C639" s="334"/>
      <c r="D639" s="334"/>
      <c r="E639" s="370"/>
      <c r="F639" s="361"/>
      <c r="G639" s="370"/>
      <c r="H639" s="361"/>
      <c r="I639" s="370"/>
      <c r="J639" s="361"/>
      <c r="K639" s="370"/>
      <c r="L639" s="361"/>
      <c r="M639" s="334"/>
    </row>
    <row r="640" spans="1:51" ht="30" customHeight="1">
      <c r="A640" s="721" t="s">
        <v>2897</v>
      </c>
      <c r="B640" s="721"/>
      <c r="C640" s="721"/>
      <c r="D640" s="721"/>
      <c r="E640" s="722"/>
      <c r="F640" s="723"/>
      <c r="G640" s="722"/>
      <c r="H640" s="723"/>
      <c r="I640" s="722"/>
      <c r="J640" s="723"/>
      <c r="K640" s="722"/>
      <c r="L640" s="723"/>
      <c r="M640" s="721"/>
      <c r="N640" s="329" t="s">
        <v>1394</v>
      </c>
    </row>
    <row r="641" spans="1:51" ht="30" customHeight="1">
      <c r="A641" s="336" t="s">
        <v>446</v>
      </c>
      <c r="B641" s="336" t="s">
        <v>2898</v>
      </c>
      <c r="C641" s="336" t="s">
        <v>255</v>
      </c>
      <c r="D641" s="337">
        <v>1</v>
      </c>
      <c r="E641" s="371">
        <f>신규_단가대비표!O138</f>
        <v>1221.8934000000002</v>
      </c>
      <c r="F641" s="362">
        <f>TRUNC(E641*D641,1)</f>
        <v>1221.8</v>
      </c>
      <c r="G641" s="371">
        <f>신규_단가대비표!P138</f>
        <v>0</v>
      </c>
      <c r="H641" s="362">
        <f>TRUNC(G641*D641,1)</f>
        <v>0</v>
      </c>
      <c r="I641" s="371">
        <f>신규_단가대비표!V138</f>
        <v>0</v>
      </c>
      <c r="J641" s="362">
        <f>TRUNC(I641*D641,1)</f>
        <v>0</v>
      </c>
      <c r="K641" s="371">
        <f t="shared" ref="K641:L645" si="119">TRUNC(E641+G641+I641,1)</f>
        <v>1221.8</v>
      </c>
      <c r="L641" s="362">
        <f t="shared" si="119"/>
        <v>1221.8</v>
      </c>
      <c r="M641" s="336" t="s">
        <v>378</v>
      </c>
      <c r="N641" s="329" t="s">
        <v>1394</v>
      </c>
      <c r="O641" s="329" t="s">
        <v>2899</v>
      </c>
      <c r="P641" s="329" t="s">
        <v>1105</v>
      </c>
      <c r="Q641" s="329" t="s">
        <v>1105</v>
      </c>
      <c r="R641" s="329" t="s">
        <v>1104</v>
      </c>
      <c r="V641" s="330">
        <v>1</v>
      </c>
      <c r="W641" s="330">
        <v>2</v>
      </c>
      <c r="AV641" s="329" t="s">
        <v>378</v>
      </c>
      <c r="AW641" s="329" t="s">
        <v>2900</v>
      </c>
      <c r="AX641" s="329" t="s">
        <v>378</v>
      </c>
      <c r="AY641" s="329" t="s">
        <v>378</v>
      </c>
    </row>
    <row r="642" spans="1:51" ht="30" customHeight="1">
      <c r="A642" s="336" t="s">
        <v>2209</v>
      </c>
      <c r="B642" s="336" t="s">
        <v>2210</v>
      </c>
      <c r="C642" s="336" t="s">
        <v>212</v>
      </c>
      <c r="D642" s="337">
        <v>1</v>
      </c>
      <c r="E642" s="371">
        <f>TRUNC(SUMIF(V641:V645, RIGHTB(O642, 1), F641:F645)*U642, 2)</f>
        <v>183.27</v>
      </c>
      <c r="F642" s="362">
        <f>TRUNC(E642*D642,1)</f>
        <v>183.2</v>
      </c>
      <c r="G642" s="371">
        <v>0</v>
      </c>
      <c r="H642" s="362">
        <f>TRUNC(G642*D642,1)</f>
        <v>0</v>
      </c>
      <c r="I642" s="371">
        <v>0</v>
      </c>
      <c r="J642" s="362">
        <f>TRUNC(I642*D642,1)</f>
        <v>0</v>
      </c>
      <c r="K642" s="371">
        <f t="shared" si="119"/>
        <v>183.2</v>
      </c>
      <c r="L642" s="362">
        <f t="shared" si="119"/>
        <v>183.2</v>
      </c>
      <c r="M642" s="336" t="s">
        <v>378</v>
      </c>
      <c r="N642" s="329" t="s">
        <v>1394</v>
      </c>
      <c r="O642" s="329" t="s">
        <v>2211</v>
      </c>
      <c r="P642" s="329" t="s">
        <v>1105</v>
      </c>
      <c r="Q642" s="329" t="s">
        <v>1105</v>
      </c>
      <c r="R642" s="329" t="s">
        <v>1105</v>
      </c>
      <c r="S642" s="330">
        <v>0</v>
      </c>
      <c r="T642" s="330">
        <v>0</v>
      </c>
      <c r="U642" s="330">
        <v>0.15</v>
      </c>
      <c r="X642" s="330">
        <v>3</v>
      </c>
      <c r="AV642" s="329" t="s">
        <v>378</v>
      </c>
      <c r="AW642" s="329" t="s">
        <v>2901</v>
      </c>
      <c r="AX642" s="329" t="s">
        <v>378</v>
      </c>
      <c r="AY642" s="329" t="s">
        <v>378</v>
      </c>
    </row>
    <row r="643" spans="1:51" ht="30" customHeight="1">
      <c r="A643" s="336" t="s">
        <v>2213</v>
      </c>
      <c r="B643" s="336" t="s">
        <v>2214</v>
      </c>
      <c r="C643" s="336" t="s">
        <v>212</v>
      </c>
      <c r="D643" s="337">
        <v>1</v>
      </c>
      <c r="E643" s="371">
        <f>TRUNC(SUMIF(W641:W645, RIGHTB(O643, 1), F641:F645)*U643, 2)</f>
        <v>24.43</v>
      </c>
      <c r="F643" s="362">
        <f>TRUNC(E643*D643,1)</f>
        <v>24.4</v>
      </c>
      <c r="G643" s="371">
        <v>0</v>
      </c>
      <c r="H643" s="362">
        <f>TRUNC(G643*D643,1)</f>
        <v>0</v>
      </c>
      <c r="I643" s="371">
        <v>0</v>
      </c>
      <c r="J643" s="362">
        <f>TRUNC(I643*D643,1)</f>
        <v>0</v>
      </c>
      <c r="K643" s="371">
        <f t="shared" si="119"/>
        <v>24.4</v>
      </c>
      <c r="L643" s="362">
        <f t="shared" si="119"/>
        <v>24.4</v>
      </c>
      <c r="M643" s="336" t="s">
        <v>378</v>
      </c>
      <c r="N643" s="329" t="s">
        <v>1394</v>
      </c>
      <c r="O643" s="329" t="s">
        <v>2215</v>
      </c>
      <c r="P643" s="329" t="s">
        <v>1105</v>
      </c>
      <c r="Q643" s="329" t="s">
        <v>1105</v>
      </c>
      <c r="R643" s="329" t="s">
        <v>1105</v>
      </c>
      <c r="S643" s="330">
        <v>0</v>
      </c>
      <c r="T643" s="330">
        <v>0</v>
      </c>
      <c r="U643" s="330">
        <v>0.02</v>
      </c>
      <c r="X643" s="330">
        <v>3</v>
      </c>
      <c r="AV643" s="329" t="s">
        <v>378</v>
      </c>
      <c r="AW643" s="329" t="s">
        <v>2902</v>
      </c>
      <c r="AX643" s="329" t="s">
        <v>378</v>
      </c>
      <c r="AY643" s="329" t="s">
        <v>378</v>
      </c>
    </row>
    <row r="644" spans="1:51" ht="30" customHeight="1">
      <c r="A644" s="336" t="s">
        <v>2217</v>
      </c>
      <c r="B644" s="336" t="s">
        <v>2395</v>
      </c>
      <c r="C644" s="336" t="s">
        <v>212</v>
      </c>
      <c r="D644" s="337">
        <v>1</v>
      </c>
      <c r="E644" s="371">
        <v>450.5</v>
      </c>
      <c r="F644" s="362">
        <f>TRUNC(E644*D644,1)</f>
        <v>450.5</v>
      </c>
      <c r="G644" s="371">
        <v>0</v>
      </c>
      <c r="H644" s="362">
        <f>TRUNC(G644*D644,1)</f>
        <v>0</v>
      </c>
      <c r="I644" s="371">
        <v>0</v>
      </c>
      <c r="J644" s="362">
        <f>TRUNC(I644*D644,1)</f>
        <v>0</v>
      </c>
      <c r="K644" s="371">
        <f t="shared" si="119"/>
        <v>450.5</v>
      </c>
      <c r="L644" s="362">
        <f t="shared" si="119"/>
        <v>450.5</v>
      </c>
      <c r="M644" s="336" t="s">
        <v>378</v>
      </c>
      <c r="N644" s="329" t="s">
        <v>1394</v>
      </c>
      <c r="O644" s="329" t="s">
        <v>2219</v>
      </c>
      <c r="P644" s="329" t="s">
        <v>1105</v>
      </c>
      <c r="Q644" s="329" t="s">
        <v>1105</v>
      </c>
      <c r="R644" s="329" t="s">
        <v>1105</v>
      </c>
      <c r="S644" s="330">
        <v>1</v>
      </c>
      <c r="T644" s="330">
        <v>0</v>
      </c>
      <c r="U644" s="330">
        <v>0.03</v>
      </c>
      <c r="X644" s="330">
        <v>3</v>
      </c>
      <c r="AV644" s="329" t="s">
        <v>378</v>
      </c>
      <c r="AW644" s="329" t="s">
        <v>2901</v>
      </c>
      <c r="AX644" s="329" t="s">
        <v>378</v>
      </c>
      <c r="AY644" s="329" t="s">
        <v>378</v>
      </c>
    </row>
    <row r="645" spans="1:51" ht="30" customHeight="1">
      <c r="A645" s="336" t="s">
        <v>1851</v>
      </c>
      <c r="B645" s="336" t="s">
        <v>2221</v>
      </c>
      <c r="C645" s="336" t="s">
        <v>1852</v>
      </c>
      <c r="D645" s="337">
        <f>신규_공량산출근거서_일위대가!K307</f>
        <v>8.6999999999999994E-2</v>
      </c>
      <c r="E645" s="371">
        <f>신규_단가대비표!O154</f>
        <v>0</v>
      </c>
      <c r="F645" s="362">
        <f>TRUNC(E645*D645,1)</f>
        <v>0</v>
      </c>
      <c r="G645" s="371">
        <v>258917</v>
      </c>
      <c r="H645" s="362">
        <f>TRUNC(G645*D645,1)</f>
        <v>22525.7</v>
      </c>
      <c r="I645" s="371">
        <f>신규_단가대비표!V154</f>
        <v>0</v>
      </c>
      <c r="J645" s="362">
        <f>TRUNC(I645*D645,1)</f>
        <v>0</v>
      </c>
      <c r="K645" s="371">
        <f t="shared" si="119"/>
        <v>258917</v>
      </c>
      <c r="L645" s="362">
        <f t="shared" si="119"/>
        <v>22525.7</v>
      </c>
      <c r="M645" s="336" t="s">
        <v>378</v>
      </c>
      <c r="N645" s="329" t="s">
        <v>1394</v>
      </c>
      <c r="O645" s="329" t="s">
        <v>2222</v>
      </c>
      <c r="P645" s="329" t="s">
        <v>1105</v>
      </c>
      <c r="Q645" s="329" t="s">
        <v>1105</v>
      </c>
      <c r="R645" s="329" t="s">
        <v>1104</v>
      </c>
      <c r="AV645" s="329" t="s">
        <v>378</v>
      </c>
      <c r="AW645" s="329" t="s">
        <v>2903</v>
      </c>
      <c r="AX645" s="329" t="s">
        <v>378</v>
      </c>
      <c r="AY645" s="329" t="s">
        <v>378</v>
      </c>
    </row>
    <row r="646" spans="1:51" ht="30" customHeight="1">
      <c r="A646" s="336" t="s">
        <v>2224</v>
      </c>
      <c r="B646" s="336" t="s">
        <v>378</v>
      </c>
      <c r="C646" s="336" t="s">
        <v>378</v>
      </c>
      <c r="D646" s="337"/>
      <c r="E646" s="371"/>
      <c r="F646" s="362">
        <f>TRUNC(SUMIF(N641:N645, N640, F641:F645),0)</f>
        <v>1879</v>
      </c>
      <c r="G646" s="371"/>
      <c r="H646" s="362">
        <f>TRUNC(SUMIF(N641:N645, N640, H641:H645),0)</f>
        <v>22525</v>
      </c>
      <c r="I646" s="371"/>
      <c r="J646" s="362">
        <f>TRUNC(SUMIF(N641:N645, N640, J641:J645),0)</f>
        <v>0</v>
      </c>
      <c r="K646" s="371"/>
      <c r="L646" s="362">
        <f>F646+H646+J646</f>
        <v>24404</v>
      </c>
      <c r="M646" s="336" t="s">
        <v>378</v>
      </c>
      <c r="N646" s="329" t="s">
        <v>1197</v>
      </c>
      <c r="O646" s="329" t="s">
        <v>1197</v>
      </c>
      <c r="P646" s="329" t="s">
        <v>378</v>
      </c>
      <c r="Q646" s="329" t="s">
        <v>378</v>
      </c>
      <c r="R646" s="329" t="s">
        <v>378</v>
      </c>
      <c r="AV646" s="329" t="s">
        <v>378</v>
      </c>
      <c r="AW646" s="329" t="s">
        <v>378</v>
      </c>
      <c r="AX646" s="329" t="s">
        <v>378</v>
      </c>
      <c r="AY646" s="329" t="s">
        <v>378</v>
      </c>
    </row>
    <row r="647" spans="1:51" ht="30" customHeight="1">
      <c r="A647" s="337"/>
      <c r="B647" s="337"/>
      <c r="C647" s="337"/>
      <c r="D647" s="337"/>
      <c r="E647" s="371"/>
      <c r="F647" s="362"/>
      <c r="G647" s="371"/>
      <c r="H647" s="362"/>
      <c r="I647" s="371"/>
      <c r="J647" s="362"/>
      <c r="K647" s="371"/>
      <c r="L647" s="362"/>
      <c r="M647" s="337"/>
    </row>
    <row r="648" spans="1:51" ht="30" customHeight="1">
      <c r="A648" s="718" t="s">
        <v>2904</v>
      </c>
      <c r="B648" s="718"/>
      <c r="C648" s="718"/>
      <c r="D648" s="718"/>
      <c r="E648" s="719"/>
      <c r="F648" s="720"/>
      <c r="G648" s="719"/>
      <c r="H648" s="720"/>
      <c r="I648" s="719"/>
      <c r="J648" s="720"/>
      <c r="K648" s="719"/>
      <c r="L648" s="720"/>
      <c r="M648" s="718"/>
      <c r="N648" s="329" t="s">
        <v>1404</v>
      </c>
    </row>
    <row r="649" spans="1:51" ht="30" customHeight="1">
      <c r="A649" s="333" t="s">
        <v>2745</v>
      </c>
      <c r="B649" s="333" t="s">
        <v>2746</v>
      </c>
      <c r="C649" s="333" t="s">
        <v>300</v>
      </c>
      <c r="D649" s="334">
        <v>1.1000000000000001</v>
      </c>
      <c r="E649" s="370">
        <f>신규_단가대비표!O26</f>
        <v>618.91557</v>
      </c>
      <c r="F649" s="361">
        <f>TRUNC(E649*D649,1)</f>
        <v>680.8</v>
      </c>
      <c r="G649" s="370">
        <f>신규_단가대비표!P26</f>
        <v>0</v>
      </c>
      <c r="H649" s="361">
        <f>TRUNC(G649*D649,1)</f>
        <v>0</v>
      </c>
      <c r="I649" s="370">
        <f>신규_단가대비표!V26</f>
        <v>0</v>
      </c>
      <c r="J649" s="361">
        <f>TRUNC(I649*D649,1)</f>
        <v>0</v>
      </c>
      <c r="K649" s="370">
        <f t="shared" ref="K649:L651" si="120">TRUNC(E649+G649+I649,1)</f>
        <v>618.9</v>
      </c>
      <c r="L649" s="361">
        <f t="shared" si="120"/>
        <v>680.8</v>
      </c>
      <c r="M649" s="333" t="s">
        <v>378</v>
      </c>
      <c r="N649" s="329" t="s">
        <v>1404</v>
      </c>
      <c r="O649" s="329" t="s">
        <v>2747</v>
      </c>
      <c r="P649" s="329" t="s">
        <v>1105</v>
      </c>
      <c r="Q649" s="329" t="s">
        <v>1105</v>
      </c>
      <c r="R649" s="329" t="s">
        <v>1104</v>
      </c>
      <c r="AV649" s="329" t="s">
        <v>378</v>
      </c>
      <c r="AW649" s="329" t="s">
        <v>2905</v>
      </c>
      <c r="AX649" s="329" t="s">
        <v>378</v>
      </c>
      <c r="AY649" s="329" t="s">
        <v>378</v>
      </c>
    </row>
    <row r="650" spans="1:51" ht="30" customHeight="1">
      <c r="A650" s="333" t="s">
        <v>1851</v>
      </c>
      <c r="B650" s="333" t="s">
        <v>2221</v>
      </c>
      <c r="C650" s="333" t="s">
        <v>1852</v>
      </c>
      <c r="D650" s="334">
        <f>신규_공량산출근거서_일위대가!K310</f>
        <v>0.01</v>
      </c>
      <c r="E650" s="370">
        <f>신규_단가대비표!O154</f>
        <v>0</v>
      </c>
      <c r="F650" s="361">
        <f>TRUNC(E650*D650,1)</f>
        <v>0</v>
      </c>
      <c r="G650" s="370">
        <f>신규_단가대비표!P154</f>
        <v>234998.43458</v>
      </c>
      <c r="H650" s="361">
        <f>TRUNC(G650*D650,1)</f>
        <v>2349.9</v>
      </c>
      <c r="I650" s="370">
        <f>신규_단가대비표!V154</f>
        <v>0</v>
      </c>
      <c r="J650" s="361">
        <f>TRUNC(I650*D650,1)</f>
        <v>0</v>
      </c>
      <c r="K650" s="370">
        <f t="shared" si="120"/>
        <v>234998.39999999999</v>
      </c>
      <c r="L650" s="361">
        <f t="shared" si="120"/>
        <v>2349.9</v>
      </c>
      <c r="M650" s="333" t="s">
        <v>378</v>
      </c>
      <c r="N650" s="329" t="s">
        <v>1404</v>
      </c>
      <c r="O650" s="329" t="s">
        <v>2222</v>
      </c>
      <c r="P650" s="329" t="s">
        <v>1105</v>
      </c>
      <c r="Q650" s="329" t="s">
        <v>1105</v>
      </c>
      <c r="R650" s="329" t="s">
        <v>1104</v>
      </c>
      <c r="V650" s="330">
        <v>1</v>
      </c>
      <c r="AV650" s="329" t="s">
        <v>378</v>
      </c>
      <c r="AW650" s="329" t="s">
        <v>2906</v>
      </c>
      <c r="AX650" s="329" t="s">
        <v>378</v>
      </c>
      <c r="AY650" s="329" t="s">
        <v>378</v>
      </c>
    </row>
    <row r="651" spans="1:51" ht="30" customHeight="1">
      <c r="A651" s="333" t="s">
        <v>2217</v>
      </c>
      <c r="B651" s="333" t="s">
        <v>2218</v>
      </c>
      <c r="C651" s="333" t="s">
        <v>212</v>
      </c>
      <c r="D651" s="334">
        <v>1</v>
      </c>
      <c r="E651" s="370">
        <f>TRUNC(SUMIF(V649:V651, RIGHTB(O651, 1), H649:H651)*U651, 2)</f>
        <v>70.489999999999995</v>
      </c>
      <c r="F651" s="361">
        <f>TRUNC(E651*D651,1)</f>
        <v>70.400000000000006</v>
      </c>
      <c r="G651" s="370">
        <v>0</v>
      </c>
      <c r="H651" s="361">
        <f>TRUNC(G651*D651,1)</f>
        <v>0</v>
      </c>
      <c r="I651" s="370">
        <v>0</v>
      </c>
      <c r="J651" s="361">
        <f>TRUNC(I651*D651,1)</f>
        <v>0</v>
      </c>
      <c r="K651" s="370">
        <f t="shared" si="120"/>
        <v>70.400000000000006</v>
      </c>
      <c r="L651" s="361">
        <f t="shared" si="120"/>
        <v>70.400000000000006</v>
      </c>
      <c r="M651" s="333" t="s">
        <v>378</v>
      </c>
      <c r="N651" s="329" t="s">
        <v>1404</v>
      </c>
      <c r="O651" s="329" t="s">
        <v>2211</v>
      </c>
      <c r="P651" s="329" t="s">
        <v>1105</v>
      </c>
      <c r="Q651" s="329" t="s">
        <v>1105</v>
      </c>
      <c r="R651" s="329" t="s">
        <v>1105</v>
      </c>
      <c r="S651" s="330">
        <v>1</v>
      </c>
      <c r="T651" s="330">
        <v>0</v>
      </c>
      <c r="U651" s="330">
        <v>0.03</v>
      </c>
      <c r="V651" s="330">
        <v>1</v>
      </c>
      <c r="AV651" s="329" t="s">
        <v>378</v>
      </c>
      <c r="AW651" s="329" t="s">
        <v>2907</v>
      </c>
      <c r="AX651" s="329" t="s">
        <v>378</v>
      </c>
      <c r="AY651" s="329" t="s">
        <v>378</v>
      </c>
    </row>
    <row r="652" spans="1:51" ht="30" customHeight="1">
      <c r="A652" s="333" t="s">
        <v>2224</v>
      </c>
      <c r="B652" s="333" t="s">
        <v>378</v>
      </c>
      <c r="C652" s="333" t="s">
        <v>378</v>
      </c>
      <c r="D652" s="334"/>
      <c r="E652" s="370"/>
      <c r="F652" s="361">
        <f>TRUNC(SUMIF(N649:N651, N648, F649:F651),0)</f>
        <v>751</v>
      </c>
      <c r="G652" s="370"/>
      <c r="H652" s="361">
        <f>TRUNC(SUMIF(N649:N651, N648, H649:H651),0)</f>
        <v>2349</v>
      </c>
      <c r="I652" s="370"/>
      <c r="J652" s="361">
        <f>TRUNC(SUMIF(N649:N651, N648, J649:J651),0)</f>
        <v>0</v>
      </c>
      <c r="K652" s="370"/>
      <c r="L652" s="361">
        <f>F652+H652+J652</f>
        <v>3100</v>
      </c>
      <c r="M652" s="333" t="s">
        <v>378</v>
      </c>
      <c r="N652" s="329" t="s">
        <v>1197</v>
      </c>
      <c r="O652" s="329" t="s">
        <v>1197</v>
      </c>
      <c r="P652" s="329" t="s">
        <v>378</v>
      </c>
      <c r="Q652" s="329" t="s">
        <v>378</v>
      </c>
      <c r="R652" s="329" t="s">
        <v>378</v>
      </c>
      <c r="AV652" s="329" t="s">
        <v>378</v>
      </c>
      <c r="AW652" s="329" t="s">
        <v>378</v>
      </c>
      <c r="AX652" s="329" t="s">
        <v>378</v>
      </c>
      <c r="AY652" s="329" t="s">
        <v>378</v>
      </c>
    </row>
    <row r="653" spans="1:51" ht="30" customHeight="1">
      <c r="A653" s="334"/>
      <c r="B653" s="334"/>
      <c r="C653" s="334"/>
      <c r="D653" s="334"/>
      <c r="E653" s="370"/>
      <c r="F653" s="361"/>
      <c r="G653" s="370"/>
      <c r="H653" s="361"/>
      <c r="I653" s="370"/>
      <c r="J653" s="361"/>
      <c r="K653" s="370"/>
      <c r="L653" s="361"/>
      <c r="M653" s="334"/>
    </row>
    <row r="654" spans="1:51" ht="30" customHeight="1">
      <c r="A654" s="718" t="s">
        <v>2908</v>
      </c>
      <c r="B654" s="718"/>
      <c r="C654" s="718"/>
      <c r="D654" s="718"/>
      <c r="E654" s="719"/>
      <c r="F654" s="720"/>
      <c r="G654" s="719"/>
      <c r="H654" s="720"/>
      <c r="I654" s="719"/>
      <c r="J654" s="720"/>
      <c r="K654" s="719"/>
      <c r="L654" s="720"/>
      <c r="M654" s="718"/>
      <c r="N654" s="329" t="s">
        <v>1408</v>
      </c>
    </row>
    <row r="655" spans="1:51" ht="30" customHeight="1">
      <c r="A655" s="333" t="s">
        <v>2237</v>
      </c>
      <c r="B655" s="333" t="s">
        <v>2252</v>
      </c>
      <c r="C655" s="333" t="s">
        <v>300</v>
      </c>
      <c r="D655" s="334">
        <v>1.05</v>
      </c>
      <c r="E655" s="370">
        <f>신규_단가대비표!O12</f>
        <v>1684.0878600000001</v>
      </c>
      <c r="F655" s="361">
        <f>TRUNC(E655*D655,1)</f>
        <v>1768.2</v>
      </c>
      <c r="G655" s="370">
        <f>신규_단가대비표!P12</f>
        <v>0</v>
      </c>
      <c r="H655" s="361">
        <f>TRUNC(G655*D655,1)</f>
        <v>0</v>
      </c>
      <c r="I655" s="370">
        <f>신규_단가대비표!V12</f>
        <v>0</v>
      </c>
      <c r="J655" s="361">
        <f>TRUNC(I655*D655,1)</f>
        <v>0</v>
      </c>
      <c r="K655" s="370">
        <f t="shared" ref="K655:L658" si="121">TRUNC(E655+G655+I655,1)</f>
        <v>1684</v>
      </c>
      <c r="L655" s="361">
        <f t="shared" si="121"/>
        <v>1768.2</v>
      </c>
      <c r="M655" s="333" t="s">
        <v>378</v>
      </c>
      <c r="N655" s="329" t="s">
        <v>1408</v>
      </c>
      <c r="O655" s="329" t="s">
        <v>2253</v>
      </c>
      <c r="P655" s="329" t="s">
        <v>1105</v>
      </c>
      <c r="Q655" s="329" t="s">
        <v>1105</v>
      </c>
      <c r="R655" s="329" t="s">
        <v>1104</v>
      </c>
      <c r="V655" s="330">
        <v>1</v>
      </c>
      <c r="AV655" s="329" t="s">
        <v>378</v>
      </c>
      <c r="AW655" s="329" t="s">
        <v>2909</v>
      </c>
      <c r="AX655" s="329" t="s">
        <v>378</v>
      </c>
      <c r="AY655" s="329" t="s">
        <v>378</v>
      </c>
    </row>
    <row r="656" spans="1:51" ht="30" customHeight="1">
      <c r="A656" s="333" t="s">
        <v>2213</v>
      </c>
      <c r="B656" s="333" t="s">
        <v>2214</v>
      </c>
      <c r="C656" s="333" t="s">
        <v>212</v>
      </c>
      <c r="D656" s="334">
        <v>1</v>
      </c>
      <c r="E656" s="370">
        <f>TRUNC(SUMIF(V655:V658, RIGHTB(O656, 1), F655:F658)*U656, 2)</f>
        <v>35.36</v>
      </c>
      <c r="F656" s="361">
        <f>TRUNC(E656*D656,1)</f>
        <v>35.299999999999997</v>
      </c>
      <c r="G656" s="370">
        <v>0</v>
      </c>
      <c r="H656" s="361">
        <f>TRUNC(G656*D656,1)</f>
        <v>0</v>
      </c>
      <c r="I656" s="370">
        <v>0</v>
      </c>
      <c r="J656" s="361">
        <f>TRUNC(I656*D656,1)</f>
        <v>0</v>
      </c>
      <c r="K656" s="370">
        <f t="shared" si="121"/>
        <v>35.299999999999997</v>
      </c>
      <c r="L656" s="361">
        <f t="shared" si="121"/>
        <v>35.299999999999997</v>
      </c>
      <c r="M656" s="333" t="s">
        <v>378</v>
      </c>
      <c r="N656" s="329" t="s">
        <v>1408</v>
      </c>
      <c r="O656" s="329" t="s">
        <v>2211</v>
      </c>
      <c r="P656" s="329" t="s">
        <v>1105</v>
      </c>
      <c r="Q656" s="329" t="s">
        <v>1105</v>
      </c>
      <c r="R656" s="329" t="s">
        <v>1105</v>
      </c>
      <c r="S656" s="330">
        <v>0</v>
      </c>
      <c r="T656" s="330">
        <v>0</v>
      </c>
      <c r="U656" s="330">
        <v>0.02</v>
      </c>
      <c r="W656" s="330">
        <v>2</v>
      </c>
      <c r="AV656" s="329" t="s">
        <v>378</v>
      </c>
      <c r="AW656" s="329" t="s">
        <v>2910</v>
      </c>
      <c r="AX656" s="329" t="s">
        <v>378</v>
      </c>
      <c r="AY656" s="329" t="s">
        <v>378</v>
      </c>
    </row>
    <row r="657" spans="1:51" ht="30" customHeight="1">
      <c r="A657" s="333" t="s">
        <v>1992</v>
      </c>
      <c r="B657" s="333" t="s">
        <v>2279</v>
      </c>
      <c r="C657" s="333" t="s">
        <v>1852</v>
      </c>
      <c r="D657" s="334">
        <f>신규_공량산출근거서_일위대가!K313</f>
        <v>1.0500000000000001E-2</v>
      </c>
      <c r="E657" s="370">
        <f>신규_단가대비표!O155</f>
        <v>0</v>
      </c>
      <c r="F657" s="361">
        <f>TRUNC(E657*D657,1)</f>
        <v>0</v>
      </c>
      <c r="G657" s="370">
        <f>신규_단가대비표!P155</f>
        <v>255395.20006</v>
      </c>
      <c r="H657" s="361">
        <f>TRUNC(G657*D657,1)</f>
        <v>2681.6</v>
      </c>
      <c r="I657" s="370">
        <f>신규_단가대비표!V155</f>
        <v>0</v>
      </c>
      <c r="J657" s="361">
        <f>TRUNC(I657*D657,1)</f>
        <v>0</v>
      </c>
      <c r="K657" s="370">
        <f t="shared" si="121"/>
        <v>255395.20000000001</v>
      </c>
      <c r="L657" s="361">
        <f t="shared" si="121"/>
        <v>2681.6</v>
      </c>
      <c r="M657" s="333" t="s">
        <v>378</v>
      </c>
      <c r="N657" s="329" t="s">
        <v>1408</v>
      </c>
      <c r="O657" s="329" t="s">
        <v>2280</v>
      </c>
      <c r="P657" s="329" t="s">
        <v>1105</v>
      </c>
      <c r="Q657" s="329" t="s">
        <v>1105</v>
      </c>
      <c r="R657" s="329" t="s">
        <v>1104</v>
      </c>
      <c r="W657" s="330">
        <v>2</v>
      </c>
      <c r="AV657" s="329" t="s">
        <v>378</v>
      </c>
      <c r="AW657" s="329" t="s">
        <v>2911</v>
      </c>
      <c r="AX657" s="329" t="s">
        <v>378</v>
      </c>
      <c r="AY657" s="329" t="s">
        <v>378</v>
      </c>
    </row>
    <row r="658" spans="1:51" ht="30" customHeight="1">
      <c r="A658" s="333" t="s">
        <v>2217</v>
      </c>
      <c r="B658" s="333" t="s">
        <v>2218</v>
      </c>
      <c r="C658" s="333" t="s">
        <v>212</v>
      </c>
      <c r="D658" s="334">
        <v>1</v>
      </c>
      <c r="E658" s="370">
        <f>TRUNC(SUMIF(W655:W658, RIGHTB(O658, 1), H655:H658)*U658, 2)</f>
        <v>80.44</v>
      </c>
      <c r="F658" s="361">
        <f>TRUNC(E658*D658,1)</f>
        <v>80.400000000000006</v>
      </c>
      <c r="G658" s="370">
        <v>0</v>
      </c>
      <c r="H658" s="361">
        <f>TRUNC(G658*D658,1)</f>
        <v>0</v>
      </c>
      <c r="I658" s="370">
        <v>0</v>
      </c>
      <c r="J658" s="361">
        <f>TRUNC(I658*D658,1)</f>
        <v>0</v>
      </c>
      <c r="K658" s="370">
        <f t="shared" si="121"/>
        <v>80.400000000000006</v>
      </c>
      <c r="L658" s="361">
        <f t="shared" si="121"/>
        <v>80.400000000000006</v>
      </c>
      <c r="M658" s="333" t="s">
        <v>378</v>
      </c>
      <c r="N658" s="329" t="s">
        <v>1408</v>
      </c>
      <c r="O658" s="329" t="s">
        <v>2215</v>
      </c>
      <c r="P658" s="329" t="s">
        <v>1105</v>
      </c>
      <c r="Q658" s="329" t="s">
        <v>1105</v>
      </c>
      <c r="R658" s="329" t="s">
        <v>1105</v>
      </c>
      <c r="S658" s="330">
        <v>1</v>
      </c>
      <c r="T658" s="330">
        <v>0</v>
      </c>
      <c r="U658" s="330">
        <v>0.03</v>
      </c>
      <c r="W658" s="330">
        <v>2</v>
      </c>
      <c r="AV658" s="329" t="s">
        <v>378</v>
      </c>
      <c r="AW658" s="329" t="s">
        <v>2912</v>
      </c>
      <c r="AX658" s="329" t="s">
        <v>378</v>
      </c>
      <c r="AY658" s="329" t="s">
        <v>378</v>
      </c>
    </row>
    <row r="659" spans="1:51" ht="30" customHeight="1">
      <c r="A659" s="333" t="s">
        <v>2224</v>
      </c>
      <c r="B659" s="333" t="s">
        <v>378</v>
      </c>
      <c r="C659" s="333" t="s">
        <v>378</v>
      </c>
      <c r="D659" s="334"/>
      <c r="E659" s="370"/>
      <c r="F659" s="361">
        <f>TRUNC(SUMIF(N655:N658, N654, F655:F658),0)</f>
        <v>1883</v>
      </c>
      <c r="G659" s="370"/>
      <c r="H659" s="361">
        <f>TRUNC(SUMIF(N655:N658, N654, H655:H658),0)</f>
        <v>2681</v>
      </c>
      <c r="I659" s="370"/>
      <c r="J659" s="361">
        <f>TRUNC(SUMIF(N655:N658, N654, J655:J658),0)</f>
        <v>0</v>
      </c>
      <c r="K659" s="370"/>
      <c r="L659" s="361">
        <f>F659+H659+J659</f>
        <v>4564</v>
      </c>
      <c r="M659" s="333" t="s">
        <v>378</v>
      </c>
      <c r="N659" s="329" t="s">
        <v>1197</v>
      </c>
      <c r="O659" s="329" t="s">
        <v>1197</v>
      </c>
      <c r="P659" s="329" t="s">
        <v>378</v>
      </c>
      <c r="Q659" s="329" t="s">
        <v>378</v>
      </c>
      <c r="R659" s="329" t="s">
        <v>378</v>
      </c>
      <c r="AV659" s="329" t="s">
        <v>378</v>
      </c>
      <c r="AW659" s="329" t="s">
        <v>378</v>
      </c>
      <c r="AX659" s="329" t="s">
        <v>378</v>
      </c>
      <c r="AY659" s="329" t="s">
        <v>378</v>
      </c>
    </row>
    <row r="660" spans="1:51" ht="30" customHeight="1">
      <c r="A660" s="334"/>
      <c r="B660" s="334"/>
      <c r="C660" s="334"/>
      <c r="D660" s="334"/>
      <c r="E660" s="370"/>
      <c r="F660" s="361"/>
      <c r="G660" s="370"/>
      <c r="H660" s="361"/>
      <c r="I660" s="370"/>
      <c r="J660" s="361"/>
      <c r="K660" s="370"/>
      <c r="L660" s="361"/>
      <c r="M660" s="334"/>
    </row>
    <row r="661" spans="1:51" ht="30" customHeight="1">
      <c r="A661" s="718" t="s">
        <v>2913</v>
      </c>
      <c r="B661" s="718"/>
      <c r="C661" s="718"/>
      <c r="D661" s="718"/>
      <c r="E661" s="719"/>
      <c r="F661" s="720"/>
      <c r="G661" s="719"/>
      <c r="H661" s="720"/>
      <c r="I661" s="719"/>
      <c r="J661" s="720"/>
      <c r="K661" s="719"/>
      <c r="L661" s="720"/>
      <c r="M661" s="718"/>
      <c r="N661" s="329" t="s">
        <v>1799</v>
      </c>
    </row>
    <row r="662" spans="1:51" ht="30" customHeight="1">
      <c r="A662" s="333" t="s">
        <v>2914</v>
      </c>
      <c r="B662" s="333" t="s">
        <v>2915</v>
      </c>
      <c r="C662" s="333" t="s">
        <v>343</v>
      </c>
      <c r="D662" s="334">
        <v>1</v>
      </c>
      <c r="E662" s="370">
        <v>411</v>
      </c>
      <c r="F662" s="361">
        <f>TRUNC(E662*D662,1)</f>
        <v>411</v>
      </c>
      <c r="G662" s="370">
        <v>1034</v>
      </c>
      <c r="H662" s="361">
        <f>TRUNC(G662*D662,1)</f>
        <v>1034</v>
      </c>
      <c r="I662" s="370">
        <v>77</v>
      </c>
      <c r="J662" s="361">
        <f>TRUNC(I662*D662,1)</f>
        <v>77</v>
      </c>
      <c r="K662" s="370">
        <f>TRUNC(E662+G662+I662,1)</f>
        <v>1522</v>
      </c>
      <c r="L662" s="361">
        <f>TRUNC(F662+H662+J662,1)</f>
        <v>1522</v>
      </c>
      <c r="M662" s="333" t="s">
        <v>2916</v>
      </c>
      <c r="N662" s="329" t="s">
        <v>1799</v>
      </c>
      <c r="O662" s="329" t="s">
        <v>2917</v>
      </c>
      <c r="P662" s="329" t="s">
        <v>1105</v>
      </c>
      <c r="Q662" s="329" t="s">
        <v>1104</v>
      </c>
      <c r="R662" s="329" t="s">
        <v>1105</v>
      </c>
      <c r="AV662" s="329" t="s">
        <v>378</v>
      </c>
      <c r="AW662" s="329" t="s">
        <v>2918</v>
      </c>
      <c r="AX662" s="329" t="s">
        <v>378</v>
      </c>
      <c r="AY662" s="329" t="s">
        <v>378</v>
      </c>
    </row>
    <row r="663" spans="1:51" ht="30" customHeight="1">
      <c r="A663" s="333" t="s">
        <v>2224</v>
      </c>
      <c r="B663" s="333" t="s">
        <v>378</v>
      </c>
      <c r="C663" s="333" t="s">
        <v>378</v>
      </c>
      <c r="D663" s="334"/>
      <c r="E663" s="370"/>
      <c r="F663" s="361">
        <f>TRUNC(SUMIF(N662:N662, N661, F662:F662),0)</f>
        <v>411</v>
      </c>
      <c r="G663" s="370"/>
      <c r="H663" s="361">
        <f>TRUNC(SUMIF(N662:N662, N661, H662:H662),0)</f>
        <v>1034</v>
      </c>
      <c r="I663" s="370"/>
      <c r="J663" s="361">
        <f>TRUNC(SUMIF(N662:N662, N661, J662:J662),0)</f>
        <v>77</v>
      </c>
      <c r="K663" s="370"/>
      <c r="L663" s="361">
        <f>F663+H663+J663</f>
        <v>1522</v>
      </c>
      <c r="M663" s="333" t="s">
        <v>378</v>
      </c>
      <c r="N663" s="329" t="s">
        <v>1197</v>
      </c>
      <c r="O663" s="329" t="s">
        <v>1197</v>
      </c>
      <c r="P663" s="329" t="s">
        <v>378</v>
      </c>
      <c r="Q663" s="329" t="s">
        <v>378</v>
      </c>
      <c r="R663" s="329" t="s">
        <v>378</v>
      </c>
      <c r="AV663" s="329" t="s">
        <v>378</v>
      </c>
      <c r="AW663" s="329" t="s">
        <v>378</v>
      </c>
      <c r="AX663" s="329" t="s">
        <v>378</v>
      </c>
      <c r="AY663" s="329" t="s">
        <v>378</v>
      </c>
    </row>
    <row r="664" spans="1:51" ht="30" customHeight="1">
      <c r="A664" s="334"/>
      <c r="B664" s="334"/>
      <c r="C664" s="334"/>
      <c r="D664" s="334"/>
      <c r="E664" s="370"/>
      <c r="F664" s="361"/>
      <c r="G664" s="370"/>
      <c r="H664" s="361"/>
      <c r="I664" s="370"/>
      <c r="J664" s="361"/>
      <c r="K664" s="370"/>
      <c r="L664" s="361"/>
      <c r="M664" s="334"/>
    </row>
    <row r="665" spans="1:51" ht="30" customHeight="1">
      <c r="A665" s="718" t="s">
        <v>2919</v>
      </c>
      <c r="B665" s="718"/>
      <c r="C665" s="718"/>
      <c r="D665" s="718"/>
      <c r="E665" s="719"/>
      <c r="F665" s="720"/>
      <c r="G665" s="719"/>
      <c r="H665" s="720"/>
      <c r="I665" s="719"/>
      <c r="J665" s="720"/>
      <c r="K665" s="719"/>
      <c r="L665" s="720"/>
      <c r="M665" s="718"/>
      <c r="N665" s="329" t="s">
        <v>1804</v>
      </c>
    </row>
    <row r="666" spans="1:51" ht="30" customHeight="1">
      <c r="A666" s="333" t="s">
        <v>2920</v>
      </c>
      <c r="B666" s="333" t="s">
        <v>2921</v>
      </c>
      <c r="C666" s="333" t="s">
        <v>343</v>
      </c>
      <c r="D666" s="334">
        <v>1</v>
      </c>
      <c r="E666" s="370">
        <v>476</v>
      </c>
      <c r="F666" s="361">
        <f>TRUNC(E666*D666,1)</f>
        <v>476</v>
      </c>
      <c r="G666" s="370">
        <v>5689</v>
      </c>
      <c r="H666" s="361">
        <f>TRUNC(G666*D666,1)</f>
        <v>5689</v>
      </c>
      <c r="I666" s="370">
        <v>74</v>
      </c>
      <c r="J666" s="361">
        <f>TRUNC(I666*D666,1)</f>
        <v>74</v>
      </c>
      <c r="K666" s="370">
        <f>TRUNC(E666+G666+I666,1)</f>
        <v>6239</v>
      </c>
      <c r="L666" s="361">
        <f>TRUNC(F666+H666+J666,1)</f>
        <v>6239</v>
      </c>
      <c r="M666" s="333" t="s">
        <v>2922</v>
      </c>
      <c r="N666" s="329" t="s">
        <v>1804</v>
      </c>
      <c r="O666" s="329" t="s">
        <v>2923</v>
      </c>
      <c r="P666" s="329" t="s">
        <v>1105</v>
      </c>
      <c r="Q666" s="329" t="s">
        <v>1104</v>
      </c>
      <c r="R666" s="329" t="s">
        <v>1105</v>
      </c>
      <c r="AV666" s="329" t="s">
        <v>378</v>
      </c>
      <c r="AW666" s="329" t="s">
        <v>2924</v>
      </c>
      <c r="AX666" s="329" t="s">
        <v>378</v>
      </c>
      <c r="AY666" s="329" t="s">
        <v>378</v>
      </c>
    </row>
    <row r="667" spans="1:51" ht="30" customHeight="1">
      <c r="A667" s="333" t="s">
        <v>2224</v>
      </c>
      <c r="B667" s="333" t="s">
        <v>378</v>
      </c>
      <c r="C667" s="333" t="s">
        <v>378</v>
      </c>
      <c r="D667" s="334"/>
      <c r="E667" s="370"/>
      <c r="F667" s="361">
        <f>TRUNC(SUMIF(N666:N666, N665, F666:F666),0)</f>
        <v>476</v>
      </c>
      <c r="G667" s="370"/>
      <c r="H667" s="361">
        <f>TRUNC(SUMIF(N666:N666, N665, H666:H666),0)</f>
        <v>5689</v>
      </c>
      <c r="I667" s="370"/>
      <c r="J667" s="361">
        <f>TRUNC(SUMIF(N666:N666, N665, J666:J666),0)</f>
        <v>74</v>
      </c>
      <c r="K667" s="370"/>
      <c r="L667" s="361">
        <f>F667+H667+J667</f>
        <v>6239</v>
      </c>
      <c r="M667" s="333" t="s">
        <v>378</v>
      </c>
      <c r="N667" s="329" t="s">
        <v>1197</v>
      </c>
      <c r="O667" s="329" t="s">
        <v>1197</v>
      </c>
      <c r="P667" s="329" t="s">
        <v>378</v>
      </c>
      <c r="Q667" s="329" t="s">
        <v>378</v>
      </c>
      <c r="R667" s="329" t="s">
        <v>378</v>
      </c>
      <c r="AV667" s="329" t="s">
        <v>378</v>
      </c>
      <c r="AW667" s="329" t="s">
        <v>378</v>
      </c>
      <c r="AX667" s="329" t="s">
        <v>378</v>
      </c>
      <c r="AY667" s="329" t="s">
        <v>378</v>
      </c>
    </row>
    <row r="668" spans="1:51" ht="30" customHeight="1">
      <c r="A668" s="334"/>
      <c r="B668" s="334"/>
      <c r="C668" s="334"/>
      <c r="D668" s="334"/>
      <c r="E668" s="370"/>
      <c r="F668" s="361"/>
      <c r="G668" s="370"/>
      <c r="H668" s="361"/>
      <c r="I668" s="370"/>
      <c r="J668" s="361"/>
      <c r="K668" s="370"/>
      <c r="L668" s="361"/>
      <c r="M668" s="334"/>
    </row>
    <row r="669" spans="1:51" ht="30" customHeight="1">
      <c r="A669" s="718" t="s">
        <v>2925</v>
      </c>
      <c r="B669" s="718"/>
      <c r="C669" s="718"/>
      <c r="D669" s="718"/>
      <c r="E669" s="719"/>
      <c r="F669" s="720"/>
      <c r="G669" s="719"/>
      <c r="H669" s="720"/>
      <c r="I669" s="719"/>
      <c r="J669" s="720"/>
      <c r="K669" s="719"/>
      <c r="L669" s="720"/>
      <c r="M669" s="718"/>
      <c r="N669" s="329" t="s">
        <v>1808</v>
      </c>
    </row>
    <row r="670" spans="1:51" ht="30" customHeight="1">
      <c r="A670" s="333" t="s">
        <v>1809</v>
      </c>
      <c r="B670" s="333" t="s">
        <v>1810</v>
      </c>
      <c r="C670" s="333" t="s">
        <v>2926</v>
      </c>
      <c r="D670" s="334">
        <v>0.25030000000000002</v>
      </c>
      <c r="E670" s="370">
        <f>신규_단가대비표!O7</f>
        <v>13689.633230000001</v>
      </c>
      <c r="F670" s="361">
        <f>TRUNC(E670*D670,1)</f>
        <v>3426.5</v>
      </c>
      <c r="G670" s="370">
        <f>신규_단가대비표!P7</f>
        <v>43456</v>
      </c>
      <c r="H670" s="361">
        <f>TRUNC(G670*D670,1)</f>
        <v>10877</v>
      </c>
      <c r="I670" s="370">
        <f>신규_단가대비표!V7</f>
        <v>18450.590340000002</v>
      </c>
      <c r="J670" s="361">
        <f>TRUNC(I670*D670,1)</f>
        <v>4618.1000000000004</v>
      </c>
      <c r="K670" s="370">
        <f t="shared" ref="K670:L673" si="122">TRUNC(E670+G670+I670,1)</f>
        <v>75596.2</v>
      </c>
      <c r="L670" s="361">
        <f t="shared" si="122"/>
        <v>18921.599999999999</v>
      </c>
      <c r="M670" s="333" t="s">
        <v>2927</v>
      </c>
      <c r="N670" s="329" t="s">
        <v>1808</v>
      </c>
      <c r="O670" s="329" t="s">
        <v>2928</v>
      </c>
      <c r="P670" s="329" t="s">
        <v>1105</v>
      </c>
      <c r="Q670" s="329" t="s">
        <v>1105</v>
      </c>
      <c r="R670" s="329" t="s">
        <v>1104</v>
      </c>
      <c r="AV670" s="329" t="s">
        <v>378</v>
      </c>
      <c r="AW670" s="329" t="s">
        <v>2929</v>
      </c>
      <c r="AX670" s="329" t="s">
        <v>378</v>
      </c>
      <c r="AY670" s="329" t="s">
        <v>378</v>
      </c>
    </row>
    <row r="671" spans="1:51" ht="30" customHeight="1">
      <c r="A671" s="333" t="s">
        <v>2930</v>
      </c>
      <c r="B671" s="333" t="s">
        <v>2931</v>
      </c>
      <c r="C671" s="333" t="s">
        <v>2932</v>
      </c>
      <c r="D671" s="334">
        <v>10.3</v>
      </c>
      <c r="E671" s="370">
        <f>신규_단가대비표!O8</f>
        <v>1291.8423700000001</v>
      </c>
      <c r="F671" s="361">
        <f>TRUNC(E671*D671,1)</f>
        <v>13305.9</v>
      </c>
      <c r="G671" s="370">
        <f>신규_단가대비표!P8</f>
        <v>0</v>
      </c>
      <c r="H671" s="361">
        <f>TRUNC(G671*D671,1)</f>
        <v>0</v>
      </c>
      <c r="I671" s="370">
        <f>신규_단가대비표!V8</f>
        <v>0</v>
      </c>
      <c r="J671" s="361">
        <f>TRUNC(I671*D671,1)</f>
        <v>0</v>
      </c>
      <c r="K671" s="370">
        <f t="shared" si="122"/>
        <v>1291.8</v>
      </c>
      <c r="L671" s="361">
        <f t="shared" si="122"/>
        <v>13305.9</v>
      </c>
      <c r="M671" s="333" t="s">
        <v>378</v>
      </c>
      <c r="N671" s="329" t="s">
        <v>1808</v>
      </c>
      <c r="O671" s="329" t="s">
        <v>2933</v>
      </c>
      <c r="P671" s="329" t="s">
        <v>1105</v>
      </c>
      <c r="Q671" s="329" t="s">
        <v>1105</v>
      </c>
      <c r="R671" s="329" t="s">
        <v>1104</v>
      </c>
      <c r="V671" s="330">
        <v>1</v>
      </c>
      <c r="AV671" s="329" t="s">
        <v>378</v>
      </c>
      <c r="AW671" s="329" t="s">
        <v>2934</v>
      </c>
      <c r="AX671" s="329" t="s">
        <v>378</v>
      </c>
      <c r="AY671" s="329" t="s">
        <v>378</v>
      </c>
    </row>
    <row r="672" spans="1:51" ht="30" customHeight="1">
      <c r="A672" s="333" t="s">
        <v>2935</v>
      </c>
      <c r="B672" s="333" t="s">
        <v>2936</v>
      </c>
      <c r="C672" s="333" t="s">
        <v>212</v>
      </c>
      <c r="D672" s="334">
        <v>1</v>
      </c>
      <c r="E672" s="370">
        <f>TRUNC(SUMIF(V670:V673, RIGHTB(O672, 1), F670:F673)*U672, 2)</f>
        <v>2661.18</v>
      </c>
      <c r="F672" s="361">
        <f>TRUNC(E672*D672,1)</f>
        <v>2661.1</v>
      </c>
      <c r="G672" s="370">
        <v>0</v>
      </c>
      <c r="H672" s="361">
        <f>TRUNC(G672*D672,1)</f>
        <v>0</v>
      </c>
      <c r="I672" s="370">
        <v>0</v>
      </c>
      <c r="J672" s="361">
        <f>TRUNC(I672*D672,1)</f>
        <v>0</v>
      </c>
      <c r="K672" s="370">
        <f t="shared" si="122"/>
        <v>2661.1</v>
      </c>
      <c r="L672" s="361">
        <f t="shared" si="122"/>
        <v>2661.1</v>
      </c>
      <c r="M672" s="333" t="s">
        <v>378</v>
      </c>
      <c r="N672" s="329" t="s">
        <v>1808</v>
      </c>
      <c r="O672" s="329" t="s">
        <v>2211</v>
      </c>
      <c r="P672" s="329" t="s">
        <v>1105</v>
      </c>
      <c r="Q672" s="329" t="s">
        <v>1105</v>
      </c>
      <c r="R672" s="329" t="s">
        <v>1105</v>
      </c>
      <c r="S672" s="330">
        <v>0</v>
      </c>
      <c r="T672" s="330">
        <v>0</v>
      </c>
      <c r="U672" s="330">
        <v>0.2</v>
      </c>
      <c r="AV672" s="329" t="s">
        <v>378</v>
      </c>
      <c r="AW672" s="329" t="s">
        <v>2937</v>
      </c>
      <c r="AX672" s="329" t="s">
        <v>378</v>
      </c>
      <c r="AY672" s="329" t="s">
        <v>378</v>
      </c>
    </row>
    <row r="673" spans="1:51" ht="30" customHeight="1">
      <c r="A673" s="333" t="s">
        <v>2938</v>
      </c>
      <c r="B673" s="333" t="s">
        <v>2279</v>
      </c>
      <c r="C673" s="333" t="s">
        <v>1852</v>
      </c>
      <c r="D673" s="334">
        <v>1</v>
      </c>
      <c r="E673" s="370">
        <f>TRUNC(신규_단가대비표!O152*1/8*16/12*25/20, 1)</f>
        <v>0</v>
      </c>
      <c r="F673" s="361">
        <f>TRUNC(E673*D673,1)</f>
        <v>0</v>
      </c>
      <c r="G673" s="370">
        <f>TRUNC(신규_단가대비표!P152*1/8*16/12*25/20, 1)</f>
        <v>38539.599999999999</v>
      </c>
      <c r="H673" s="361">
        <f>TRUNC(G673*D673,1)</f>
        <v>38539.599999999999</v>
      </c>
      <c r="I673" s="370">
        <f>TRUNC(신규_단가대비표!V152*1/8*16/12*25/20, 1)</f>
        <v>0</v>
      </c>
      <c r="J673" s="361">
        <f>TRUNC(I673*D673,1)</f>
        <v>0</v>
      </c>
      <c r="K673" s="370">
        <f t="shared" si="122"/>
        <v>38539.599999999999</v>
      </c>
      <c r="L673" s="361">
        <f t="shared" si="122"/>
        <v>38539.599999999999</v>
      </c>
      <c r="M673" s="333" t="s">
        <v>378</v>
      </c>
      <c r="N673" s="329" t="s">
        <v>1808</v>
      </c>
      <c r="O673" s="329" t="s">
        <v>2939</v>
      </c>
      <c r="P673" s="329" t="s">
        <v>1105</v>
      </c>
      <c r="Q673" s="329" t="s">
        <v>1105</v>
      </c>
      <c r="R673" s="329" t="s">
        <v>1104</v>
      </c>
      <c r="AV673" s="329" t="s">
        <v>378</v>
      </c>
      <c r="AW673" s="329" t="s">
        <v>2940</v>
      </c>
      <c r="AX673" s="329" t="s">
        <v>1104</v>
      </c>
      <c r="AY673" s="329" t="s">
        <v>378</v>
      </c>
    </row>
    <row r="674" spans="1:51" ht="30" customHeight="1">
      <c r="A674" s="333" t="s">
        <v>2224</v>
      </c>
      <c r="B674" s="333" t="s">
        <v>378</v>
      </c>
      <c r="C674" s="333" t="s">
        <v>378</v>
      </c>
      <c r="D674" s="334"/>
      <c r="E674" s="370"/>
      <c r="F674" s="361">
        <f>TRUNC(SUMIF(N670:N673, N669, F670:F673),0)</f>
        <v>19393</v>
      </c>
      <c r="G674" s="370"/>
      <c r="H674" s="361">
        <f>TRUNC(SUMIF(N670:N673, N669, H670:H673),0)</f>
        <v>49416</v>
      </c>
      <c r="I674" s="370"/>
      <c r="J674" s="361">
        <f>TRUNC(SUMIF(N670:N673, N669, J670:J673),0)</f>
        <v>4618</v>
      </c>
      <c r="K674" s="370"/>
      <c r="L674" s="361">
        <f>F674+H674+J674</f>
        <v>73427</v>
      </c>
      <c r="M674" s="333" t="s">
        <v>378</v>
      </c>
      <c r="N674" s="329" t="s">
        <v>1197</v>
      </c>
      <c r="O674" s="329" t="s">
        <v>1197</v>
      </c>
      <c r="P674" s="329" t="s">
        <v>378</v>
      </c>
      <c r="Q674" s="329" t="s">
        <v>378</v>
      </c>
      <c r="R674" s="329" t="s">
        <v>378</v>
      </c>
      <c r="AV674" s="329" t="s">
        <v>378</v>
      </c>
      <c r="AW674" s="329" t="s">
        <v>378</v>
      </c>
      <c r="AX674" s="329" t="s">
        <v>378</v>
      </c>
      <c r="AY674" s="329" t="s">
        <v>378</v>
      </c>
    </row>
    <row r="675" spans="1:51" ht="30" customHeight="1">
      <c r="A675" s="334"/>
      <c r="B675" s="334"/>
      <c r="C675" s="334"/>
      <c r="D675" s="334"/>
      <c r="E675" s="370"/>
      <c r="F675" s="361"/>
      <c r="G675" s="370"/>
      <c r="H675" s="361"/>
      <c r="I675" s="370"/>
      <c r="J675" s="361"/>
      <c r="K675" s="370"/>
      <c r="L675" s="361"/>
      <c r="M675" s="334"/>
    </row>
    <row r="676" spans="1:51" ht="30" customHeight="1">
      <c r="A676" s="718" t="s">
        <v>2941</v>
      </c>
      <c r="B676" s="718"/>
      <c r="C676" s="718"/>
      <c r="D676" s="718"/>
      <c r="E676" s="719"/>
      <c r="F676" s="720"/>
      <c r="G676" s="719"/>
      <c r="H676" s="720"/>
      <c r="I676" s="719"/>
      <c r="J676" s="720"/>
      <c r="K676" s="719"/>
      <c r="L676" s="720"/>
      <c r="M676" s="718"/>
      <c r="N676" s="329" t="s">
        <v>1815</v>
      </c>
    </row>
    <row r="677" spans="1:51" ht="30" customHeight="1">
      <c r="A677" s="333" t="s">
        <v>1816</v>
      </c>
      <c r="B677" s="333" t="s">
        <v>2942</v>
      </c>
      <c r="C677" s="333" t="s">
        <v>2926</v>
      </c>
      <c r="D677" s="334">
        <v>0.20380000000000001</v>
      </c>
      <c r="E677" s="370">
        <f>신규_단가대비표!O5</f>
        <v>15673.881860000001</v>
      </c>
      <c r="F677" s="361">
        <f>TRUNC(E677*D677,1)</f>
        <v>3194.3</v>
      </c>
      <c r="G677" s="370">
        <f>신규_단가대비표!P5</f>
        <v>50605</v>
      </c>
      <c r="H677" s="361">
        <f>TRUNC(G677*D677,1)</f>
        <v>10313.200000000001</v>
      </c>
      <c r="I677" s="370">
        <f>신규_단가대비표!V5</f>
        <v>19941.654460000002</v>
      </c>
      <c r="J677" s="361">
        <f>TRUNC(I677*D677,1)</f>
        <v>4064.1</v>
      </c>
      <c r="K677" s="370">
        <f t="shared" ref="K677:L680" si="123">TRUNC(E677+G677+I677,1)</f>
        <v>86220.5</v>
      </c>
      <c r="L677" s="361">
        <f t="shared" si="123"/>
        <v>17571.599999999999</v>
      </c>
      <c r="M677" s="333" t="s">
        <v>2927</v>
      </c>
      <c r="N677" s="329" t="s">
        <v>1815</v>
      </c>
      <c r="O677" s="329" t="s">
        <v>2943</v>
      </c>
      <c r="P677" s="329" t="s">
        <v>1105</v>
      </c>
      <c r="Q677" s="329" t="s">
        <v>1105</v>
      </c>
      <c r="R677" s="329" t="s">
        <v>1104</v>
      </c>
      <c r="AV677" s="329" t="s">
        <v>378</v>
      </c>
      <c r="AW677" s="329" t="s">
        <v>2944</v>
      </c>
      <c r="AX677" s="329" t="s">
        <v>378</v>
      </c>
      <c r="AY677" s="329" t="s">
        <v>378</v>
      </c>
    </row>
    <row r="678" spans="1:51" ht="30" customHeight="1">
      <c r="A678" s="333" t="s">
        <v>2930</v>
      </c>
      <c r="B678" s="333" t="s">
        <v>2931</v>
      </c>
      <c r="C678" s="333" t="s">
        <v>2932</v>
      </c>
      <c r="D678" s="334">
        <v>11.6</v>
      </c>
      <c r="E678" s="370">
        <f>신규_단가대비표!O8</f>
        <v>1291.8423700000001</v>
      </c>
      <c r="F678" s="361">
        <f>TRUNC(E678*D678,1)</f>
        <v>14985.3</v>
      </c>
      <c r="G678" s="370">
        <f>신규_단가대비표!P8</f>
        <v>0</v>
      </c>
      <c r="H678" s="361">
        <f>TRUNC(G678*D678,1)</f>
        <v>0</v>
      </c>
      <c r="I678" s="370">
        <f>신규_단가대비표!V8</f>
        <v>0</v>
      </c>
      <c r="J678" s="361">
        <f>TRUNC(I678*D678,1)</f>
        <v>0</v>
      </c>
      <c r="K678" s="370">
        <f t="shared" si="123"/>
        <v>1291.8</v>
      </c>
      <c r="L678" s="361">
        <f t="shared" si="123"/>
        <v>14985.3</v>
      </c>
      <c r="M678" s="333" t="s">
        <v>378</v>
      </c>
      <c r="N678" s="329" t="s">
        <v>1815</v>
      </c>
      <c r="O678" s="329" t="s">
        <v>2933</v>
      </c>
      <c r="P678" s="329" t="s">
        <v>1105</v>
      </c>
      <c r="Q678" s="329" t="s">
        <v>1105</v>
      </c>
      <c r="R678" s="329" t="s">
        <v>1104</v>
      </c>
      <c r="V678" s="330">
        <v>1</v>
      </c>
      <c r="AV678" s="329" t="s">
        <v>378</v>
      </c>
      <c r="AW678" s="329" t="s">
        <v>2945</v>
      </c>
      <c r="AX678" s="329" t="s">
        <v>378</v>
      </c>
      <c r="AY678" s="329" t="s">
        <v>378</v>
      </c>
    </row>
    <row r="679" spans="1:51" ht="30" customHeight="1">
      <c r="A679" s="333" t="s">
        <v>2935</v>
      </c>
      <c r="B679" s="333" t="s">
        <v>2946</v>
      </c>
      <c r="C679" s="333" t="s">
        <v>212</v>
      </c>
      <c r="D679" s="334">
        <v>1</v>
      </c>
      <c r="E679" s="370">
        <f>TRUNC(SUMIF(V677:V680, RIGHTB(O679, 1), F677:F680)*U679, 2)</f>
        <v>3296.76</v>
      </c>
      <c r="F679" s="361">
        <f>TRUNC(E679*D679,1)</f>
        <v>3296.7</v>
      </c>
      <c r="G679" s="370">
        <v>0</v>
      </c>
      <c r="H679" s="361">
        <f>TRUNC(G679*D679,1)</f>
        <v>0</v>
      </c>
      <c r="I679" s="370">
        <v>0</v>
      </c>
      <c r="J679" s="361">
        <f>TRUNC(I679*D679,1)</f>
        <v>0</v>
      </c>
      <c r="K679" s="370">
        <f t="shared" si="123"/>
        <v>3296.7</v>
      </c>
      <c r="L679" s="361">
        <f t="shared" si="123"/>
        <v>3296.7</v>
      </c>
      <c r="M679" s="333" t="s">
        <v>378</v>
      </c>
      <c r="N679" s="329" t="s">
        <v>1815</v>
      </c>
      <c r="O679" s="329" t="s">
        <v>2211</v>
      </c>
      <c r="P679" s="329" t="s">
        <v>1105</v>
      </c>
      <c r="Q679" s="329" t="s">
        <v>1105</v>
      </c>
      <c r="R679" s="329" t="s">
        <v>1105</v>
      </c>
      <c r="S679" s="330">
        <v>0</v>
      </c>
      <c r="T679" s="330">
        <v>0</v>
      </c>
      <c r="U679" s="330">
        <v>0.22</v>
      </c>
      <c r="AV679" s="329" t="s">
        <v>378</v>
      </c>
      <c r="AW679" s="329" t="s">
        <v>2947</v>
      </c>
      <c r="AX679" s="329" t="s">
        <v>378</v>
      </c>
      <c r="AY679" s="329" t="s">
        <v>378</v>
      </c>
    </row>
    <row r="680" spans="1:51" ht="30" customHeight="1">
      <c r="A680" s="333" t="s">
        <v>2948</v>
      </c>
      <c r="B680" s="333" t="s">
        <v>2279</v>
      </c>
      <c r="C680" s="333" t="s">
        <v>1852</v>
      </c>
      <c r="D680" s="334">
        <v>1</v>
      </c>
      <c r="E680" s="370">
        <f>TRUNC(신규_단가대비표!O151*1/8*16/12*25/20, 1)</f>
        <v>0</v>
      </c>
      <c r="F680" s="361">
        <f>TRUNC(E680*D680,1)</f>
        <v>0</v>
      </c>
      <c r="G680" s="370">
        <f>TRUNC(신규_단가대비표!P151*1/8*16/12*25/20, 1)</f>
        <v>44879.3</v>
      </c>
      <c r="H680" s="361">
        <f>TRUNC(G680*D680,1)</f>
        <v>44879.3</v>
      </c>
      <c r="I680" s="370">
        <f>TRUNC(신규_단가대비표!V151*1/8*16/12*25/20, 1)</f>
        <v>0</v>
      </c>
      <c r="J680" s="361">
        <f>TRUNC(I680*D680,1)</f>
        <v>0</v>
      </c>
      <c r="K680" s="370">
        <f t="shared" si="123"/>
        <v>44879.3</v>
      </c>
      <c r="L680" s="361">
        <f t="shared" si="123"/>
        <v>44879.3</v>
      </c>
      <c r="M680" s="333" t="s">
        <v>378</v>
      </c>
      <c r="N680" s="329" t="s">
        <v>1815</v>
      </c>
      <c r="O680" s="329" t="s">
        <v>2949</v>
      </c>
      <c r="P680" s="329" t="s">
        <v>1105</v>
      </c>
      <c r="Q680" s="329" t="s">
        <v>1105</v>
      </c>
      <c r="R680" s="329" t="s">
        <v>1104</v>
      </c>
      <c r="AV680" s="329" t="s">
        <v>378</v>
      </c>
      <c r="AW680" s="329" t="s">
        <v>2950</v>
      </c>
      <c r="AX680" s="329" t="s">
        <v>1104</v>
      </c>
      <c r="AY680" s="329" t="s">
        <v>378</v>
      </c>
    </row>
    <row r="681" spans="1:51" ht="30" customHeight="1">
      <c r="A681" s="333" t="s">
        <v>2224</v>
      </c>
      <c r="B681" s="333" t="s">
        <v>378</v>
      </c>
      <c r="C681" s="333" t="s">
        <v>378</v>
      </c>
      <c r="D681" s="334"/>
      <c r="E681" s="370"/>
      <c r="F681" s="361">
        <f>TRUNC(SUMIF(N677:N680, N676, F677:F680),0)</f>
        <v>21476</v>
      </c>
      <c r="G681" s="370"/>
      <c r="H681" s="361">
        <f>TRUNC(SUMIF(N677:N680, N676, H677:H680),0)</f>
        <v>55192</v>
      </c>
      <c r="I681" s="370"/>
      <c r="J681" s="361">
        <f>TRUNC(SUMIF(N677:N680, N676, J677:J680),0)</f>
        <v>4064</v>
      </c>
      <c r="K681" s="370"/>
      <c r="L681" s="361">
        <f>F681+H681+J681</f>
        <v>80732</v>
      </c>
      <c r="M681" s="333" t="s">
        <v>378</v>
      </c>
      <c r="N681" s="329" t="s">
        <v>1197</v>
      </c>
      <c r="O681" s="329" t="s">
        <v>1197</v>
      </c>
      <c r="P681" s="329" t="s">
        <v>378</v>
      </c>
      <c r="Q681" s="329" t="s">
        <v>378</v>
      </c>
      <c r="R681" s="329" t="s">
        <v>378</v>
      </c>
      <c r="AV681" s="329" t="s">
        <v>378</v>
      </c>
      <c r="AW681" s="329" t="s">
        <v>378</v>
      </c>
      <c r="AX681" s="329" t="s">
        <v>378</v>
      </c>
      <c r="AY681" s="329" t="s">
        <v>378</v>
      </c>
    </row>
    <row r="682" spans="1:51" ht="30" customHeight="1">
      <c r="A682" s="334"/>
      <c r="B682" s="334"/>
      <c r="C682" s="334"/>
      <c r="D682" s="334"/>
      <c r="E682" s="370"/>
      <c r="F682" s="361"/>
      <c r="G682" s="370"/>
      <c r="H682" s="361"/>
      <c r="I682" s="370"/>
      <c r="J682" s="361"/>
      <c r="K682" s="370"/>
      <c r="L682" s="361"/>
      <c r="M682" s="334"/>
    </row>
    <row r="683" spans="1:51" ht="30" customHeight="1">
      <c r="A683" s="718" t="s">
        <v>2951</v>
      </c>
      <c r="B683" s="718"/>
      <c r="C683" s="718"/>
      <c r="D683" s="718"/>
      <c r="E683" s="719"/>
      <c r="F683" s="720"/>
      <c r="G683" s="719"/>
      <c r="H683" s="720"/>
      <c r="I683" s="719"/>
      <c r="J683" s="720"/>
      <c r="K683" s="719"/>
      <c r="L683" s="720"/>
      <c r="M683" s="718"/>
      <c r="N683" s="329" t="s">
        <v>1820</v>
      </c>
    </row>
    <row r="684" spans="1:51" ht="30" customHeight="1">
      <c r="A684" s="333" t="s">
        <v>1821</v>
      </c>
      <c r="B684" s="333" t="s">
        <v>1911</v>
      </c>
      <c r="C684" s="333" t="s">
        <v>2926</v>
      </c>
      <c r="D684" s="334">
        <v>0.36399999999999999</v>
      </c>
      <c r="E684" s="370">
        <f>신규_단가대비표!O6</f>
        <v>936.78494000000001</v>
      </c>
      <c r="F684" s="361">
        <f>TRUNC(E684*D684,1)</f>
        <v>340.9</v>
      </c>
      <c r="G684" s="370">
        <f>신규_단가대비표!P6</f>
        <v>32386</v>
      </c>
      <c r="H684" s="361">
        <f>TRUNC(G684*D684,1)</f>
        <v>11788.5</v>
      </c>
      <c r="I684" s="370">
        <f>신규_단가대비표!V6</f>
        <v>423.23554000000001</v>
      </c>
      <c r="J684" s="361">
        <f>TRUNC(I684*D684,1)</f>
        <v>154</v>
      </c>
      <c r="K684" s="370">
        <f t="shared" ref="K684:L687" si="124">TRUNC(E684+G684+I684,1)</f>
        <v>33746</v>
      </c>
      <c r="L684" s="361">
        <f t="shared" si="124"/>
        <v>12283.4</v>
      </c>
      <c r="M684" s="333" t="s">
        <v>2927</v>
      </c>
      <c r="N684" s="329" t="s">
        <v>1820</v>
      </c>
      <c r="O684" s="329" t="s">
        <v>2952</v>
      </c>
      <c r="P684" s="329" t="s">
        <v>1105</v>
      </c>
      <c r="Q684" s="329" t="s">
        <v>1105</v>
      </c>
      <c r="R684" s="329" t="s">
        <v>1104</v>
      </c>
      <c r="AV684" s="329" t="s">
        <v>378</v>
      </c>
      <c r="AW684" s="329" t="s">
        <v>2953</v>
      </c>
      <c r="AX684" s="329" t="s">
        <v>378</v>
      </c>
      <c r="AY684" s="329" t="s">
        <v>378</v>
      </c>
    </row>
    <row r="685" spans="1:51" ht="30" customHeight="1">
      <c r="A685" s="333" t="s">
        <v>2954</v>
      </c>
      <c r="B685" s="333" t="s">
        <v>2955</v>
      </c>
      <c r="C685" s="333" t="s">
        <v>2932</v>
      </c>
      <c r="D685" s="334">
        <v>0.7</v>
      </c>
      <c r="E685" s="370">
        <f>신규_단가대비표!O9</f>
        <v>1420.22972</v>
      </c>
      <c r="F685" s="361">
        <f>TRUNC(E685*D685,1)</f>
        <v>994.1</v>
      </c>
      <c r="G685" s="370">
        <f>신규_단가대비표!P9</f>
        <v>0</v>
      </c>
      <c r="H685" s="361">
        <f>TRUNC(G685*D685,1)</f>
        <v>0</v>
      </c>
      <c r="I685" s="370">
        <f>신규_단가대비표!V9</f>
        <v>0</v>
      </c>
      <c r="J685" s="361">
        <f>TRUNC(I685*D685,1)</f>
        <v>0</v>
      </c>
      <c r="K685" s="370">
        <f t="shared" si="124"/>
        <v>1420.2</v>
      </c>
      <c r="L685" s="361">
        <f t="shared" si="124"/>
        <v>994.1</v>
      </c>
      <c r="M685" s="333" t="s">
        <v>378</v>
      </c>
      <c r="N685" s="329" t="s">
        <v>1820</v>
      </c>
      <c r="O685" s="329" t="s">
        <v>2956</v>
      </c>
      <c r="P685" s="329" t="s">
        <v>1105</v>
      </c>
      <c r="Q685" s="329" t="s">
        <v>1105</v>
      </c>
      <c r="R685" s="329" t="s">
        <v>1104</v>
      </c>
      <c r="V685" s="330">
        <v>1</v>
      </c>
      <c r="AV685" s="329" t="s">
        <v>378</v>
      </c>
      <c r="AW685" s="329" t="s">
        <v>2957</v>
      </c>
      <c r="AX685" s="329" t="s">
        <v>378</v>
      </c>
      <c r="AY685" s="329" t="s">
        <v>378</v>
      </c>
    </row>
    <row r="686" spans="1:51" ht="30" customHeight="1">
      <c r="A686" s="333" t="s">
        <v>2935</v>
      </c>
      <c r="B686" s="333" t="s">
        <v>2958</v>
      </c>
      <c r="C686" s="333" t="s">
        <v>212</v>
      </c>
      <c r="D686" s="334">
        <v>1</v>
      </c>
      <c r="E686" s="370">
        <f>TRUNC(SUMIF(V684:V687, RIGHTB(O686, 1), F684:F687)*U686, 2)</f>
        <v>99.41</v>
      </c>
      <c r="F686" s="361">
        <f>TRUNC(E686*D686,1)</f>
        <v>99.4</v>
      </c>
      <c r="G686" s="370">
        <v>0</v>
      </c>
      <c r="H686" s="361">
        <f>TRUNC(G686*D686,1)</f>
        <v>0</v>
      </c>
      <c r="I686" s="370">
        <v>0</v>
      </c>
      <c r="J686" s="361">
        <f>TRUNC(I686*D686,1)</f>
        <v>0</v>
      </c>
      <c r="K686" s="370">
        <f t="shared" si="124"/>
        <v>99.4</v>
      </c>
      <c r="L686" s="361">
        <f t="shared" si="124"/>
        <v>99.4</v>
      </c>
      <c r="M686" s="333" t="s">
        <v>378</v>
      </c>
      <c r="N686" s="329" t="s">
        <v>1820</v>
      </c>
      <c r="O686" s="329" t="s">
        <v>2211</v>
      </c>
      <c r="P686" s="329" t="s">
        <v>1105</v>
      </c>
      <c r="Q686" s="329" t="s">
        <v>1105</v>
      </c>
      <c r="R686" s="329" t="s">
        <v>1105</v>
      </c>
      <c r="S686" s="330">
        <v>0</v>
      </c>
      <c r="T686" s="330">
        <v>0</v>
      </c>
      <c r="U686" s="330">
        <v>0.1</v>
      </c>
      <c r="AV686" s="329" t="s">
        <v>378</v>
      </c>
      <c r="AW686" s="329" t="s">
        <v>2959</v>
      </c>
      <c r="AX686" s="329" t="s">
        <v>378</v>
      </c>
      <c r="AY686" s="329" t="s">
        <v>378</v>
      </c>
    </row>
    <row r="687" spans="1:51" ht="30" customHeight="1">
      <c r="A687" s="333" t="s">
        <v>2960</v>
      </c>
      <c r="B687" s="333" t="s">
        <v>2279</v>
      </c>
      <c r="C687" s="333" t="s">
        <v>1852</v>
      </c>
      <c r="D687" s="334">
        <v>1</v>
      </c>
      <c r="E687" s="370">
        <f>TRUNC(신규_단가대비표!O153*1/8*16/12*25/20, 1)</f>
        <v>0</v>
      </c>
      <c r="F687" s="361">
        <f>TRUNC(E687*D687,1)</f>
        <v>0</v>
      </c>
      <c r="G687" s="370">
        <f>TRUNC(신규_단가대비표!P153*1/8*16/12*25/20, 1)</f>
        <v>27977.5</v>
      </c>
      <c r="H687" s="361">
        <f>TRUNC(G687*D687,1)</f>
        <v>27977.5</v>
      </c>
      <c r="I687" s="370">
        <f>TRUNC(신규_단가대비표!V153*1/8*16/12*25/20, 1)</f>
        <v>0</v>
      </c>
      <c r="J687" s="361">
        <f>TRUNC(I687*D687,1)</f>
        <v>0</v>
      </c>
      <c r="K687" s="370">
        <f t="shared" si="124"/>
        <v>27977.5</v>
      </c>
      <c r="L687" s="361">
        <f t="shared" si="124"/>
        <v>27977.5</v>
      </c>
      <c r="M687" s="333" t="s">
        <v>378</v>
      </c>
      <c r="N687" s="329" t="s">
        <v>1820</v>
      </c>
      <c r="O687" s="329" t="s">
        <v>2961</v>
      </c>
      <c r="P687" s="329" t="s">
        <v>1105</v>
      </c>
      <c r="Q687" s="329" t="s">
        <v>1105</v>
      </c>
      <c r="R687" s="329" t="s">
        <v>1104</v>
      </c>
      <c r="AV687" s="329" t="s">
        <v>378</v>
      </c>
      <c r="AW687" s="329" t="s">
        <v>2962</v>
      </c>
      <c r="AX687" s="329" t="s">
        <v>1104</v>
      </c>
      <c r="AY687" s="329" t="s">
        <v>378</v>
      </c>
    </row>
    <row r="688" spans="1:51" ht="30" customHeight="1">
      <c r="A688" s="333" t="s">
        <v>2224</v>
      </c>
      <c r="B688" s="333" t="s">
        <v>378</v>
      </c>
      <c r="C688" s="333" t="s">
        <v>378</v>
      </c>
      <c r="D688" s="334"/>
      <c r="E688" s="370"/>
      <c r="F688" s="361">
        <f>TRUNC(SUMIF(N684:N687, N683, F684:F687),0)</f>
        <v>1434</v>
      </c>
      <c r="G688" s="370"/>
      <c r="H688" s="361">
        <f>TRUNC(SUMIF(N684:N687, N683, H684:H687),0)</f>
        <v>39766</v>
      </c>
      <c r="I688" s="370"/>
      <c r="J688" s="361">
        <f>TRUNC(SUMIF(N684:N687, N683, J684:J687),0)</f>
        <v>154</v>
      </c>
      <c r="K688" s="370"/>
      <c r="L688" s="361">
        <f>F688+H688+J688</f>
        <v>41354</v>
      </c>
      <c r="M688" s="333" t="s">
        <v>378</v>
      </c>
      <c r="N688" s="329" t="s">
        <v>1197</v>
      </c>
      <c r="O688" s="329" t="s">
        <v>1197</v>
      </c>
      <c r="P688" s="329" t="s">
        <v>378</v>
      </c>
      <c r="Q688" s="329" t="s">
        <v>378</v>
      </c>
      <c r="R688" s="329" t="s">
        <v>378</v>
      </c>
      <c r="AV688" s="329" t="s">
        <v>378</v>
      </c>
      <c r="AW688" s="329" t="s">
        <v>378</v>
      </c>
      <c r="AX688" s="329" t="s">
        <v>378</v>
      </c>
      <c r="AY688" s="329" t="s">
        <v>378</v>
      </c>
    </row>
    <row r="689" spans="1:51" ht="30" customHeight="1">
      <c r="A689" s="334"/>
      <c r="B689" s="334"/>
      <c r="C689" s="334"/>
      <c r="D689" s="334"/>
      <c r="E689" s="370"/>
      <c r="F689" s="361"/>
      <c r="G689" s="370"/>
      <c r="H689" s="361"/>
      <c r="I689" s="370"/>
      <c r="J689" s="361"/>
      <c r="K689" s="370"/>
      <c r="L689" s="361"/>
      <c r="M689" s="334"/>
    </row>
    <row r="690" spans="1:51" ht="30" customHeight="1">
      <c r="A690" s="718" t="s">
        <v>2963</v>
      </c>
      <c r="B690" s="718"/>
      <c r="C690" s="718"/>
      <c r="D690" s="718"/>
      <c r="E690" s="719"/>
      <c r="F690" s="720"/>
      <c r="G690" s="719"/>
      <c r="H690" s="720"/>
      <c r="I690" s="719"/>
      <c r="J690" s="720"/>
      <c r="K690" s="719"/>
      <c r="L690" s="720"/>
      <c r="M690" s="718"/>
      <c r="N690" s="329" t="s">
        <v>1825</v>
      </c>
    </row>
    <row r="691" spans="1:51" ht="30" customHeight="1">
      <c r="A691" s="333" t="s">
        <v>1889</v>
      </c>
      <c r="B691" s="333" t="s">
        <v>378</v>
      </c>
      <c r="C691" s="333" t="s">
        <v>1852</v>
      </c>
      <c r="D691" s="334">
        <v>0.2</v>
      </c>
      <c r="E691" s="370">
        <f>신규_단가대비표!O148</f>
        <v>0</v>
      </c>
      <c r="F691" s="361">
        <f>TRUNC(E691*D691,1)</f>
        <v>0</v>
      </c>
      <c r="G691" s="370">
        <f>신규_단가대비표!P148</f>
        <v>139072.71924000001</v>
      </c>
      <c r="H691" s="361">
        <f>TRUNC(G691*D691,1)</f>
        <v>27814.5</v>
      </c>
      <c r="I691" s="370">
        <f>신규_단가대비표!V148</f>
        <v>0</v>
      </c>
      <c r="J691" s="361">
        <f>TRUNC(I691*D691,1)</f>
        <v>0</v>
      </c>
      <c r="K691" s="370">
        <f>TRUNC(E691+G691+I691,1)</f>
        <v>139072.70000000001</v>
      </c>
      <c r="L691" s="361">
        <f>TRUNC(F691+H691+J691,1)</f>
        <v>27814.5</v>
      </c>
      <c r="M691" s="333" t="s">
        <v>378</v>
      </c>
      <c r="N691" s="329" t="s">
        <v>1825</v>
      </c>
      <c r="O691" s="329" t="s">
        <v>2277</v>
      </c>
      <c r="P691" s="329" t="s">
        <v>1105</v>
      </c>
      <c r="Q691" s="329" t="s">
        <v>1105</v>
      </c>
      <c r="R691" s="329" t="s">
        <v>1104</v>
      </c>
      <c r="AV691" s="329" t="s">
        <v>378</v>
      </c>
      <c r="AW691" s="329" t="s">
        <v>2964</v>
      </c>
      <c r="AX691" s="329" t="s">
        <v>378</v>
      </c>
      <c r="AY691" s="329" t="s">
        <v>378</v>
      </c>
    </row>
    <row r="692" spans="1:51" ht="30" customHeight="1">
      <c r="A692" s="333" t="s">
        <v>2224</v>
      </c>
      <c r="B692" s="333" t="s">
        <v>378</v>
      </c>
      <c r="C692" s="333" t="s">
        <v>378</v>
      </c>
      <c r="D692" s="334"/>
      <c r="E692" s="370"/>
      <c r="F692" s="361">
        <f>TRUNC(SUMIF(N691:N691, N690, F691:F691),0)</f>
        <v>0</v>
      </c>
      <c r="G692" s="370"/>
      <c r="H692" s="361">
        <f>TRUNC(SUMIF(N691:N691, N690, H691:H691),0)</f>
        <v>27814</v>
      </c>
      <c r="I692" s="370"/>
      <c r="J692" s="361">
        <f>TRUNC(SUMIF(N691:N691, N690, J691:J691),0)</f>
        <v>0</v>
      </c>
      <c r="K692" s="370"/>
      <c r="L692" s="361">
        <f>F692+H692+J692</f>
        <v>27814</v>
      </c>
      <c r="M692" s="333" t="s">
        <v>378</v>
      </c>
      <c r="N692" s="329" t="s">
        <v>1197</v>
      </c>
      <c r="O692" s="329" t="s">
        <v>1197</v>
      </c>
      <c r="P692" s="329" t="s">
        <v>378</v>
      </c>
      <c r="Q692" s="329" t="s">
        <v>378</v>
      </c>
      <c r="R692" s="329" t="s">
        <v>378</v>
      </c>
      <c r="AV692" s="329" t="s">
        <v>378</v>
      </c>
      <c r="AW692" s="329" t="s">
        <v>378</v>
      </c>
      <c r="AX692" s="329" t="s">
        <v>378</v>
      </c>
      <c r="AY692" s="329" t="s">
        <v>378</v>
      </c>
    </row>
  </sheetData>
  <mergeCells count="146">
    <mergeCell ref="A1:M1"/>
    <mergeCell ref="A2:A3"/>
    <mergeCell ref="B2:B3"/>
    <mergeCell ref="C2:C3"/>
    <mergeCell ref="D2:D3"/>
    <mergeCell ref="E2:F2"/>
    <mergeCell ref="G2:H2"/>
    <mergeCell ref="I2:J2"/>
    <mergeCell ref="K2:L2"/>
    <mergeCell ref="M2:M3"/>
    <mergeCell ref="W2:W3"/>
    <mergeCell ref="X2:X3"/>
    <mergeCell ref="Y2:Y3"/>
    <mergeCell ref="N2:N3"/>
    <mergeCell ref="O2:O3"/>
    <mergeCell ref="P2:P3"/>
    <mergeCell ref="Q2:Q3"/>
    <mergeCell ref="R2:R3"/>
    <mergeCell ref="S2:S3"/>
    <mergeCell ref="AU2:AU3"/>
    <mergeCell ref="AV2:AV3"/>
    <mergeCell ref="AW2:AW3"/>
    <mergeCell ref="AL2:AL3"/>
    <mergeCell ref="AM2:AM3"/>
    <mergeCell ref="AN2:AN3"/>
    <mergeCell ref="AO2:AO3"/>
    <mergeCell ref="AP2:AP3"/>
    <mergeCell ref="AQ2:AQ3"/>
    <mergeCell ref="A4:M4"/>
    <mergeCell ref="A12:M12"/>
    <mergeCell ref="A19:M19"/>
    <mergeCell ref="A26:M26"/>
    <mergeCell ref="A33:M33"/>
    <mergeCell ref="A40:M40"/>
    <mergeCell ref="AR2:AR3"/>
    <mergeCell ref="AS2:AS3"/>
    <mergeCell ref="AT2:AT3"/>
    <mergeCell ref="AF2:AF3"/>
    <mergeCell ref="AG2:AG3"/>
    <mergeCell ref="AH2:AH3"/>
    <mergeCell ref="AI2:AI3"/>
    <mergeCell ref="AJ2:AJ3"/>
    <mergeCell ref="AK2:AK3"/>
    <mergeCell ref="Z2:Z3"/>
    <mergeCell ref="AA2:AA3"/>
    <mergeCell ref="AB2:AB3"/>
    <mergeCell ref="AC2:AC3"/>
    <mergeCell ref="AD2:AD3"/>
    <mergeCell ref="AE2:AE3"/>
    <mergeCell ref="T2:T3"/>
    <mergeCell ref="U2:U3"/>
    <mergeCell ref="V2:V3"/>
    <mergeCell ref="A91:M91"/>
    <mergeCell ref="A98:M98"/>
    <mergeCell ref="A104:M104"/>
    <mergeCell ref="A110:M110"/>
    <mergeCell ref="A116:M116"/>
    <mergeCell ref="A122:M122"/>
    <mergeCell ref="A47:M47"/>
    <mergeCell ref="A54:M54"/>
    <mergeCell ref="A62:M62"/>
    <mergeCell ref="A70:M70"/>
    <mergeCell ref="A77:M77"/>
    <mergeCell ref="A84:M84"/>
    <mergeCell ref="A193:M193"/>
    <mergeCell ref="A199:M199"/>
    <mergeCell ref="A205:M205"/>
    <mergeCell ref="A211:M211"/>
    <mergeCell ref="A217:M217"/>
    <mergeCell ref="A223:M223"/>
    <mergeCell ref="A136:M136"/>
    <mergeCell ref="A148:M148"/>
    <mergeCell ref="A157:M157"/>
    <mergeCell ref="A166:M166"/>
    <mergeCell ref="A175:M175"/>
    <mergeCell ref="A184:M184"/>
    <mergeCell ref="A275:M275"/>
    <mergeCell ref="A281:M281"/>
    <mergeCell ref="A287:M287"/>
    <mergeCell ref="A293:M293"/>
    <mergeCell ref="A299:M299"/>
    <mergeCell ref="A307:M307"/>
    <mergeCell ref="A229:M229"/>
    <mergeCell ref="A233:M233"/>
    <mergeCell ref="A237:M237"/>
    <mergeCell ref="A255:M255"/>
    <mergeCell ref="A261:M261"/>
    <mergeCell ref="A268:M268"/>
    <mergeCell ref="A359:M359"/>
    <mergeCell ref="A365:M365"/>
    <mergeCell ref="A373:M373"/>
    <mergeCell ref="A380:M380"/>
    <mergeCell ref="A388:M388"/>
    <mergeCell ref="A396:M396"/>
    <mergeCell ref="A316:M316"/>
    <mergeCell ref="A325:M325"/>
    <mergeCell ref="A331:M331"/>
    <mergeCell ref="A339:M339"/>
    <mergeCell ref="A345:M345"/>
    <mergeCell ref="A352:M352"/>
    <mergeCell ref="A443:M443"/>
    <mergeCell ref="A449:M449"/>
    <mergeCell ref="A455:M455"/>
    <mergeCell ref="A461:M461"/>
    <mergeCell ref="A467:M467"/>
    <mergeCell ref="A475:M475"/>
    <mergeCell ref="A404:M404"/>
    <mergeCell ref="A411:M411"/>
    <mergeCell ref="A418:M418"/>
    <mergeCell ref="A425:M425"/>
    <mergeCell ref="A431:M431"/>
    <mergeCell ref="A437:M437"/>
    <mergeCell ref="A521:M521"/>
    <mergeCell ref="A528:M528"/>
    <mergeCell ref="A535:M535"/>
    <mergeCell ref="A542:M542"/>
    <mergeCell ref="A548:M548"/>
    <mergeCell ref="A554:M554"/>
    <mergeCell ref="A482:M482"/>
    <mergeCell ref="A488:M488"/>
    <mergeCell ref="A495:M495"/>
    <mergeCell ref="A501:M501"/>
    <mergeCell ref="A507:M507"/>
    <mergeCell ref="A513:M513"/>
    <mergeCell ref="A596:M596"/>
    <mergeCell ref="A602:M602"/>
    <mergeCell ref="A608:M608"/>
    <mergeCell ref="A614:M614"/>
    <mergeCell ref="A620:M620"/>
    <mergeCell ref="A626:M626"/>
    <mergeCell ref="A560:M560"/>
    <mergeCell ref="A566:M566"/>
    <mergeCell ref="A572:M572"/>
    <mergeCell ref="A578:M578"/>
    <mergeCell ref="A584:M584"/>
    <mergeCell ref="A590:M590"/>
    <mergeCell ref="A669:M669"/>
    <mergeCell ref="A676:M676"/>
    <mergeCell ref="A683:M683"/>
    <mergeCell ref="A690:M690"/>
    <mergeCell ref="A632:M632"/>
    <mergeCell ref="A640:M640"/>
    <mergeCell ref="A648:M648"/>
    <mergeCell ref="A654:M654"/>
    <mergeCell ref="A661:M661"/>
    <mergeCell ref="A665:M665"/>
  </mergeCells>
  <phoneticPr fontId="1" type="noConversion"/>
  <pageMargins left="0.78740157480314954" right="0" top="0.39370078740157477" bottom="0.39370078740157477" header="0" footer="0"/>
  <pageSetup paperSize="9" scale="64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C5158-4D65-48D3-94B1-F321AF5B241C}">
  <dimension ref="A1:AG341"/>
  <sheetViews>
    <sheetView showZeros="0" view="pageBreakPreview" topLeftCell="D1" zoomScaleNormal="100" zoomScaleSheetLayoutView="100" workbookViewId="0">
      <selection sqref="A1:O1"/>
    </sheetView>
  </sheetViews>
  <sheetFormatPr defaultRowHeight="13.5"/>
  <cols>
    <col min="1" max="1" width="5.25" style="347" hidden="1" customWidth="1"/>
    <col min="2" max="2" width="7.375" style="344" hidden="1" customWidth="1"/>
    <col min="3" max="3" width="12.125" style="344" hidden="1" customWidth="1"/>
    <col min="4" max="5" width="27.375" style="344" customWidth="1"/>
    <col min="6" max="6" width="5.125" style="347" customWidth="1"/>
    <col min="7" max="7" width="11.375" style="347" customWidth="1"/>
    <col min="8" max="8" width="10.5" style="347" customWidth="1"/>
    <col min="9" max="9" width="11.25" style="347" customWidth="1"/>
    <col min="10" max="10" width="5.875" style="347" customWidth="1"/>
    <col min="11" max="11" width="5.375" style="344" hidden="1" customWidth="1"/>
    <col min="12" max="12" width="15.875" style="347" customWidth="1"/>
    <col min="13" max="13" width="8.125" style="347" customWidth="1"/>
    <col min="14" max="14" width="6.125" style="347" customWidth="1"/>
    <col min="15" max="15" width="9.875" style="347" customWidth="1"/>
    <col min="16" max="16" width="2.75" style="346" hidden="1" customWidth="1"/>
    <col min="17" max="17" width="1.375" style="346" hidden="1" customWidth="1"/>
    <col min="18" max="18" width="5.75" style="346" hidden="1" customWidth="1"/>
    <col min="19" max="19" width="10.375" style="347" customWidth="1"/>
    <col min="20" max="20" width="12.5" style="347" customWidth="1"/>
    <col min="21" max="29" width="9" style="347"/>
    <col min="30" max="55" width="13.25" style="347" customWidth="1"/>
    <col min="56" max="16384" width="9" style="347"/>
  </cols>
  <sheetData>
    <row r="1" spans="1:33" ht="21.95" customHeight="1">
      <c r="B1" s="344" t="s">
        <v>567</v>
      </c>
      <c r="D1" s="708" t="s">
        <v>2965</v>
      </c>
      <c r="E1" s="709"/>
      <c r="F1" s="709"/>
      <c r="G1" s="709"/>
      <c r="H1" s="709"/>
      <c r="I1" s="709"/>
      <c r="J1" s="709"/>
      <c r="K1" s="709"/>
      <c r="L1" s="709"/>
      <c r="M1" s="709"/>
      <c r="N1" s="709"/>
      <c r="O1" s="709"/>
      <c r="P1" s="360"/>
      <c r="Q1" s="360"/>
      <c r="R1" s="360"/>
      <c r="AA1" s="347" t="s">
        <v>2966</v>
      </c>
      <c r="AB1" s="347" t="s">
        <v>2967</v>
      </c>
      <c r="AC1" s="347" t="s">
        <v>2968</v>
      </c>
      <c r="AD1" s="347" t="s">
        <v>2969</v>
      </c>
      <c r="AE1" s="347" t="s">
        <v>2970</v>
      </c>
      <c r="AF1" s="347" t="s">
        <v>2971</v>
      </c>
      <c r="AG1" s="347" t="s">
        <v>2972</v>
      </c>
    </row>
    <row r="2" spans="1:33" s="352" customFormat="1" ht="21.95" customHeight="1">
      <c r="A2" s="726" t="s">
        <v>194</v>
      </c>
      <c r="B2" s="710" t="s">
        <v>195</v>
      </c>
      <c r="C2" s="710" t="s">
        <v>570</v>
      </c>
      <c r="D2" s="707" t="s">
        <v>571</v>
      </c>
      <c r="E2" s="707" t="s">
        <v>572</v>
      </c>
      <c r="F2" s="711" t="s">
        <v>199</v>
      </c>
      <c r="G2" s="711" t="s">
        <v>200</v>
      </c>
      <c r="H2" s="711"/>
      <c r="I2" s="711"/>
      <c r="J2" s="711"/>
      <c r="K2" s="707" t="s">
        <v>570</v>
      </c>
      <c r="L2" s="711" t="s">
        <v>2973</v>
      </c>
      <c r="M2" s="711"/>
      <c r="N2" s="711"/>
      <c r="O2" s="711"/>
      <c r="P2" s="711" t="s">
        <v>2974</v>
      </c>
      <c r="Q2" s="711"/>
      <c r="R2" s="711"/>
      <c r="S2" s="711" t="s">
        <v>2975</v>
      </c>
      <c r="T2" s="711" t="s">
        <v>576</v>
      </c>
    </row>
    <row r="3" spans="1:33" s="352" customFormat="1" ht="21.95" customHeight="1">
      <c r="A3" s="726"/>
      <c r="B3" s="710"/>
      <c r="C3" s="710"/>
      <c r="D3" s="707"/>
      <c r="E3" s="707"/>
      <c r="F3" s="711"/>
      <c r="G3" s="350" t="s">
        <v>2976</v>
      </c>
      <c r="H3" s="350" t="s">
        <v>2977</v>
      </c>
      <c r="I3" s="350" t="s">
        <v>2978</v>
      </c>
      <c r="J3" s="350" t="s">
        <v>2979</v>
      </c>
      <c r="K3" s="727"/>
      <c r="L3" s="350" t="s">
        <v>2980</v>
      </c>
      <c r="M3" s="350" t="s">
        <v>2981</v>
      </c>
      <c r="N3" s="350" t="s">
        <v>2982</v>
      </c>
      <c r="O3" s="350" t="s">
        <v>2983</v>
      </c>
      <c r="P3" s="350" t="s">
        <v>206</v>
      </c>
      <c r="Q3" s="350" t="s">
        <v>2984</v>
      </c>
      <c r="R3" s="350" t="s">
        <v>2985</v>
      </c>
      <c r="S3" s="711"/>
      <c r="T3" s="711"/>
    </row>
    <row r="4" spans="1:33" ht="21.95" customHeight="1">
      <c r="B4" s="344" t="s">
        <v>208</v>
      </c>
      <c r="D4" s="714" t="s">
        <v>2986</v>
      </c>
      <c r="E4" s="724"/>
      <c r="F4" s="724"/>
      <c r="G4" s="724"/>
      <c r="H4" s="724"/>
      <c r="I4" s="724"/>
      <c r="J4" s="724"/>
      <c r="K4" s="724"/>
      <c r="L4" s="724"/>
      <c r="M4" s="724"/>
      <c r="N4" s="724"/>
      <c r="O4" s="724"/>
      <c r="P4" s="724"/>
      <c r="Q4" s="724"/>
      <c r="R4" s="724"/>
      <c r="S4" s="724"/>
      <c r="T4" s="725"/>
    </row>
    <row r="5" spans="1:33" ht="21.95" customHeight="1">
      <c r="B5" s="344" t="s">
        <v>2987</v>
      </c>
      <c r="C5" s="344" t="s">
        <v>1841</v>
      </c>
      <c r="D5" s="354" t="s">
        <v>1842</v>
      </c>
      <c r="E5" s="354" t="s">
        <v>1843</v>
      </c>
      <c r="F5" s="368" t="s">
        <v>265</v>
      </c>
      <c r="G5" s="368">
        <v>1</v>
      </c>
      <c r="H5" s="368">
        <f>IF(I5&lt;&gt;0, G5-I5, "")</f>
        <v>0</v>
      </c>
      <c r="I5" s="368">
        <v>1</v>
      </c>
      <c r="J5" s="368"/>
      <c r="K5" s="354" t="s">
        <v>1850</v>
      </c>
      <c r="L5" s="368" t="s">
        <v>1851</v>
      </c>
      <c r="M5" s="368">
        <v>3.5999999999999997E-2</v>
      </c>
      <c r="N5" s="368">
        <v>100</v>
      </c>
      <c r="O5" s="368">
        <f>IF(I5*M5=0, "", I5*M5*(N5/100))</f>
        <v>3.5999999999999997E-2</v>
      </c>
      <c r="P5" s="357"/>
      <c r="Q5" s="357">
        <f>TRUNC(P5*M5*N5/100)</f>
        <v>0</v>
      </c>
      <c r="R5" s="357"/>
      <c r="S5" s="368" t="s">
        <v>2988</v>
      </c>
      <c r="T5" s="368"/>
      <c r="AA5" s="347">
        <f>O5</f>
        <v>3.5999999999999997E-2</v>
      </c>
    </row>
    <row r="6" spans="1:33" ht="21.95" customHeight="1">
      <c r="B6" s="344" t="s">
        <v>2987</v>
      </c>
      <c r="C6" s="344" t="s">
        <v>1850</v>
      </c>
      <c r="D6" s="354" t="s">
        <v>1664</v>
      </c>
      <c r="E6" s="354" t="s">
        <v>1851</v>
      </c>
      <c r="F6" s="368" t="s">
        <v>1852</v>
      </c>
      <c r="G6" s="368">
        <f>IF(H6*I6/100+0.000005 &lt;1, TRUNC(H6*I6/100+0.000005, 옵션!$E$13), TRUNC(H6*I6/100+0.000005, 옵션!$E$13))</f>
        <v>3.5999999999999997E-2</v>
      </c>
      <c r="H6" s="368">
        <f>옵션!$B$13</f>
        <v>100</v>
      </c>
      <c r="I6" s="368">
        <f>SUM(AA5:AA5)</f>
        <v>3.5999999999999997E-2</v>
      </c>
      <c r="J6" s="368"/>
      <c r="K6" s="354"/>
      <c r="L6" s="368"/>
      <c r="M6" s="368"/>
      <c r="N6" s="368"/>
      <c r="O6" s="368" t="str">
        <f>IF(I6*M6=0, "", I6*M6*(N6/100))</f>
        <v/>
      </c>
      <c r="P6" s="357"/>
      <c r="Q6" s="357">
        <f>TRUNC(P6*M6*N6/100)</f>
        <v>0</v>
      </c>
      <c r="R6" s="357"/>
      <c r="S6" s="368"/>
      <c r="T6" s="368"/>
      <c r="Z6" s="347" t="s">
        <v>2989</v>
      </c>
      <c r="AA6" s="347">
        <f>SUM(AA5:AA5)</f>
        <v>3.5999999999999997E-2</v>
      </c>
    </row>
    <row r="7" spans="1:33" ht="21.95" customHeight="1">
      <c r="B7" s="344" t="s">
        <v>208</v>
      </c>
      <c r="D7" s="714" t="s">
        <v>2990</v>
      </c>
      <c r="E7" s="724"/>
      <c r="F7" s="724"/>
      <c r="G7" s="724"/>
      <c r="H7" s="724"/>
      <c r="I7" s="724"/>
      <c r="J7" s="724"/>
      <c r="K7" s="724"/>
      <c r="L7" s="724"/>
      <c r="M7" s="724"/>
      <c r="N7" s="724"/>
      <c r="O7" s="724"/>
      <c r="P7" s="724"/>
      <c r="Q7" s="724"/>
      <c r="R7" s="724"/>
      <c r="S7" s="724"/>
      <c r="T7" s="725"/>
    </row>
    <row r="8" spans="1:33" ht="21.95" customHeight="1">
      <c r="B8" s="344" t="s">
        <v>2987</v>
      </c>
      <c r="C8" s="344" t="s">
        <v>1841</v>
      </c>
      <c r="D8" s="354" t="s">
        <v>1842</v>
      </c>
      <c r="E8" s="354" t="s">
        <v>1843</v>
      </c>
      <c r="F8" s="368" t="s">
        <v>265</v>
      </c>
      <c r="G8" s="368">
        <v>1</v>
      </c>
      <c r="H8" s="368">
        <f>IF(I8&lt;&gt;0, G8-I8, "")</f>
        <v>0</v>
      </c>
      <c r="I8" s="368">
        <v>1</v>
      </c>
      <c r="J8" s="368"/>
      <c r="K8" s="354" t="s">
        <v>1850</v>
      </c>
      <c r="L8" s="368" t="s">
        <v>1851</v>
      </c>
      <c r="M8" s="368">
        <v>3.5999999999999997E-2</v>
      </c>
      <c r="N8" s="368">
        <v>100</v>
      </c>
      <c r="O8" s="368">
        <f>IF(I8*M8=0, "", I8*M8*(N8/100))</f>
        <v>3.5999999999999997E-2</v>
      </c>
      <c r="P8" s="357"/>
      <c r="Q8" s="357">
        <f>TRUNC(P8*M8*N8/100)</f>
        <v>0</v>
      </c>
      <c r="R8" s="357"/>
      <c r="S8" s="368" t="s">
        <v>2988</v>
      </c>
      <c r="T8" s="368"/>
      <c r="AA8" s="347">
        <f>O8</f>
        <v>3.5999999999999997E-2</v>
      </c>
    </row>
    <row r="9" spans="1:33" ht="21.95" customHeight="1">
      <c r="B9" s="344" t="s">
        <v>2987</v>
      </c>
      <c r="C9" s="344" t="s">
        <v>1850</v>
      </c>
      <c r="D9" s="354" t="s">
        <v>1664</v>
      </c>
      <c r="E9" s="354" t="s">
        <v>1851</v>
      </c>
      <c r="F9" s="368" t="s">
        <v>1852</v>
      </c>
      <c r="G9" s="368">
        <f>IF(H9*I9/100+0.000005 &lt;1, TRUNC(H9*I9/100+0.000005, 옵션!$E$13), TRUNC(H9*I9/100+0.000005, 옵션!$E$13))</f>
        <v>3.5999999999999997E-2</v>
      </c>
      <c r="H9" s="368">
        <f>옵션!$B$13</f>
        <v>100</v>
      </c>
      <c r="I9" s="368">
        <f>SUM(AA8:AA8)</f>
        <v>3.5999999999999997E-2</v>
      </c>
      <c r="J9" s="368"/>
      <c r="K9" s="354"/>
      <c r="L9" s="368"/>
      <c r="M9" s="368"/>
      <c r="N9" s="368"/>
      <c r="O9" s="368" t="str">
        <f>IF(I9*M9=0, "", I9*M9*(N9/100))</f>
        <v/>
      </c>
      <c r="P9" s="357"/>
      <c r="Q9" s="357">
        <f>TRUNC(P9*M9*N9/100)</f>
        <v>0</v>
      </c>
      <c r="R9" s="357"/>
      <c r="S9" s="368"/>
      <c r="T9" s="368"/>
      <c r="Z9" s="347" t="s">
        <v>2989</v>
      </c>
      <c r="AA9" s="347">
        <f>SUM(AA8:AA8)</f>
        <v>3.5999999999999997E-2</v>
      </c>
    </row>
    <row r="10" spans="1:33" ht="21.95" customHeight="1">
      <c r="B10" s="344" t="s">
        <v>208</v>
      </c>
      <c r="D10" s="714" t="s">
        <v>2991</v>
      </c>
      <c r="E10" s="724"/>
      <c r="F10" s="724"/>
      <c r="G10" s="724"/>
      <c r="H10" s="724"/>
      <c r="I10" s="724"/>
      <c r="J10" s="724"/>
      <c r="K10" s="724"/>
      <c r="L10" s="724"/>
      <c r="M10" s="724"/>
      <c r="N10" s="724"/>
      <c r="O10" s="724"/>
      <c r="P10" s="724"/>
      <c r="Q10" s="724"/>
      <c r="R10" s="724"/>
      <c r="S10" s="724"/>
      <c r="T10" s="725"/>
    </row>
    <row r="11" spans="1:33" ht="21.95" customHeight="1">
      <c r="B11" s="344" t="s">
        <v>2987</v>
      </c>
      <c r="C11" s="344" t="s">
        <v>1841</v>
      </c>
      <c r="D11" s="354" t="s">
        <v>1842</v>
      </c>
      <c r="E11" s="354" t="s">
        <v>1843</v>
      </c>
      <c r="F11" s="368" t="s">
        <v>265</v>
      </c>
      <c r="G11" s="368">
        <v>1</v>
      </c>
      <c r="H11" s="368">
        <f>IF(I11&lt;&gt;0, G11-I11, "")</f>
        <v>0</v>
      </c>
      <c r="I11" s="368">
        <v>1</v>
      </c>
      <c r="J11" s="368"/>
      <c r="K11" s="354" t="s">
        <v>1850</v>
      </c>
      <c r="L11" s="368" t="s">
        <v>1851</v>
      </c>
      <c r="M11" s="368">
        <v>3.5999999999999997E-2</v>
      </c>
      <c r="N11" s="368">
        <v>100</v>
      </c>
      <c r="O11" s="368">
        <f>IF(I11*M11=0, "", I11*M11*(N11/100))</f>
        <v>3.5999999999999997E-2</v>
      </c>
      <c r="P11" s="357"/>
      <c r="Q11" s="357">
        <f>TRUNC(P11*M11*N11/100)</f>
        <v>0</v>
      </c>
      <c r="R11" s="357"/>
      <c r="S11" s="368" t="s">
        <v>2988</v>
      </c>
      <c r="T11" s="368"/>
      <c r="AA11" s="347">
        <f>O11</f>
        <v>3.5999999999999997E-2</v>
      </c>
    </row>
    <row r="12" spans="1:33" ht="21.95" customHeight="1">
      <c r="B12" s="344" t="s">
        <v>2987</v>
      </c>
      <c r="C12" s="344" t="s">
        <v>1850</v>
      </c>
      <c r="D12" s="354" t="s">
        <v>1664</v>
      </c>
      <c r="E12" s="354" t="s">
        <v>1851</v>
      </c>
      <c r="F12" s="368" t="s">
        <v>1852</v>
      </c>
      <c r="G12" s="368">
        <f>IF(H12*I12/100+0.000005 &lt;1, TRUNC(H12*I12/100+0.000005, 옵션!$E$13), TRUNC(H12*I12/100+0.000005, 옵션!$E$13))</f>
        <v>3.5999999999999997E-2</v>
      </c>
      <c r="H12" s="368">
        <f>옵션!$B$13</f>
        <v>100</v>
      </c>
      <c r="I12" s="368">
        <f>SUM(AA11:AA11)</f>
        <v>3.5999999999999997E-2</v>
      </c>
      <c r="J12" s="368"/>
      <c r="K12" s="354"/>
      <c r="L12" s="368"/>
      <c r="M12" s="368"/>
      <c r="N12" s="368"/>
      <c r="O12" s="368" t="str">
        <f>IF(I12*M12=0, "", I12*M12*(N12/100))</f>
        <v/>
      </c>
      <c r="P12" s="357"/>
      <c r="Q12" s="357">
        <f>TRUNC(P12*M12*N12/100)</f>
        <v>0</v>
      </c>
      <c r="R12" s="357"/>
      <c r="S12" s="368"/>
      <c r="T12" s="368"/>
      <c r="Z12" s="347" t="s">
        <v>2989</v>
      </c>
      <c r="AA12" s="347">
        <f>SUM(AA11:AA11)</f>
        <v>3.5999999999999997E-2</v>
      </c>
    </row>
    <row r="13" spans="1:33" ht="21.95" customHeight="1">
      <c r="B13" s="344" t="s">
        <v>208</v>
      </c>
      <c r="D13" s="714" t="s">
        <v>2992</v>
      </c>
      <c r="E13" s="724"/>
      <c r="F13" s="724"/>
      <c r="G13" s="724"/>
      <c r="H13" s="724"/>
      <c r="I13" s="724"/>
      <c r="J13" s="724"/>
      <c r="K13" s="724"/>
      <c r="L13" s="724"/>
      <c r="M13" s="724"/>
      <c r="N13" s="724"/>
      <c r="O13" s="724"/>
      <c r="P13" s="724"/>
      <c r="Q13" s="724"/>
      <c r="R13" s="724"/>
      <c r="S13" s="724"/>
      <c r="T13" s="725"/>
    </row>
    <row r="14" spans="1:33" ht="21.95" customHeight="1">
      <c r="B14" s="344" t="s">
        <v>2987</v>
      </c>
      <c r="C14" s="344" t="s">
        <v>1866</v>
      </c>
      <c r="D14" s="354" t="s">
        <v>1867</v>
      </c>
      <c r="E14" s="354" t="s">
        <v>1868</v>
      </c>
      <c r="F14" s="368" t="s">
        <v>262</v>
      </c>
      <c r="G14" s="368">
        <v>1</v>
      </c>
      <c r="H14" s="368">
        <f>IF(I14&lt;&gt;0, G14-I14, "")</f>
        <v>0</v>
      </c>
      <c r="I14" s="368">
        <v>1</v>
      </c>
      <c r="J14" s="368"/>
      <c r="K14" s="354" t="s">
        <v>1888</v>
      </c>
      <c r="L14" s="368" t="s">
        <v>1889</v>
      </c>
      <c r="M14" s="368">
        <v>0.36</v>
      </c>
      <c r="N14" s="368">
        <v>100</v>
      </c>
      <c r="O14" s="368">
        <f t="shared" ref="O14:O21" si="0">IF(I14*M14=0, "", I14*M14*(N14/100))</f>
        <v>0.36</v>
      </c>
      <c r="P14" s="357"/>
      <c r="Q14" s="357">
        <f t="shared" ref="Q14:Q21" si="1">TRUNC(P14*M14*N14/100)</f>
        <v>0</v>
      </c>
      <c r="R14" s="357"/>
      <c r="S14" s="368" t="s">
        <v>2993</v>
      </c>
      <c r="T14" s="368"/>
      <c r="AF14" s="347">
        <f>O14</f>
        <v>0.36</v>
      </c>
    </row>
    <row r="15" spans="1:33" ht="21.95" customHeight="1">
      <c r="B15" s="344" t="s">
        <v>2987</v>
      </c>
      <c r="C15" s="344" t="s">
        <v>1869</v>
      </c>
      <c r="D15" s="354" t="s">
        <v>1870</v>
      </c>
      <c r="E15" s="354" t="s">
        <v>357</v>
      </c>
      <c r="F15" s="368" t="s">
        <v>262</v>
      </c>
      <c r="G15" s="368">
        <v>1</v>
      </c>
      <c r="H15" s="368">
        <f>IF(I15&lt;&gt;0, G15-I15, "")</f>
        <v>0</v>
      </c>
      <c r="I15" s="368">
        <v>1</v>
      </c>
      <c r="J15" s="368"/>
      <c r="K15" s="354" t="s">
        <v>1890</v>
      </c>
      <c r="L15" s="368" t="s">
        <v>1891</v>
      </c>
      <c r="M15" s="368">
        <v>1.63</v>
      </c>
      <c r="N15" s="368">
        <v>100</v>
      </c>
      <c r="O15" s="368">
        <f t="shared" si="0"/>
        <v>1.63</v>
      </c>
      <c r="P15" s="357"/>
      <c r="Q15" s="357">
        <f t="shared" si="1"/>
        <v>0</v>
      </c>
      <c r="R15" s="357"/>
      <c r="S15" s="368" t="s">
        <v>2994</v>
      </c>
      <c r="T15" s="368"/>
      <c r="AG15" s="347">
        <f>O15</f>
        <v>1.63</v>
      </c>
    </row>
    <row r="16" spans="1:33" ht="21.95" customHeight="1">
      <c r="B16" s="344" t="s">
        <v>2987</v>
      </c>
      <c r="C16" s="344" t="s">
        <v>1871</v>
      </c>
      <c r="D16" s="354" t="s">
        <v>337</v>
      </c>
      <c r="E16" s="354" t="s">
        <v>1872</v>
      </c>
      <c r="F16" s="368" t="s">
        <v>265</v>
      </c>
      <c r="G16" s="368">
        <v>1</v>
      </c>
      <c r="H16" s="368">
        <f>IF(I16&lt;&gt;0, G16-I16, "")</f>
        <v>0</v>
      </c>
      <c r="I16" s="368">
        <v>1</v>
      </c>
      <c r="J16" s="368"/>
      <c r="K16" s="354" t="s">
        <v>1850</v>
      </c>
      <c r="L16" s="368" t="s">
        <v>1851</v>
      </c>
      <c r="M16" s="368">
        <v>0.11</v>
      </c>
      <c r="N16" s="368">
        <v>100</v>
      </c>
      <c r="O16" s="368">
        <f t="shared" si="0"/>
        <v>0.11</v>
      </c>
      <c r="P16" s="357"/>
      <c r="Q16" s="357">
        <f t="shared" si="1"/>
        <v>0</v>
      </c>
      <c r="R16" s="357"/>
      <c r="S16" s="368" t="s">
        <v>2995</v>
      </c>
      <c r="T16" s="368"/>
      <c r="AA16" s="347">
        <f>O16</f>
        <v>0.11</v>
      </c>
    </row>
    <row r="17" spans="2:33" ht="21.95" customHeight="1">
      <c r="B17" s="344" t="s">
        <v>2987</v>
      </c>
      <c r="C17" s="344" t="s">
        <v>1871</v>
      </c>
      <c r="D17" s="354"/>
      <c r="E17" s="354"/>
      <c r="F17" s="368"/>
      <c r="G17" s="368">
        <v>1</v>
      </c>
      <c r="H17" s="368">
        <f>IF(I17&lt;&gt;0, G17-I17, "")</f>
        <v>0</v>
      </c>
      <c r="I17" s="368">
        <v>1</v>
      </c>
      <c r="J17" s="368"/>
      <c r="K17" s="354" t="s">
        <v>1888</v>
      </c>
      <c r="L17" s="368" t="s">
        <v>1889</v>
      </c>
      <c r="M17" s="368">
        <v>0.08</v>
      </c>
      <c r="N17" s="368">
        <v>100</v>
      </c>
      <c r="O17" s="368">
        <f t="shared" si="0"/>
        <v>0.08</v>
      </c>
      <c r="P17" s="357"/>
      <c r="Q17" s="357">
        <f t="shared" si="1"/>
        <v>0</v>
      </c>
      <c r="R17" s="357"/>
      <c r="S17" s="368" t="s">
        <v>2995</v>
      </c>
      <c r="T17" s="368"/>
      <c r="AF17" s="347">
        <f>O17</f>
        <v>0.08</v>
      </c>
    </row>
    <row r="18" spans="2:33" ht="21.95" customHeight="1">
      <c r="B18" s="344" t="s">
        <v>2987</v>
      </c>
      <c r="C18" s="344" t="s">
        <v>1873</v>
      </c>
      <c r="D18" s="354" t="s">
        <v>268</v>
      </c>
      <c r="E18" s="354" t="s">
        <v>1874</v>
      </c>
      <c r="F18" s="368" t="s">
        <v>255</v>
      </c>
      <c r="G18" s="368">
        <v>5</v>
      </c>
      <c r="H18" s="368">
        <f>IF(I18&lt;&gt;0, G18-I18, "")</f>
        <v>0</v>
      </c>
      <c r="I18" s="368">
        <v>5</v>
      </c>
      <c r="J18" s="368"/>
      <c r="K18" s="354" t="s">
        <v>1850</v>
      </c>
      <c r="L18" s="368" t="s">
        <v>1851</v>
      </c>
      <c r="M18" s="368">
        <v>8.0000000000000002E-3</v>
      </c>
      <c r="N18" s="368">
        <v>150</v>
      </c>
      <c r="O18" s="368">
        <f t="shared" si="0"/>
        <v>0.06</v>
      </c>
      <c r="P18" s="357"/>
      <c r="Q18" s="357">
        <f t="shared" si="1"/>
        <v>0</v>
      </c>
      <c r="R18" s="357"/>
      <c r="S18" s="368" t="s">
        <v>2995</v>
      </c>
      <c r="T18" s="368"/>
      <c r="AA18" s="347">
        <f>O18</f>
        <v>0.06</v>
      </c>
    </row>
    <row r="19" spans="2:33" ht="21.95" customHeight="1">
      <c r="B19" s="344" t="s">
        <v>2987</v>
      </c>
      <c r="C19" s="344" t="s">
        <v>1850</v>
      </c>
      <c r="D19" s="354" t="s">
        <v>1664</v>
      </c>
      <c r="E19" s="354" t="s">
        <v>1851</v>
      </c>
      <c r="F19" s="368" t="s">
        <v>1852</v>
      </c>
      <c r="G19" s="368">
        <f>IF(H19*I19/100+0.000005 &lt;1, TRUNC(H19*I19/100+0.000005, 옵션!$E$13), TRUNC(H19*I19/100+0.000005, 옵션!$E$13))</f>
        <v>0.17</v>
      </c>
      <c r="H19" s="368">
        <f>옵션!$B$13</f>
        <v>100</v>
      </c>
      <c r="I19" s="368">
        <f>SUM(AA14:AA18)</f>
        <v>0.16999999999999998</v>
      </c>
      <c r="J19" s="368"/>
      <c r="K19" s="354"/>
      <c r="L19" s="368"/>
      <c r="M19" s="368"/>
      <c r="N19" s="368"/>
      <c r="O19" s="368" t="str">
        <f t="shared" si="0"/>
        <v/>
      </c>
      <c r="P19" s="357"/>
      <c r="Q19" s="357">
        <f t="shared" si="1"/>
        <v>0</v>
      </c>
      <c r="R19" s="357"/>
      <c r="S19" s="368"/>
      <c r="T19" s="368"/>
      <c r="Z19" s="347" t="s">
        <v>2989</v>
      </c>
      <c r="AA19" s="347">
        <f>SUM(AA14:AA18)</f>
        <v>0.16999999999999998</v>
      </c>
      <c r="AF19" s="347">
        <f>SUM(AF14:AF18)</f>
        <v>0.44</v>
      </c>
      <c r="AG19" s="347">
        <f>SUM(AG14:AG18)</f>
        <v>1.63</v>
      </c>
    </row>
    <row r="20" spans="2:33" ht="21.95" customHeight="1">
      <c r="B20" s="344" t="s">
        <v>2987</v>
      </c>
      <c r="C20" s="344" t="s">
        <v>1888</v>
      </c>
      <c r="D20" s="354" t="s">
        <v>1664</v>
      </c>
      <c r="E20" s="354" t="s">
        <v>1889</v>
      </c>
      <c r="F20" s="368" t="s">
        <v>1852</v>
      </c>
      <c r="G20" s="368">
        <f>IF(H20*I20/100+0.000005 &lt;1, TRUNC(H20*I20/100+0.000005, 옵션!$E$13), TRUNC(H20*I20/100+0.000005, 옵션!$E$13))</f>
        <v>0.44</v>
      </c>
      <c r="H20" s="368">
        <f>옵션!$B$13</f>
        <v>100</v>
      </c>
      <c r="I20" s="368">
        <f>SUM(AF14:AF18)</f>
        <v>0.44</v>
      </c>
      <c r="J20" s="368"/>
      <c r="K20" s="354"/>
      <c r="L20" s="368"/>
      <c r="M20" s="368"/>
      <c r="N20" s="368"/>
      <c r="O20" s="368" t="str">
        <f t="shared" si="0"/>
        <v/>
      </c>
      <c r="P20" s="357"/>
      <c r="Q20" s="357">
        <f t="shared" si="1"/>
        <v>0</v>
      </c>
      <c r="R20" s="357"/>
      <c r="S20" s="368"/>
      <c r="T20" s="368"/>
    </row>
    <row r="21" spans="2:33" ht="21.95" customHeight="1">
      <c r="B21" s="344" t="s">
        <v>2987</v>
      </c>
      <c r="C21" s="344" t="s">
        <v>1890</v>
      </c>
      <c r="D21" s="354" t="s">
        <v>1664</v>
      </c>
      <c r="E21" s="354" t="s">
        <v>1891</v>
      </c>
      <c r="F21" s="368" t="s">
        <v>1852</v>
      </c>
      <c r="G21" s="368">
        <f>IF(H21*I21/100+0.000005 &lt;1, TRUNC(H21*I21/100+0.000005, 옵션!$E$13), TRUNC(H21*I21/100+0.000005, 옵션!$E$13))</f>
        <v>1.63</v>
      </c>
      <c r="H21" s="368">
        <f>옵션!$B$13</f>
        <v>100</v>
      </c>
      <c r="I21" s="368">
        <f>SUM(AG14:AG18)</f>
        <v>1.63</v>
      </c>
      <c r="J21" s="368"/>
      <c r="K21" s="354"/>
      <c r="L21" s="368"/>
      <c r="M21" s="368"/>
      <c r="N21" s="368"/>
      <c r="O21" s="368" t="str">
        <f t="shared" si="0"/>
        <v/>
      </c>
      <c r="P21" s="357"/>
      <c r="Q21" s="357">
        <f t="shared" si="1"/>
        <v>0</v>
      </c>
      <c r="R21" s="357"/>
      <c r="S21" s="368"/>
      <c r="T21" s="368"/>
    </row>
    <row r="22" spans="2:33" ht="21.95" customHeight="1">
      <c r="B22" s="344" t="s">
        <v>208</v>
      </c>
      <c r="D22" s="714" t="s">
        <v>2996</v>
      </c>
      <c r="E22" s="724"/>
      <c r="F22" s="724"/>
      <c r="G22" s="724"/>
      <c r="H22" s="724"/>
      <c r="I22" s="724"/>
      <c r="J22" s="724"/>
      <c r="K22" s="724"/>
      <c r="L22" s="724"/>
      <c r="M22" s="724"/>
      <c r="N22" s="724"/>
      <c r="O22" s="724"/>
      <c r="P22" s="724"/>
      <c r="Q22" s="724"/>
      <c r="R22" s="724"/>
      <c r="S22" s="724"/>
      <c r="T22" s="725"/>
    </row>
    <row r="23" spans="2:33" ht="21.95" customHeight="1">
      <c r="B23" s="344" t="s">
        <v>2987</v>
      </c>
      <c r="C23" s="344" t="s">
        <v>1894</v>
      </c>
      <c r="D23" s="354" t="s">
        <v>337</v>
      </c>
      <c r="E23" s="354" t="s">
        <v>1895</v>
      </c>
      <c r="F23" s="368" t="s">
        <v>265</v>
      </c>
      <c r="G23" s="368">
        <v>3</v>
      </c>
      <c r="H23" s="368">
        <f>IF(I23&lt;&gt;0, G23-I23, "")</f>
        <v>0</v>
      </c>
      <c r="I23" s="368">
        <v>3</v>
      </c>
      <c r="J23" s="368"/>
      <c r="K23" s="354" t="s">
        <v>1850</v>
      </c>
      <c r="L23" s="368" t="s">
        <v>1851</v>
      </c>
      <c r="M23" s="368">
        <v>0.11</v>
      </c>
      <c r="N23" s="368">
        <v>100</v>
      </c>
      <c r="O23" s="368">
        <f>IF(I23*M23=0, "", I23*M23*(N23/100))</f>
        <v>0.33</v>
      </c>
      <c r="P23" s="357"/>
      <c r="Q23" s="357">
        <f>TRUNC(P23*M23*N23/100)</f>
        <v>0</v>
      </c>
      <c r="R23" s="357"/>
      <c r="S23" s="368" t="s">
        <v>2995</v>
      </c>
      <c r="T23" s="368"/>
      <c r="AA23" s="347">
        <f>O23</f>
        <v>0.33</v>
      </c>
    </row>
    <row r="24" spans="2:33" ht="21.95" customHeight="1">
      <c r="B24" s="344" t="s">
        <v>2987</v>
      </c>
      <c r="C24" s="344" t="s">
        <v>1894</v>
      </c>
      <c r="D24" s="354"/>
      <c r="E24" s="354"/>
      <c r="F24" s="368"/>
      <c r="G24" s="368">
        <v>3</v>
      </c>
      <c r="H24" s="368">
        <f>IF(I24&lt;&gt;0, G24-I24, "")</f>
        <v>0</v>
      </c>
      <c r="I24" s="368">
        <v>3</v>
      </c>
      <c r="J24" s="368"/>
      <c r="K24" s="354" t="s">
        <v>1888</v>
      </c>
      <c r="L24" s="368" t="s">
        <v>1889</v>
      </c>
      <c r="M24" s="368">
        <v>0.08</v>
      </c>
      <c r="N24" s="368">
        <v>100</v>
      </c>
      <c r="O24" s="368">
        <f>IF(I24*M24=0, "", I24*M24*(N24/100))</f>
        <v>0.24</v>
      </c>
      <c r="P24" s="357"/>
      <c r="Q24" s="357">
        <f>TRUNC(P24*M24*N24/100)</f>
        <v>0</v>
      </c>
      <c r="R24" s="357"/>
      <c r="S24" s="368" t="s">
        <v>2995</v>
      </c>
      <c r="T24" s="368"/>
      <c r="AF24" s="347">
        <f>O24</f>
        <v>0.24</v>
      </c>
    </row>
    <row r="25" spans="2:33" ht="21.95" customHeight="1">
      <c r="B25" s="344" t="s">
        <v>2987</v>
      </c>
      <c r="C25" s="344" t="s">
        <v>1850</v>
      </c>
      <c r="D25" s="354" t="s">
        <v>1664</v>
      </c>
      <c r="E25" s="354" t="s">
        <v>1851</v>
      </c>
      <c r="F25" s="368" t="s">
        <v>1852</v>
      </c>
      <c r="G25" s="368">
        <f>IF(H25*I25/100+0.000005 &lt;1, TRUNC(H25*I25/100+0.000005, 옵션!$E$13), TRUNC(H25*I25/100+0.000005, 옵션!$E$13))</f>
        <v>0.33</v>
      </c>
      <c r="H25" s="368">
        <f>옵션!$B$13</f>
        <v>100</v>
      </c>
      <c r="I25" s="368">
        <f>SUM(AA23:AA24)</f>
        <v>0.33</v>
      </c>
      <c r="J25" s="368"/>
      <c r="K25" s="354"/>
      <c r="L25" s="368"/>
      <c r="M25" s="368"/>
      <c r="N25" s="368"/>
      <c r="O25" s="368" t="str">
        <f>IF(I25*M25=0, "", I25*M25*(N25/100))</f>
        <v/>
      </c>
      <c r="P25" s="357"/>
      <c r="Q25" s="357">
        <f>TRUNC(P25*M25*N25/100)</f>
        <v>0</v>
      </c>
      <c r="R25" s="357"/>
      <c r="S25" s="368"/>
      <c r="T25" s="368"/>
      <c r="Z25" s="347" t="s">
        <v>2989</v>
      </c>
      <c r="AA25" s="347">
        <f>SUM(AA23:AA24)</f>
        <v>0.33</v>
      </c>
      <c r="AF25" s="347">
        <f>SUM(AF23:AF24)</f>
        <v>0.24</v>
      </c>
    </row>
    <row r="26" spans="2:33" ht="21.95" customHeight="1">
      <c r="B26" s="344" t="s">
        <v>2987</v>
      </c>
      <c r="C26" s="344" t="s">
        <v>1888</v>
      </c>
      <c r="D26" s="354" t="s">
        <v>1664</v>
      </c>
      <c r="E26" s="354" t="s">
        <v>1889</v>
      </c>
      <c r="F26" s="368" t="s">
        <v>1852</v>
      </c>
      <c r="G26" s="368">
        <f>IF(H26*I26/100+0.000005 &lt;1, TRUNC(H26*I26/100+0.000005, 옵션!$E$13), TRUNC(H26*I26/100+0.000005, 옵션!$E$13))</f>
        <v>0.24</v>
      </c>
      <c r="H26" s="368">
        <f>옵션!$B$13</f>
        <v>100</v>
      </c>
      <c r="I26" s="368">
        <f>SUM(AF23:AF24)</f>
        <v>0.24</v>
      </c>
      <c r="J26" s="368"/>
      <c r="K26" s="354"/>
      <c r="L26" s="368"/>
      <c r="M26" s="368"/>
      <c r="N26" s="368"/>
      <c r="O26" s="368" t="str">
        <f>IF(I26*M26=0, "", I26*M26*(N26/100))</f>
        <v/>
      </c>
      <c r="P26" s="357"/>
      <c r="Q26" s="357">
        <f>TRUNC(P26*M26*N26/100)</f>
        <v>0</v>
      </c>
      <c r="R26" s="357"/>
      <c r="S26" s="368"/>
      <c r="T26" s="368"/>
    </row>
    <row r="27" spans="2:33" ht="21.95" customHeight="1">
      <c r="B27" s="344" t="s">
        <v>208</v>
      </c>
      <c r="D27" s="714" t="s">
        <v>2997</v>
      </c>
      <c r="E27" s="724"/>
      <c r="F27" s="724"/>
      <c r="G27" s="724"/>
      <c r="H27" s="724"/>
      <c r="I27" s="724"/>
      <c r="J27" s="724"/>
      <c r="K27" s="724"/>
      <c r="L27" s="724"/>
      <c r="M27" s="724"/>
      <c r="N27" s="724"/>
      <c r="O27" s="724"/>
      <c r="P27" s="724"/>
      <c r="Q27" s="724"/>
      <c r="R27" s="724"/>
      <c r="S27" s="724"/>
      <c r="T27" s="725"/>
    </row>
    <row r="28" spans="2:33" ht="21.95" customHeight="1">
      <c r="B28" s="344" t="s">
        <v>2987</v>
      </c>
      <c r="C28" s="344" t="s">
        <v>1904</v>
      </c>
      <c r="D28" s="354" t="s">
        <v>1905</v>
      </c>
      <c r="E28" s="354" t="s">
        <v>1906</v>
      </c>
      <c r="F28" s="368" t="s">
        <v>265</v>
      </c>
      <c r="G28" s="368">
        <v>1</v>
      </c>
      <c r="H28" s="368">
        <f>IF(I28&lt;&gt;0, G28-I28, "")</f>
        <v>0</v>
      </c>
      <c r="I28" s="368">
        <v>1</v>
      </c>
      <c r="J28" s="368"/>
      <c r="K28" s="354" t="s">
        <v>1850</v>
      </c>
      <c r="L28" s="368" t="s">
        <v>1851</v>
      </c>
      <c r="M28" s="368">
        <v>0.08</v>
      </c>
      <c r="N28" s="368">
        <v>100</v>
      </c>
      <c r="O28" s="368">
        <f>IF(I28*M28=0, "", I28*M28*(N28/100))</f>
        <v>0.08</v>
      </c>
      <c r="P28" s="357"/>
      <c r="Q28" s="357">
        <f>TRUNC(P28*M28*N28/100)</f>
        <v>0</v>
      </c>
      <c r="R28" s="357"/>
      <c r="S28" s="368" t="s">
        <v>2998</v>
      </c>
      <c r="T28" s="368"/>
      <c r="AA28" s="347">
        <f>O28</f>
        <v>0.08</v>
      </c>
    </row>
    <row r="29" spans="2:33" ht="21.95" customHeight="1">
      <c r="B29" s="344" t="s">
        <v>2987</v>
      </c>
      <c r="C29" s="344" t="s">
        <v>1904</v>
      </c>
      <c r="D29" s="354"/>
      <c r="E29" s="354"/>
      <c r="F29" s="368"/>
      <c r="G29" s="368">
        <v>1</v>
      </c>
      <c r="H29" s="368">
        <f>IF(I29&lt;&gt;0, G29-I29, "")</f>
        <v>0</v>
      </c>
      <c r="I29" s="368">
        <v>1</v>
      </c>
      <c r="J29" s="368"/>
      <c r="K29" s="354" t="s">
        <v>1888</v>
      </c>
      <c r="L29" s="368" t="s">
        <v>1889</v>
      </c>
      <c r="M29" s="368">
        <v>0.19</v>
      </c>
      <c r="N29" s="368">
        <v>100</v>
      </c>
      <c r="O29" s="368">
        <f>IF(I29*M29=0, "", I29*M29*(N29/100))</f>
        <v>0.19</v>
      </c>
      <c r="P29" s="357"/>
      <c r="Q29" s="357">
        <f>TRUNC(P29*M29*N29/100)</f>
        <v>0</v>
      </c>
      <c r="R29" s="357"/>
      <c r="S29" s="368" t="s">
        <v>2998</v>
      </c>
      <c r="T29" s="368"/>
      <c r="AF29" s="347">
        <f>O29</f>
        <v>0.19</v>
      </c>
    </row>
    <row r="30" spans="2:33" ht="21.95" customHeight="1">
      <c r="B30" s="344" t="s">
        <v>2987</v>
      </c>
      <c r="C30" s="344" t="s">
        <v>1850</v>
      </c>
      <c r="D30" s="354" t="s">
        <v>1664</v>
      </c>
      <c r="E30" s="354" t="s">
        <v>1851</v>
      </c>
      <c r="F30" s="368" t="s">
        <v>1852</v>
      </c>
      <c r="G30" s="368">
        <f>IF(H30*I30/100+0.000005 &lt;1, TRUNC(H30*I30/100+0.000005, 옵션!$E$13), TRUNC(H30*I30/100+0.000005, 옵션!$E$13))</f>
        <v>0.08</v>
      </c>
      <c r="H30" s="368">
        <f>옵션!$B$13</f>
        <v>100</v>
      </c>
      <c r="I30" s="368">
        <f>SUM(AA28:AA29)</f>
        <v>0.08</v>
      </c>
      <c r="J30" s="368"/>
      <c r="K30" s="354"/>
      <c r="L30" s="368"/>
      <c r="M30" s="368"/>
      <c r="N30" s="368"/>
      <c r="O30" s="368" t="str">
        <f>IF(I30*M30=0, "", I30*M30*(N30/100))</f>
        <v/>
      </c>
      <c r="P30" s="357"/>
      <c r="Q30" s="357">
        <f>TRUNC(P30*M30*N30/100)</f>
        <v>0</v>
      </c>
      <c r="R30" s="357"/>
      <c r="S30" s="368"/>
      <c r="T30" s="368"/>
      <c r="Z30" s="347" t="s">
        <v>2989</v>
      </c>
      <c r="AA30" s="347">
        <f>SUM(AA28:AA29)</f>
        <v>0.08</v>
      </c>
      <c r="AF30" s="347">
        <f>SUM(AF28:AF29)</f>
        <v>0.19</v>
      </c>
    </row>
    <row r="31" spans="2:33" ht="21.95" customHeight="1">
      <c r="B31" s="344" t="s">
        <v>2987</v>
      </c>
      <c r="C31" s="344" t="s">
        <v>1888</v>
      </c>
      <c r="D31" s="354" t="s">
        <v>1664</v>
      </c>
      <c r="E31" s="354" t="s">
        <v>1889</v>
      </c>
      <c r="F31" s="368" t="s">
        <v>1852</v>
      </c>
      <c r="G31" s="368">
        <f>IF(H31*I31/100+0.000005 &lt;1, TRUNC(H31*I31/100+0.000005, 옵션!$E$13), TRUNC(H31*I31/100+0.000005, 옵션!$E$13))</f>
        <v>0.19</v>
      </c>
      <c r="H31" s="368">
        <f>옵션!$B$13</f>
        <v>100</v>
      </c>
      <c r="I31" s="368">
        <f>SUM(AF28:AF29)</f>
        <v>0.19</v>
      </c>
      <c r="J31" s="368"/>
      <c r="K31" s="354"/>
      <c r="L31" s="368"/>
      <c r="M31" s="368"/>
      <c r="N31" s="368"/>
      <c r="O31" s="368" t="str">
        <f>IF(I31*M31=0, "", I31*M31*(N31/100))</f>
        <v/>
      </c>
      <c r="P31" s="357"/>
      <c r="Q31" s="357">
        <f>TRUNC(P31*M31*N31/100)</f>
        <v>0</v>
      </c>
      <c r="R31" s="357"/>
      <c r="S31" s="368"/>
      <c r="T31" s="368"/>
    </row>
    <row r="32" spans="2:33" ht="21.95" customHeight="1">
      <c r="B32" s="344" t="s">
        <v>208</v>
      </c>
      <c r="D32" s="714" t="s">
        <v>2999</v>
      </c>
      <c r="E32" s="724"/>
      <c r="F32" s="724"/>
      <c r="G32" s="724"/>
      <c r="H32" s="724"/>
      <c r="I32" s="724"/>
      <c r="J32" s="724"/>
      <c r="K32" s="724"/>
      <c r="L32" s="724"/>
      <c r="M32" s="724"/>
      <c r="N32" s="724"/>
      <c r="O32" s="724"/>
      <c r="P32" s="724"/>
      <c r="Q32" s="724"/>
      <c r="R32" s="724"/>
      <c r="S32" s="724"/>
      <c r="T32" s="725"/>
    </row>
    <row r="33" spans="2:32" ht="21.95" customHeight="1">
      <c r="B33" s="344" t="s">
        <v>2987</v>
      </c>
      <c r="C33" s="344" t="s">
        <v>3000</v>
      </c>
      <c r="D33" s="354" t="s">
        <v>3001</v>
      </c>
      <c r="E33" s="354" t="s">
        <v>3002</v>
      </c>
      <c r="F33" s="368" t="s">
        <v>212</v>
      </c>
      <c r="G33" s="368">
        <v>1</v>
      </c>
      <c r="H33" s="368">
        <f>IF(I33&lt;&gt;0, G33-I33, "")</f>
        <v>0</v>
      </c>
      <c r="I33" s="368">
        <v>1</v>
      </c>
      <c r="J33" s="368"/>
      <c r="K33" s="354" t="s">
        <v>1850</v>
      </c>
      <c r="L33" s="368" t="s">
        <v>1851</v>
      </c>
      <c r="M33" s="368">
        <v>0.31</v>
      </c>
      <c r="N33" s="368">
        <v>100</v>
      </c>
      <c r="O33" s="368">
        <f>IF(I33*M33=0, "", I33*M33*(N33/100))</f>
        <v>0.31</v>
      </c>
      <c r="P33" s="357"/>
      <c r="Q33" s="357">
        <f>TRUNC(P33*M33*N33/100)</f>
        <v>0</v>
      </c>
      <c r="R33" s="357"/>
      <c r="S33" s="368" t="s">
        <v>3003</v>
      </c>
      <c r="T33" s="368"/>
      <c r="AA33" s="347">
        <f>O33</f>
        <v>0.31</v>
      </c>
    </row>
    <row r="34" spans="2:32" ht="21.95" customHeight="1">
      <c r="B34" s="344" t="s">
        <v>2987</v>
      </c>
      <c r="C34" s="344" t="s">
        <v>1850</v>
      </c>
      <c r="D34" s="354" t="s">
        <v>1664</v>
      </c>
      <c r="E34" s="354" t="s">
        <v>1851</v>
      </c>
      <c r="F34" s="368" t="s">
        <v>1852</v>
      </c>
      <c r="G34" s="368">
        <f>IF(H34*I34/100+0.000005 &lt;1, TRUNC(H34*I34/100+0.000005, 옵션!$E$13), TRUNC(H34*I34/100+0.000005, 옵션!$E$13))</f>
        <v>0.31</v>
      </c>
      <c r="H34" s="368">
        <f>옵션!$B$13</f>
        <v>100</v>
      </c>
      <c r="I34" s="368">
        <f>SUM(AA33:AA33)</f>
        <v>0.31</v>
      </c>
      <c r="J34" s="368"/>
      <c r="K34" s="354"/>
      <c r="L34" s="368"/>
      <c r="M34" s="368"/>
      <c r="N34" s="368"/>
      <c r="O34" s="368" t="str">
        <f>IF(I34*M34=0, "", I34*M34*(N34/100))</f>
        <v/>
      </c>
      <c r="P34" s="357"/>
      <c r="Q34" s="357">
        <f>TRUNC(P34*M34*N34/100)</f>
        <v>0</v>
      </c>
      <c r="R34" s="357"/>
      <c r="S34" s="368"/>
      <c r="T34" s="368"/>
      <c r="Z34" s="347" t="s">
        <v>2989</v>
      </c>
      <c r="AA34" s="347">
        <f>SUM(AA33:AA33)</f>
        <v>0.31</v>
      </c>
    </row>
    <row r="35" spans="2:32" ht="21.95" customHeight="1">
      <c r="B35" s="344" t="s">
        <v>208</v>
      </c>
      <c r="D35" s="714" t="s">
        <v>3004</v>
      </c>
      <c r="E35" s="724"/>
      <c r="F35" s="724"/>
      <c r="G35" s="724"/>
      <c r="H35" s="724"/>
      <c r="I35" s="724"/>
      <c r="J35" s="724"/>
      <c r="K35" s="724"/>
      <c r="L35" s="724"/>
      <c r="M35" s="724"/>
      <c r="N35" s="724"/>
      <c r="O35" s="724"/>
      <c r="P35" s="724"/>
      <c r="Q35" s="724"/>
      <c r="R35" s="724"/>
      <c r="S35" s="724"/>
      <c r="T35" s="725"/>
    </row>
    <row r="36" spans="2:32" ht="21.95" customHeight="1">
      <c r="B36" s="344" t="s">
        <v>2987</v>
      </c>
      <c r="C36" s="344" t="s">
        <v>1920</v>
      </c>
      <c r="D36" s="354" t="s">
        <v>1921</v>
      </c>
      <c r="E36" s="354" t="s">
        <v>284</v>
      </c>
      <c r="F36" s="368" t="s">
        <v>265</v>
      </c>
      <c r="G36" s="368">
        <v>1</v>
      </c>
      <c r="H36" s="368">
        <f>IF(I36&lt;&gt;0, G36-I36, "")</f>
        <v>0</v>
      </c>
      <c r="I36" s="368">
        <v>1</v>
      </c>
      <c r="J36" s="368"/>
      <c r="K36" s="354" t="s">
        <v>1850</v>
      </c>
      <c r="L36" s="368" t="s">
        <v>1851</v>
      </c>
      <c r="M36" s="368">
        <v>0.04</v>
      </c>
      <c r="N36" s="368">
        <v>100</v>
      </c>
      <c r="O36" s="368">
        <f>IF(I36*M36=0, "", I36*M36*(N36/100))</f>
        <v>0.04</v>
      </c>
      <c r="P36" s="357"/>
      <c r="Q36" s="357">
        <f>TRUNC(P36*M36*N36/100)</f>
        <v>0</v>
      </c>
      <c r="R36" s="357"/>
      <c r="S36" s="368" t="s">
        <v>2998</v>
      </c>
      <c r="T36" s="368"/>
      <c r="AA36" s="347">
        <f>O36</f>
        <v>0.04</v>
      </c>
    </row>
    <row r="37" spans="2:32" ht="21.95" customHeight="1">
      <c r="B37" s="344" t="s">
        <v>2987</v>
      </c>
      <c r="C37" s="344" t="s">
        <v>1920</v>
      </c>
      <c r="D37" s="354"/>
      <c r="E37" s="354"/>
      <c r="F37" s="368"/>
      <c r="G37" s="368">
        <v>1</v>
      </c>
      <c r="H37" s="368">
        <f>IF(I37&lt;&gt;0, G37-I37, "")</f>
        <v>0</v>
      </c>
      <c r="I37" s="368">
        <v>1</v>
      </c>
      <c r="J37" s="368"/>
      <c r="K37" s="354" t="s">
        <v>1888</v>
      </c>
      <c r="L37" s="368" t="s">
        <v>1889</v>
      </c>
      <c r="M37" s="368">
        <v>9.5000000000000001E-2</v>
      </c>
      <c r="N37" s="368">
        <v>100</v>
      </c>
      <c r="O37" s="368">
        <f>IF(I37*M37=0, "", I37*M37*(N37/100))</f>
        <v>9.5000000000000001E-2</v>
      </c>
      <c r="P37" s="357"/>
      <c r="Q37" s="357">
        <f>TRUNC(P37*M37*N37/100)</f>
        <v>0</v>
      </c>
      <c r="R37" s="357"/>
      <c r="S37" s="368" t="s">
        <v>2998</v>
      </c>
      <c r="T37" s="368"/>
      <c r="AF37" s="347">
        <f>O37</f>
        <v>9.5000000000000001E-2</v>
      </c>
    </row>
    <row r="38" spans="2:32" ht="21.95" customHeight="1">
      <c r="B38" s="344" t="s">
        <v>2987</v>
      </c>
      <c r="C38" s="344" t="s">
        <v>1850</v>
      </c>
      <c r="D38" s="354" t="s">
        <v>1664</v>
      </c>
      <c r="E38" s="354" t="s">
        <v>1851</v>
      </c>
      <c r="F38" s="368" t="s">
        <v>1852</v>
      </c>
      <c r="G38" s="368">
        <f>IF(H38*I38/100+0.000005 &lt;1, TRUNC(H38*I38/100+0.000005, 옵션!$E$13), TRUNC(H38*I38/100+0.000005, 옵션!$E$13))</f>
        <v>0.04</v>
      </c>
      <c r="H38" s="368">
        <f>옵션!$B$13</f>
        <v>100</v>
      </c>
      <c r="I38" s="368">
        <f>SUM(AA36:AA37)</f>
        <v>0.04</v>
      </c>
      <c r="J38" s="368"/>
      <c r="K38" s="354"/>
      <c r="L38" s="368"/>
      <c r="M38" s="368"/>
      <c r="N38" s="368"/>
      <c r="O38" s="368" t="str">
        <f>IF(I38*M38=0, "", I38*M38*(N38/100))</f>
        <v/>
      </c>
      <c r="P38" s="357"/>
      <c r="Q38" s="357">
        <f>TRUNC(P38*M38*N38/100)</f>
        <v>0</v>
      </c>
      <c r="R38" s="357"/>
      <c r="S38" s="368"/>
      <c r="T38" s="368"/>
      <c r="Z38" s="347" t="s">
        <v>2989</v>
      </c>
      <c r="AA38" s="347">
        <f>SUM(AA36:AA37)</f>
        <v>0.04</v>
      </c>
      <c r="AF38" s="347">
        <f>SUM(AF36:AF37)</f>
        <v>9.5000000000000001E-2</v>
      </c>
    </row>
    <row r="39" spans="2:32" ht="21.95" customHeight="1">
      <c r="B39" s="344" t="s">
        <v>2987</v>
      </c>
      <c r="C39" s="344" t="s">
        <v>1888</v>
      </c>
      <c r="D39" s="354" t="s">
        <v>1664</v>
      </c>
      <c r="E39" s="354" t="s">
        <v>1889</v>
      </c>
      <c r="F39" s="368" t="s">
        <v>1852</v>
      </c>
      <c r="G39" s="368">
        <f>IF(H39*I39/100+0.000005 &lt;1, TRUNC(H39*I39/100+0.000005, 옵션!$E$13), TRUNC(H39*I39/100+0.000005, 옵션!$E$13))</f>
        <v>9.5000000000000001E-2</v>
      </c>
      <c r="H39" s="368">
        <f>옵션!$B$13</f>
        <v>100</v>
      </c>
      <c r="I39" s="368">
        <f>SUM(AF36:AF37)</f>
        <v>9.5000000000000001E-2</v>
      </c>
      <c r="J39" s="368"/>
      <c r="K39" s="354"/>
      <c r="L39" s="368"/>
      <c r="M39" s="368"/>
      <c r="N39" s="368"/>
      <c r="O39" s="368" t="str">
        <f>IF(I39*M39=0, "", I39*M39*(N39/100))</f>
        <v/>
      </c>
      <c r="P39" s="357"/>
      <c r="Q39" s="357">
        <f>TRUNC(P39*M39*N39/100)</f>
        <v>0</v>
      </c>
      <c r="R39" s="357"/>
      <c r="S39" s="368"/>
      <c r="T39" s="368"/>
    </row>
    <row r="40" spans="2:32" ht="21.95" customHeight="1">
      <c r="B40" s="344" t="s">
        <v>208</v>
      </c>
      <c r="D40" s="714" t="s">
        <v>3005</v>
      </c>
      <c r="E40" s="724"/>
      <c r="F40" s="724"/>
      <c r="G40" s="724"/>
      <c r="H40" s="724"/>
      <c r="I40" s="724"/>
      <c r="J40" s="724"/>
      <c r="K40" s="724"/>
      <c r="L40" s="724"/>
      <c r="M40" s="724"/>
      <c r="N40" s="724"/>
      <c r="O40" s="724"/>
      <c r="P40" s="724"/>
      <c r="Q40" s="724"/>
      <c r="R40" s="724"/>
      <c r="S40" s="724"/>
      <c r="T40" s="725"/>
    </row>
    <row r="41" spans="2:32" ht="21.95" customHeight="1">
      <c r="B41" s="344" t="s">
        <v>2987</v>
      </c>
      <c r="C41" s="344" t="s">
        <v>1924</v>
      </c>
      <c r="D41" s="354" t="s">
        <v>394</v>
      </c>
      <c r="E41" s="354" t="s">
        <v>436</v>
      </c>
      <c r="F41" s="368" t="s">
        <v>255</v>
      </c>
      <c r="G41" s="368">
        <v>1</v>
      </c>
      <c r="H41" s="368">
        <f>IF(I41&lt;&gt;0, G41-I41, "")</f>
        <v>0</v>
      </c>
      <c r="I41" s="368">
        <v>1</v>
      </c>
      <c r="J41" s="368"/>
      <c r="K41" s="354" t="s">
        <v>1850</v>
      </c>
      <c r="L41" s="368" t="s">
        <v>1851</v>
      </c>
      <c r="M41" s="368">
        <v>0.11</v>
      </c>
      <c r="N41" s="368">
        <v>100</v>
      </c>
      <c r="O41" s="368">
        <f>IF(I41*M41=0, "", I41*M41*(N41/100))</f>
        <v>0.11</v>
      </c>
      <c r="P41" s="357"/>
      <c r="Q41" s="357">
        <f>TRUNC(P41*M41*N41/100)</f>
        <v>0</v>
      </c>
      <c r="R41" s="357"/>
      <c r="S41" s="368" t="s">
        <v>3006</v>
      </c>
      <c r="T41" s="368"/>
      <c r="AA41" s="347">
        <f>O41</f>
        <v>0.11</v>
      </c>
    </row>
    <row r="42" spans="2:32" ht="21.95" customHeight="1">
      <c r="B42" s="344" t="s">
        <v>2987</v>
      </c>
      <c r="C42" s="344" t="s">
        <v>1850</v>
      </c>
      <c r="D42" s="354" t="s">
        <v>1664</v>
      </c>
      <c r="E42" s="354" t="s">
        <v>1851</v>
      </c>
      <c r="F42" s="368" t="s">
        <v>1852</v>
      </c>
      <c r="G42" s="368">
        <f>IF(H42*I42/100+0.000005 &lt;1, TRUNC(H42*I42/100+0.000005, 옵션!$E$13), TRUNC(H42*I42/100+0.000005, 옵션!$E$13))</f>
        <v>0.11</v>
      </c>
      <c r="H42" s="368">
        <f>옵션!$B$13</f>
        <v>100</v>
      </c>
      <c r="I42" s="368">
        <f>SUM(AA41:AA41)</f>
        <v>0.11</v>
      </c>
      <c r="J42" s="368"/>
      <c r="K42" s="354"/>
      <c r="L42" s="368"/>
      <c r="M42" s="368"/>
      <c r="N42" s="368"/>
      <c r="O42" s="368" t="str">
        <f>IF(I42*M42=0, "", I42*M42*(N42/100))</f>
        <v/>
      </c>
      <c r="P42" s="357"/>
      <c r="Q42" s="357">
        <f>TRUNC(P42*M42*N42/100)</f>
        <v>0</v>
      </c>
      <c r="R42" s="357"/>
      <c r="S42" s="368"/>
      <c r="T42" s="368"/>
      <c r="Z42" s="347" t="s">
        <v>2989</v>
      </c>
      <c r="AA42" s="347">
        <f>SUM(AA41:AA41)</f>
        <v>0.11</v>
      </c>
    </row>
    <row r="43" spans="2:32" ht="21.95" customHeight="1">
      <c r="B43" s="344" t="s">
        <v>208</v>
      </c>
      <c r="D43" s="714" t="s">
        <v>3007</v>
      </c>
      <c r="E43" s="724"/>
      <c r="F43" s="724"/>
      <c r="G43" s="724"/>
      <c r="H43" s="724"/>
      <c r="I43" s="724"/>
      <c r="J43" s="724"/>
      <c r="K43" s="724"/>
      <c r="L43" s="724"/>
      <c r="M43" s="724"/>
      <c r="N43" s="724"/>
      <c r="O43" s="724"/>
      <c r="P43" s="724"/>
      <c r="Q43" s="724"/>
      <c r="R43" s="724"/>
      <c r="S43" s="724"/>
      <c r="T43" s="725"/>
    </row>
    <row r="44" spans="2:32" ht="21.95" customHeight="1">
      <c r="B44" s="344" t="s">
        <v>2987</v>
      </c>
      <c r="C44" s="344" t="s">
        <v>1930</v>
      </c>
      <c r="D44" s="354" t="s">
        <v>394</v>
      </c>
      <c r="E44" s="354" t="s">
        <v>393</v>
      </c>
      <c r="F44" s="368" t="s">
        <v>255</v>
      </c>
      <c r="G44" s="368">
        <v>1</v>
      </c>
      <c r="H44" s="368">
        <f>IF(I44&lt;&gt;0, G44-I44, "")</f>
        <v>0</v>
      </c>
      <c r="I44" s="368">
        <v>1</v>
      </c>
      <c r="J44" s="368"/>
      <c r="K44" s="354" t="s">
        <v>1850</v>
      </c>
      <c r="L44" s="368" t="s">
        <v>1851</v>
      </c>
      <c r="M44" s="368">
        <v>0.2</v>
      </c>
      <c r="N44" s="368">
        <v>100</v>
      </c>
      <c r="O44" s="368">
        <f>IF(I44*M44=0, "", I44*M44*(N44/100))</f>
        <v>0.2</v>
      </c>
      <c r="P44" s="357"/>
      <c r="Q44" s="357">
        <f>TRUNC(P44*M44*N44/100)</f>
        <v>0</v>
      </c>
      <c r="R44" s="357"/>
      <c r="S44" s="368" t="s">
        <v>3006</v>
      </c>
      <c r="T44" s="368"/>
      <c r="AA44" s="347">
        <f>O44</f>
        <v>0.2</v>
      </c>
    </row>
    <row r="45" spans="2:32" ht="21.95" customHeight="1">
      <c r="B45" s="344" t="s">
        <v>2987</v>
      </c>
      <c r="C45" s="344" t="s">
        <v>1850</v>
      </c>
      <c r="D45" s="354" t="s">
        <v>1664</v>
      </c>
      <c r="E45" s="354" t="s">
        <v>1851</v>
      </c>
      <c r="F45" s="368" t="s">
        <v>1852</v>
      </c>
      <c r="G45" s="368">
        <f>IF(H45*I45/100+0.000005 &lt;1, TRUNC(H45*I45/100+0.000005, 옵션!$E$13), TRUNC(H45*I45/100+0.000005, 옵션!$E$13))</f>
        <v>0.2</v>
      </c>
      <c r="H45" s="368">
        <f>옵션!$B$13</f>
        <v>100</v>
      </c>
      <c r="I45" s="368">
        <f>SUM(AA44:AA44)</f>
        <v>0.2</v>
      </c>
      <c r="J45" s="368"/>
      <c r="K45" s="354"/>
      <c r="L45" s="368"/>
      <c r="M45" s="368"/>
      <c r="N45" s="368"/>
      <c r="O45" s="368" t="str">
        <f>IF(I45*M45=0, "", I45*M45*(N45/100))</f>
        <v/>
      </c>
      <c r="P45" s="357"/>
      <c r="Q45" s="357">
        <f>TRUNC(P45*M45*N45/100)</f>
        <v>0</v>
      </c>
      <c r="R45" s="357"/>
      <c r="S45" s="368"/>
      <c r="T45" s="368"/>
      <c r="Z45" s="347" t="s">
        <v>2989</v>
      </c>
      <c r="AA45" s="347">
        <f>SUM(AA44:AA44)</f>
        <v>0.2</v>
      </c>
    </row>
    <row r="46" spans="2:32" ht="21.95" customHeight="1">
      <c r="B46" s="344" t="s">
        <v>208</v>
      </c>
      <c r="D46" s="714" t="s">
        <v>3008</v>
      </c>
      <c r="E46" s="724"/>
      <c r="F46" s="724"/>
      <c r="G46" s="724"/>
      <c r="H46" s="724"/>
      <c r="I46" s="724"/>
      <c r="J46" s="724"/>
      <c r="K46" s="724"/>
      <c r="L46" s="724"/>
      <c r="M46" s="724"/>
      <c r="N46" s="724"/>
      <c r="O46" s="724"/>
      <c r="P46" s="724"/>
      <c r="Q46" s="724"/>
      <c r="R46" s="724"/>
      <c r="S46" s="724"/>
      <c r="T46" s="725"/>
    </row>
    <row r="47" spans="2:32" ht="21.95" customHeight="1">
      <c r="B47" s="344" t="s">
        <v>2987</v>
      </c>
      <c r="C47" s="344" t="s">
        <v>1933</v>
      </c>
      <c r="D47" s="354" t="s">
        <v>394</v>
      </c>
      <c r="E47" s="354" t="s">
        <v>395</v>
      </c>
      <c r="F47" s="368" t="s">
        <v>255</v>
      </c>
      <c r="G47" s="368">
        <v>1</v>
      </c>
      <c r="H47" s="368">
        <f>IF(I47&lt;&gt;0, G47-I47, "")</f>
        <v>0</v>
      </c>
      <c r="I47" s="368">
        <v>1</v>
      </c>
      <c r="J47" s="368"/>
      <c r="K47" s="354" t="s">
        <v>1850</v>
      </c>
      <c r="L47" s="368" t="s">
        <v>1851</v>
      </c>
      <c r="M47" s="368">
        <v>0.71</v>
      </c>
      <c r="N47" s="368">
        <v>100</v>
      </c>
      <c r="O47" s="368">
        <f>IF(I47*M47=0, "", I47*M47*(N47/100))</f>
        <v>0.71</v>
      </c>
      <c r="P47" s="357"/>
      <c r="Q47" s="357">
        <f>TRUNC(P47*M47*N47/100)</f>
        <v>0</v>
      </c>
      <c r="R47" s="357"/>
      <c r="S47" s="368" t="s">
        <v>3006</v>
      </c>
      <c r="T47" s="368"/>
      <c r="AA47" s="347">
        <f>O47</f>
        <v>0.71</v>
      </c>
    </row>
    <row r="48" spans="2:32" ht="21.95" customHeight="1">
      <c r="B48" s="344" t="s">
        <v>2987</v>
      </c>
      <c r="C48" s="344" t="s">
        <v>1850</v>
      </c>
      <c r="D48" s="354" t="s">
        <v>1664</v>
      </c>
      <c r="E48" s="354" t="s">
        <v>1851</v>
      </c>
      <c r="F48" s="368" t="s">
        <v>1852</v>
      </c>
      <c r="G48" s="368">
        <f>IF(H48*I48/100+0.000005 &lt;1, TRUNC(H48*I48/100+0.000005, 옵션!$E$13), TRUNC(H48*I48/100+0.000005, 옵션!$E$13))</f>
        <v>0.71</v>
      </c>
      <c r="H48" s="368">
        <f>옵션!$B$13</f>
        <v>100</v>
      </c>
      <c r="I48" s="368">
        <f>SUM(AA47:AA47)</f>
        <v>0.71</v>
      </c>
      <c r="J48" s="368"/>
      <c r="K48" s="354"/>
      <c r="L48" s="368"/>
      <c r="M48" s="368"/>
      <c r="N48" s="368"/>
      <c r="O48" s="368" t="str">
        <f>IF(I48*M48=0, "", I48*M48*(N48/100))</f>
        <v/>
      </c>
      <c r="P48" s="357"/>
      <c r="Q48" s="357">
        <f>TRUNC(P48*M48*N48/100)</f>
        <v>0</v>
      </c>
      <c r="R48" s="357"/>
      <c r="S48" s="368"/>
      <c r="T48" s="368"/>
      <c r="Z48" s="347" t="s">
        <v>2989</v>
      </c>
      <c r="AA48" s="347">
        <f>SUM(AA47:AA47)</f>
        <v>0.71</v>
      </c>
    </row>
    <row r="49" spans="2:27" ht="21.95" customHeight="1">
      <c r="B49" s="344" t="s">
        <v>208</v>
      </c>
      <c r="D49" s="714" t="s">
        <v>3009</v>
      </c>
      <c r="E49" s="724"/>
      <c r="F49" s="724"/>
      <c r="G49" s="724"/>
      <c r="H49" s="724"/>
      <c r="I49" s="724"/>
      <c r="J49" s="724"/>
      <c r="K49" s="724"/>
      <c r="L49" s="724"/>
      <c r="M49" s="724"/>
      <c r="N49" s="724"/>
      <c r="O49" s="724"/>
      <c r="P49" s="724"/>
      <c r="Q49" s="724"/>
      <c r="R49" s="724"/>
      <c r="S49" s="724"/>
      <c r="T49" s="725"/>
    </row>
    <row r="50" spans="2:27" ht="21.95" customHeight="1">
      <c r="B50" s="344" t="s">
        <v>2987</v>
      </c>
      <c r="C50" s="344" t="s">
        <v>1936</v>
      </c>
      <c r="D50" s="354" t="s">
        <v>394</v>
      </c>
      <c r="E50" s="354" t="s">
        <v>436</v>
      </c>
      <c r="F50" s="368" t="s">
        <v>255</v>
      </c>
      <c r="G50" s="368">
        <v>1</v>
      </c>
      <c r="H50" s="368">
        <f>IF(I50&lt;&gt;0, G50-I50, "")</f>
        <v>0</v>
      </c>
      <c r="I50" s="368">
        <v>1</v>
      </c>
      <c r="J50" s="368"/>
      <c r="K50" s="354" t="s">
        <v>1850</v>
      </c>
      <c r="L50" s="368" t="s">
        <v>1851</v>
      </c>
      <c r="M50" s="368">
        <v>0.11</v>
      </c>
      <c r="N50" s="368">
        <v>120</v>
      </c>
      <c r="O50" s="368">
        <f>IF(I50*M50=0, "", I50*M50*(N50/100))</f>
        <v>0.13200000000000001</v>
      </c>
      <c r="P50" s="357"/>
      <c r="Q50" s="357">
        <f>TRUNC(P50*M50*N50/100)</f>
        <v>0</v>
      </c>
      <c r="R50" s="357"/>
      <c r="S50" s="368" t="s">
        <v>3006</v>
      </c>
      <c r="T50" s="368"/>
      <c r="AA50" s="347">
        <f>O50</f>
        <v>0.13200000000000001</v>
      </c>
    </row>
    <row r="51" spans="2:27" ht="21.95" customHeight="1">
      <c r="B51" s="344" t="s">
        <v>2987</v>
      </c>
      <c r="C51" s="344" t="s">
        <v>1850</v>
      </c>
      <c r="D51" s="354" t="s">
        <v>1664</v>
      </c>
      <c r="E51" s="354" t="s">
        <v>1851</v>
      </c>
      <c r="F51" s="368" t="s">
        <v>1852</v>
      </c>
      <c r="G51" s="368">
        <f>IF(H51*I51/100+0.000005 &lt;1, TRUNC(H51*I51/100+0.000005, 옵션!$E$13), TRUNC(H51*I51/100+0.000005, 옵션!$E$13))</f>
        <v>0.13200000000000001</v>
      </c>
      <c r="H51" s="368">
        <f>옵션!$B$13</f>
        <v>100</v>
      </c>
      <c r="I51" s="368">
        <f>SUM(AA50:AA50)</f>
        <v>0.13200000000000001</v>
      </c>
      <c r="J51" s="368"/>
      <c r="K51" s="354"/>
      <c r="L51" s="368"/>
      <c r="M51" s="368"/>
      <c r="N51" s="368"/>
      <c r="O51" s="368" t="str">
        <f>IF(I51*M51=0, "", I51*M51*(N51/100))</f>
        <v/>
      </c>
      <c r="P51" s="357"/>
      <c r="Q51" s="357">
        <f>TRUNC(P51*M51*N51/100)</f>
        <v>0</v>
      </c>
      <c r="R51" s="357"/>
      <c r="S51" s="368"/>
      <c r="T51" s="368"/>
      <c r="Z51" s="347" t="s">
        <v>2989</v>
      </c>
      <c r="AA51" s="347">
        <f>SUM(AA50:AA50)</f>
        <v>0.13200000000000001</v>
      </c>
    </row>
    <row r="52" spans="2:27" ht="21.95" customHeight="1">
      <c r="B52" s="344" t="s">
        <v>208</v>
      </c>
      <c r="D52" s="714" t="s">
        <v>3010</v>
      </c>
      <c r="E52" s="724"/>
      <c r="F52" s="724"/>
      <c r="G52" s="724"/>
      <c r="H52" s="724"/>
      <c r="I52" s="724"/>
      <c r="J52" s="724"/>
      <c r="K52" s="724"/>
      <c r="L52" s="724"/>
      <c r="M52" s="724"/>
      <c r="N52" s="724"/>
      <c r="O52" s="724"/>
      <c r="P52" s="724"/>
      <c r="Q52" s="724"/>
      <c r="R52" s="724"/>
      <c r="S52" s="724"/>
      <c r="T52" s="725"/>
    </row>
    <row r="53" spans="2:27" ht="21.95" customHeight="1">
      <c r="B53" s="344" t="s">
        <v>2987</v>
      </c>
      <c r="C53" s="344" t="s">
        <v>1939</v>
      </c>
      <c r="D53" s="354" t="s">
        <v>344</v>
      </c>
      <c r="E53" s="354" t="s">
        <v>532</v>
      </c>
      <c r="F53" s="368" t="s">
        <v>255</v>
      </c>
      <c r="G53" s="368">
        <v>1</v>
      </c>
      <c r="H53" s="368">
        <f>IF(I53&lt;&gt;0, G53-I53, "")</f>
        <v>0</v>
      </c>
      <c r="I53" s="368">
        <v>1</v>
      </c>
      <c r="J53" s="368"/>
      <c r="K53" s="354" t="s">
        <v>1850</v>
      </c>
      <c r="L53" s="368" t="s">
        <v>1851</v>
      </c>
      <c r="M53" s="368">
        <v>0.05</v>
      </c>
      <c r="N53" s="368">
        <v>100</v>
      </c>
      <c r="O53" s="368">
        <f>IF(I53*M53=0, "", I53*M53*(N53/100))</f>
        <v>0.05</v>
      </c>
      <c r="P53" s="357"/>
      <c r="Q53" s="357">
        <f>TRUNC(P53*M53*N53/100)</f>
        <v>0</v>
      </c>
      <c r="R53" s="357"/>
      <c r="S53" s="368" t="s">
        <v>3006</v>
      </c>
      <c r="T53" s="368"/>
      <c r="AA53" s="347">
        <f>O53</f>
        <v>0.05</v>
      </c>
    </row>
    <row r="54" spans="2:27" ht="21.95" customHeight="1">
      <c r="B54" s="344" t="s">
        <v>2987</v>
      </c>
      <c r="C54" s="344" t="s">
        <v>1850</v>
      </c>
      <c r="D54" s="354" t="s">
        <v>1664</v>
      </c>
      <c r="E54" s="354" t="s">
        <v>1851</v>
      </c>
      <c r="F54" s="368" t="s">
        <v>1852</v>
      </c>
      <c r="G54" s="368">
        <f>IF(H54*I54/100+0.000005 &lt;1, TRUNC(H54*I54/100+0.000005, 옵션!$E$13), TRUNC(H54*I54/100+0.000005, 옵션!$E$13))</f>
        <v>0.05</v>
      </c>
      <c r="H54" s="368">
        <f>옵션!$B$13</f>
        <v>100</v>
      </c>
      <c r="I54" s="368">
        <f>SUM(AA53:AA53)</f>
        <v>0.05</v>
      </c>
      <c r="J54" s="368"/>
      <c r="K54" s="354"/>
      <c r="L54" s="368"/>
      <c r="M54" s="368"/>
      <c r="N54" s="368"/>
      <c r="O54" s="368" t="str">
        <f>IF(I54*M54=0, "", I54*M54*(N54/100))</f>
        <v/>
      </c>
      <c r="P54" s="357"/>
      <c r="Q54" s="357">
        <f>TRUNC(P54*M54*N54/100)</f>
        <v>0</v>
      </c>
      <c r="R54" s="357"/>
      <c r="S54" s="368"/>
      <c r="T54" s="368"/>
      <c r="Z54" s="347" t="s">
        <v>2989</v>
      </c>
      <c r="AA54" s="347">
        <f>SUM(AA53:AA53)</f>
        <v>0.05</v>
      </c>
    </row>
    <row r="55" spans="2:27" ht="21.95" customHeight="1">
      <c r="B55" s="344" t="s">
        <v>208</v>
      </c>
      <c r="D55" s="714" t="s">
        <v>3011</v>
      </c>
      <c r="E55" s="724"/>
      <c r="F55" s="724"/>
      <c r="G55" s="724"/>
      <c r="H55" s="724"/>
      <c r="I55" s="724"/>
      <c r="J55" s="724"/>
      <c r="K55" s="724"/>
      <c r="L55" s="724"/>
      <c r="M55" s="724"/>
      <c r="N55" s="724"/>
      <c r="O55" s="724"/>
      <c r="P55" s="724"/>
      <c r="Q55" s="724"/>
      <c r="R55" s="724"/>
      <c r="S55" s="724"/>
      <c r="T55" s="725"/>
    </row>
    <row r="56" spans="2:27" ht="21.95" customHeight="1">
      <c r="B56" s="344" t="s">
        <v>2987</v>
      </c>
      <c r="C56" s="344" t="s">
        <v>1942</v>
      </c>
      <c r="D56" s="354" t="s">
        <v>344</v>
      </c>
      <c r="E56" s="354" t="s">
        <v>533</v>
      </c>
      <c r="F56" s="368" t="s">
        <v>255</v>
      </c>
      <c r="G56" s="368">
        <v>1</v>
      </c>
      <c r="H56" s="368">
        <f>IF(I56&lt;&gt;0, G56-I56, "")</f>
        <v>0</v>
      </c>
      <c r="I56" s="368">
        <v>1</v>
      </c>
      <c r="J56" s="368"/>
      <c r="K56" s="354" t="s">
        <v>1850</v>
      </c>
      <c r="L56" s="368" t="s">
        <v>1851</v>
      </c>
      <c r="M56" s="368">
        <v>0.08</v>
      </c>
      <c r="N56" s="368">
        <v>100</v>
      </c>
      <c r="O56" s="368">
        <f>IF(I56*M56=0, "", I56*M56*(N56/100))</f>
        <v>0.08</v>
      </c>
      <c r="P56" s="357"/>
      <c r="Q56" s="357">
        <f>TRUNC(P56*M56*N56/100)</f>
        <v>0</v>
      </c>
      <c r="R56" s="357"/>
      <c r="S56" s="368" t="s">
        <v>3006</v>
      </c>
      <c r="T56" s="368"/>
      <c r="AA56" s="347">
        <f>O56</f>
        <v>0.08</v>
      </c>
    </row>
    <row r="57" spans="2:27" ht="21.95" customHeight="1">
      <c r="B57" s="344" t="s">
        <v>2987</v>
      </c>
      <c r="C57" s="344" t="s">
        <v>1850</v>
      </c>
      <c r="D57" s="354" t="s">
        <v>1664</v>
      </c>
      <c r="E57" s="354" t="s">
        <v>1851</v>
      </c>
      <c r="F57" s="368" t="s">
        <v>1852</v>
      </c>
      <c r="G57" s="368">
        <f>IF(H57*I57/100+0.000005 &lt;1, TRUNC(H57*I57/100+0.000005, 옵션!$E$13), TRUNC(H57*I57/100+0.000005, 옵션!$E$13))</f>
        <v>0.08</v>
      </c>
      <c r="H57" s="368">
        <f>옵션!$B$13</f>
        <v>100</v>
      </c>
      <c r="I57" s="368">
        <f>SUM(AA56:AA56)</f>
        <v>0.08</v>
      </c>
      <c r="J57" s="368"/>
      <c r="K57" s="354"/>
      <c r="L57" s="368"/>
      <c r="M57" s="368"/>
      <c r="N57" s="368"/>
      <c r="O57" s="368" t="str">
        <f>IF(I57*M57=0, "", I57*M57*(N57/100))</f>
        <v/>
      </c>
      <c r="P57" s="357"/>
      <c r="Q57" s="357">
        <f>TRUNC(P57*M57*N57/100)</f>
        <v>0</v>
      </c>
      <c r="R57" s="357"/>
      <c r="S57" s="368"/>
      <c r="T57" s="368"/>
      <c r="Z57" s="347" t="s">
        <v>2989</v>
      </c>
      <c r="AA57" s="347">
        <f>SUM(AA56:AA56)</f>
        <v>0.08</v>
      </c>
    </row>
    <row r="58" spans="2:27" ht="21.95" customHeight="1">
      <c r="B58" s="344" t="s">
        <v>208</v>
      </c>
      <c r="D58" s="714" t="s">
        <v>3012</v>
      </c>
      <c r="E58" s="724"/>
      <c r="F58" s="724"/>
      <c r="G58" s="724"/>
      <c r="H58" s="724"/>
      <c r="I58" s="724"/>
      <c r="J58" s="724"/>
      <c r="K58" s="724"/>
      <c r="L58" s="724"/>
      <c r="M58" s="724"/>
      <c r="N58" s="724"/>
      <c r="O58" s="724"/>
      <c r="P58" s="724"/>
      <c r="Q58" s="724"/>
      <c r="R58" s="724"/>
      <c r="S58" s="724"/>
      <c r="T58" s="725"/>
    </row>
    <row r="59" spans="2:27" ht="21.95" customHeight="1">
      <c r="B59" s="344" t="s">
        <v>2987</v>
      </c>
      <c r="C59" s="344" t="s">
        <v>1945</v>
      </c>
      <c r="D59" s="354" t="s">
        <v>344</v>
      </c>
      <c r="E59" s="354" t="s">
        <v>345</v>
      </c>
      <c r="F59" s="368" t="s">
        <v>255</v>
      </c>
      <c r="G59" s="368">
        <v>1</v>
      </c>
      <c r="H59" s="368">
        <f>IF(I59&lt;&gt;0, G59-I59, "")</f>
        <v>0</v>
      </c>
      <c r="I59" s="368">
        <v>1</v>
      </c>
      <c r="J59" s="368"/>
      <c r="K59" s="354" t="s">
        <v>1850</v>
      </c>
      <c r="L59" s="368" t="s">
        <v>1851</v>
      </c>
      <c r="M59" s="368">
        <v>0.1</v>
      </c>
      <c r="N59" s="368">
        <v>100</v>
      </c>
      <c r="O59" s="368">
        <f>IF(I59*M59=0, "", I59*M59*(N59/100))</f>
        <v>0.1</v>
      </c>
      <c r="P59" s="357"/>
      <c r="Q59" s="357">
        <f>TRUNC(P59*M59*N59/100)</f>
        <v>0</v>
      </c>
      <c r="R59" s="357"/>
      <c r="S59" s="368" t="s">
        <v>3006</v>
      </c>
      <c r="T59" s="368"/>
      <c r="AA59" s="347">
        <f>O59</f>
        <v>0.1</v>
      </c>
    </row>
    <row r="60" spans="2:27" ht="21.95" customHeight="1">
      <c r="B60" s="344" t="s">
        <v>2987</v>
      </c>
      <c r="C60" s="344" t="s">
        <v>1850</v>
      </c>
      <c r="D60" s="354" t="s">
        <v>1664</v>
      </c>
      <c r="E60" s="354" t="s">
        <v>1851</v>
      </c>
      <c r="F60" s="368" t="s">
        <v>1852</v>
      </c>
      <c r="G60" s="368">
        <f>IF(H60*I60/100+0.000005 &lt;1, TRUNC(H60*I60/100+0.000005, 옵션!$E$13), TRUNC(H60*I60/100+0.000005, 옵션!$E$13))</f>
        <v>0.1</v>
      </c>
      <c r="H60" s="368">
        <f>옵션!$B$13</f>
        <v>100</v>
      </c>
      <c r="I60" s="368">
        <f>SUM(AA59:AA59)</f>
        <v>0.1</v>
      </c>
      <c r="J60" s="368"/>
      <c r="K60" s="354"/>
      <c r="L60" s="368"/>
      <c r="M60" s="368"/>
      <c r="N60" s="368"/>
      <c r="O60" s="368" t="str">
        <f>IF(I60*M60=0, "", I60*M60*(N60/100))</f>
        <v/>
      </c>
      <c r="P60" s="357"/>
      <c r="Q60" s="357">
        <f>TRUNC(P60*M60*N60/100)</f>
        <v>0</v>
      </c>
      <c r="R60" s="357"/>
      <c r="S60" s="368"/>
      <c r="T60" s="368"/>
      <c r="Z60" s="347" t="s">
        <v>2989</v>
      </c>
      <c r="AA60" s="347">
        <f>SUM(AA59:AA59)</f>
        <v>0.1</v>
      </c>
    </row>
    <row r="61" spans="2:27" ht="21.95" customHeight="1">
      <c r="B61" s="344" t="s">
        <v>208</v>
      </c>
      <c r="D61" s="714" t="s">
        <v>3013</v>
      </c>
      <c r="E61" s="724"/>
      <c r="F61" s="724"/>
      <c r="G61" s="724"/>
      <c r="H61" s="724"/>
      <c r="I61" s="724"/>
      <c r="J61" s="724"/>
      <c r="K61" s="724"/>
      <c r="L61" s="724"/>
      <c r="M61" s="724"/>
      <c r="N61" s="724"/>
      <c r="O61" s="724"/>
      <c r="P61" s="724"/>
      <c r="Q61" s="724"/>
      <c r="R61" s="724"/>
      <c r="S61" s="724"/>
      <c r="T61" s="725"/>
    </row>
    <row r="62" spans="2:27" ht="21.95" customHeight="1">
      <c r="B62" s="344" t="s">
        <v>2987</v>
      </c>
      <c r="C62" s="344" t="s">
        <v>1948</v>
      </c>
      <c r="D62" s="354" t="s">
        <v>344</v>
      </c>
      <c r="E62" s="354" t="s">
        <v>396</v>
      </c>
      <c r="F62" s="368" t="s">
        <v>255</v>
      </c>
      <c r="G62" s="368">
        <v>1</v>
      </c>
      <c r="H62" s="368">
        <f>IF(I62&lt;&gt;0, G62-I62, "")</f>
        <v>0</v>
      </c>
      <c r="I62" s="368">
        <v>1</v>
      </c>
      <c r="J62" s="368"/>
      <c r="K62" s="354" t="s">
        <v>1850</v>
      </c>
      <c r="L62" s="368" t="s">
        <v>1851</v>
      </c>
      <c r="M62" s="368">
        <v>0.13</v>
      </c>
      <c r="N62" s="368">
        <v>100</v>
      </c>
      <c r="O62" s="368">
        <f>IF(I62*M62=0, "", I62*M62*(N62/100))</f>
        <v>0.13</v>
      </c>
      <c r="P62" s="357"/>
      <c r="Q62" s="357">
        <f>TRUNC(P62*M62*N62/100)</f>
        <v>0</v>
      </c>
      <c r="R62" s="357"/>
      <c r="S62" s="368" t="s">
        <v>3006</v>
      </c>
      <c r="T62" s="368"/>
      <c r="AA62" s="347">
        <f>O62</f>
        <v>0.13</v>
      </c>
    </row>
    <row r="63" spans="2:27" ht="21.95" customHeight="1">
      <c r="B63" s="344" t="s">
        <v>2987</v>
      </c>
      <c r="C63" s="344" t="s">
        <v>1850</v>
      </c>
      <c r="D63" s="354" t="s">
        <v>1664</v>
      </c>
      <c r="E63" s="354" t="s">
        <v>1851</v>
      </c>
      <c r="F63" s="368" t="s">
        <v>1852</v>
      </c>
      <c r="G63" s="368">
        <f>IF(H63*I63/100+0.000005 &lt;1, TRUNC(H63*I63/100+0.000005, 옵션!$E$13), TRUNC(H63*I63/100+0.000005, 옵션!$E$13))</f>
        <v>0.13</v>
      </c>
      <c r="H63" s="368">
        <f>옵션!$B$13</f>
        <v>100</v>
      </c>
      <c r="I63" s="368">
        <f>SUM(AA62:AA62)</f>
        <v>0.13</v>
      </c>
      <c r="J63" s="368"/>
      <c r="K63" s="354"/>
      <c r="L63" s="368"/>
      <c r="M63" s="368"/>
      <c r="N63" s="368"/>
      <c r="O63" s="368" t="str">
        <f>IF(I63*M63=0, "", I63*M63*(N63/100))</f>
        <v/>
      </c>
      <c r="P63" s="357"/>
      <c r="Q63" s="357">
        <f>TRUNC(P63*M63*N63/100)</f>
        <v>0</v>
      </c>
      <c r="R63" s="357"/>
      <c r="S63" s="368"/>
      <c r="T63" s="368"/>
      <c r="Z63" s="347" t="s">
        <v>2989</v>
      </c>
      <c r="AA63" s="347">
        <f>SUM(AA62:AA62)</f>
        <v>0.13</v>
      </c>
    </row>
    <row r="64" spans="2:27" ht="21.95" customHeight="1">
      <c r="B64" s="344" t="s">
        <v>208</v>
      </c>
      <c r="D64" s="714" t="s">
        <v>3014</v>
      </c>
      <c r="E64" s="724"/>
      <c r="F64" s="724"/>
      <c r="G64" s="724"/>
      <c r="H64" s="724"/>
      <c r="I64" s="724"/>
      <c r="J64" s="724"/>
      <c r="K64" s="724"/>
      <c r="L64" s="724"/>
      <c r="M64" s="724"/>
      <c r="N64" s="724"/>
      <c r="O64" s="724"/>
      <c r="P64" s="724"/>
      <c r="Q64" s="724"/>
      <c r="R64" s="724"/>
      <c r="S64" s="724"/>
      <c r="T64" s="725"/>
    </row>
    <row r="65" spans="2:32" ht="21.95" customHeight="1">
      <c r="B65" s="344" t="s">
        <v>2987</v>
      </c>
      <c r="C65" s="344" t="s">
        <v>1951</v>
      </c>
      <c r="D65" s="354" t="s">
        <v>344</v>
      </c>
      <c r="E65" s="354" t="s">
        <v>254</v>
      </c>
      <c r="F65" s="368" t="s">
        <v>255</v>
      </c>
      <c r="G65" s="368">
        <v>1</v>
      </c>
      <c r="H65" s="368">
        <f>IF(I65&lt;&gt;0, G65-I65, "")</f>
        <v>0</v>
      </c>
      <c r="I65" s="368">
        <v>1</v>
      </c>
      <c r="J65" s="368"/>
      <c r="K65" s="354" t="s">
        <v>1850</v>
      </c>
      <c r="L65" s="368" t="s">
        <v>1851</v>
      </c>
      <c r="M65" s="368">
        <v>0.28000000000000003</v>
      </c>
      <c r="N65" s="368">
        <v>100</v>
      </c>
      <c r="O65" s="368">
        <f>IF(I65*M65=0, "", I65*M65*(N65/100))</f>
        <v>0.28000000000000003</v>
      </c>
      <c r="P65" s="357"/>
      <c r="Q65" s="357">
        <f>TRUNC(P65*M65*N65/100)</f>
        <v>0</v>
      </c>
      <c r="R65" s="357"/>
      <c r="S65" s="368" t="s">
        <v>3006</v>
      </c>
      <c r="T65" s="368"/>
      <c r="AA65" s="347">
        <f>O65</f>
        <v>0.28000000000000003</v>
      </c>
    </row>
    <row r="66" spans="2:32" ht="21.95" customHeight="1">
      <c r="B66" s="344" t="s">
        <v>2987</v>
      </c>
      <c r="C66" s="344" t="s">
        <v>1850</v>
      </c>
      <c r="D66" s="354" t="s">
        <v>1664</v>
      </c>
      <c r="E66" s="354" t="s">
        <v>1851</v>
      </c>
      <c r="F66" s="368" t="s">
        <v>1852</v>
      </c>
      <c r="G66" s="368">
        <f>IF(H66*I66/100+0.000005 &lt;1, TRUNC(H66*I66/100+0.000005, 옵션!$E$13), TRUNC(H66*I66/100+0.000005, 옵션!$E$13))</f>
        <v>0.28000000000000003</v>
      </c>
      <c r="H66" s="368">
        <f>옵션!$B$13</f>
        <v>100</v>
      </c>
      <c r="I66" s="368">
        <f>SUM(AA65:AA65)</f>
        <v>0.28000000000000003</v>
      </c>
      <c r="J66" s="368"/>
      <c r="K66" s="354"/>
      <c r="L66" s="368"/>
      <c r="M66" s="368"/>
      <c r="N66" s="368"/>
      <c r="O66" s="368" t="str">
        <f>IF(I66*M66=0, "", I66*M66*(N66/100))</f>
        <v/>
      </c>
      <c r="P66" s="357"/>
      <c r="Q66" s="357">
        <f>TRUNC(P66*M66*N66/100)</f>
        <v>0</v>
      </c>
      <c r="R66" s="357"/>
      <c r="S66" s="368"/>
      <c r="T66" s="368"/>
      <c r="Z66" s="347" t="s">
        <v>2989</v>
      </c>
      <c r="AA66" s="347">
        <f>SUM(AA65:AA65)</f>
        <v>0.28000000000000003</v>
      </c>
    </row>
    <row r="67" spans="2:32" ht="21.95" customHeight="1">
      <c r="B67" s="344" t="s">
        <v>208</v>
      </c>
      <c r="D67" s="714" t="s">
        <v>3015</v>
      </c>
      <c r="E67" s="724"/>
      <c r="F67" s="724"/>
      <c r="G67" s="724"/>
      <c r="H67" s="724"/>
      <c r="I67" s="724"/>
      <c r="J67" s="724"/>
      <c r="K67" s="724"/>
      <c r="L67" s="724"/>
      <c r="M67" s="724"/>
      <c r="N67" s="724"/>
      <c r="O67" s="724"/>
      <c r="P67" s="724"/>
      <c r="Q67" s="724"/>
      <c r="R67" s="724"/>
      <c r="S67" s="724"/>
      <c r="T67" s="725"/>
    </row>
    <row r="68" spans="2:32" ht="21.95" customHeight="1">
      <c r="B68" s="344" t="s">
        <v>2987</v>
      </c>
      <c r="C68" s="344" t="s">
        <v>1954</v>
      </c>
      <c r="D68" s="354" t="s">
        <v>344</v>
      </c>
      <c r="E68" s="354" t="s">
        <v>397</v>
      </c>
      <c r="F68" s="368" t="s">
        <v>255</v>
      </c>
      <c r="G68" s="368">
        <v>1</v>
      </c>
      <c r="H68" s="368">
        <f>IF(I68&lt;&gt;0, G68-I68, "")</f>
        <v>0</v>
      </c>
      <c r="I68" s="368">
        <v>1</v>
      </c>
      <c r="J68" s="368"/>
      <c r="K68" s="354" t="s">
        <v>1850</v>
      </c>
      <c r="L68" s="368" t="s">
        <v>1851</v>
      </c>
      <c r="M68" s="368">
        <v>0.46</v>
      </c>
      <c r="N68" s="368">
        <v>100</v>
      </c>
      <c r="O68" s="368">
        <f>IF(I68*M68=0, "", I68*M68*(N68/100))</f>
        <v>0.46</v>
      </c>
      <c r="P68" s="357"/>
      <c r="Q68" s="357">
        <f>TRUNC(P68*M68*N68/100)</f>
        <v>0</v>
      </c>
      <c r="R68" s="357"/>
      <c r="S68" s="368" t="s">
        <v>3006</v>
      </c>
      <c r="T68" s="368"/>
      <c r="AA68" s="347">
        <f>O68</f>
        <v>0.46</v>
      </c>
    </row>
    <row r="69" spans="2:32" ht="21.95" customHeight="1">
      <c r="B69" s="344" t="s">
        <v>2987</v>
      </c>
      <c r="C69" s="344" t="s">
        <v>1850</v>
      </c>
      <c r="D69" s="354" t="s">
        <v>1664</v>
      </c>
      <c r="E69" s="354" t="s">
        <v>1851</v>
      </c>
      <c r="F69" s="368" t="s">
        <v>1852</v>
      </c>
      <c r="G69" s="368">
        <f>IF(H69*I69/100+0.000005 &lt;1, TRUNC(H69*I69/100+0.000005, 옵션!$E$13), TRUNC(H69*I69/100+0.000005, 옵션!$E$13))</f>
        <v>0.46</v>
      </c>
      <c r="H69" s="368">
        <f>옵션!$B$13</f>
        <v>100</v>
      </c>
      <c r="I69" s="368">
        <f>SUM(AA68:AA68)</f>
        <v>0.46</v>
      </c>
      <c r="J69" s="368"/>
      <c r="K69" s="354"/>
      <c r="L69" s="368"/>
      <c r="M69" s="368"/>
      <c r="N69" s="368"/>
      <c r="O69" s="368" t="str">
        <f>IF(I69*M69=0, "", I69*M69*(N69/100))</f>
        <v/>
      </c>
      <c r="P69" s="357"/>
      <c r="Q69" s="357">
        <f>TRUNC(P69*M69*N69/100)</f>
        <v>0</v>
      </c>
      <c r="R69" s="357"/>
      <c r="S69" s="368"/>
      <c r="T69" s="368"/>
      <c r="Z69" s="347" t="s">
        <v>2989</v>
      </c>
      <c r="AA69" s="347">
        <f>SUM(AA68:AA68)</f>
        <v>0.46</v>
      </c>
    </row>
    <row r="70" spans="2:32" ht="21.95" customHeight="1">
      <c r="B70" s="344" t="s">
        <v>208</v>
      </c>
      <c r="D70" s="714" t="s">
        <v>3016</v>
      </c>
      <c r="E70" s="724"/>
      <c r="F70" s="724"/>
      <c r="G70" s="724"/>
      <c r="H70" s="724"/>
      <c r="I70" s="724"/>
      <c r="J70" s="724"/>
      <c r="K70" s="724"/>
      <c r="L70" s="724"/>
      <c r="M70" s="724"/>
      <c r="N70" s="724"/>
      <c r="O70" s="724"/>
      <c r="P70" s="724"/>
      <c r="Q70" s="724"/>
      <c r="R70" s="724"/>
      <c r="S70" s="724"/>
      <c r="T70" s="725"/>
    </row>
    <row r="71" spans="2:32" ht="21.95" customHeight="1">
      <c r="B71" s="344" t="s">
        <v>2987</v>
      </c>
      <c r="C71" s="344" t="s">
        <v>1957</v>
      </c>
      <c r="D71" s="354" t="s">
        <v>437</v>
      </c>
      <c r="E71" s="354" t="s">
        <v>1958</v>
      </c>
      <c r="F71" s="368" t="s">
        <v>255</v>
      </c>
      <c r="G71" s="368">
        <v>1</v>
      </c>
      <c r="H71" s="368">
        <f>IF(I71&lt;&gt;0, G71-I71, "")</f>
        <v>0</v>
      </c>
      <c r="I71" s="368">
        <v>1</v>
      </c>
      <c r="J71" s="368"/>
      <c r="K71" s="354" t="s">
        <v>1850</v>
      </c>
      <c r="L71" s="368" t="s">
        <v>1851</v>
      </c>
      <c r="M71" s="368">
        <v>4.8000000000000001E-2</v>
      </c>
      <c r="N71" s="368">
        <v>100</v>
      </c>
      <c r="O71" s="368">
        <f>IF(I71*M71=0, "", I71*M71*(N71/100))</f>
        <v>4.8000000000000001E-2</v>
      </c>
      <c r="P71" s="357"/>
      <c r="Q71" s="357">
        <f>TRUNC(P71*M71*N71/100)</f>
        <v>0</v>
      </c>
      <c r="R71" s="357"/>
      <c r="S71" s="368" t="s">
        <v>3006</v>
      </c>
      <c r="T71" s="368"/>
      <c r="AA71" s="347">
        <f>O71</f>
        <v>4.8000000000000001E-2</v>
      </c>
    </row>
    <row r="72" spans="2:32" ht="21.95" customHeight="1">
      <c r="B72" s="344" t="s">
        <v>2987</v>
      </c>
      <c r="C72" s="344" t="s">
        <v>1850</v>
      </c>
      <c r="D72" s="354" t="s">
        <v>1664</v>
      </c>
      <c r="E72" s="354" t="s">
        <v>1851</v>
      </c>
      <c r="F72" s="368" t="s">
        <v>1852</v>
      </c>
      <c r="G72" s="368">
        <f>IF(H72*I72/100+0.000005 &lt;1, TRUNC(H72*I72/100+0.000005, 옵션!$E$13), TRUNC(H72*I72/100+0.000005, 옵션!$E$13))</f>
        <v>4.8000000000000001E-2</v>
      </c>
      <c r="H72" s="368">
        <f>옵션!$B$13</f>
        <v>100</v>
      </c>
      <c r="I72" s="368">
        <f>SUM(AA71:AA71)</f>
        <v>4.8000000000000001E-2</v>
      </c>
      <c r="J72" s="368"/>
      <c r="K72" s="354"/>
      <c r="L72" s="368"/>
      <c r="M72" s="368"/>
      <c r="N72" s="368"/>
      <c r="O72" s="368" t="str">
        <f>IF(I72*M72=0, "", I72*M72*(N72/100))</f>
        <v/>
      </c>
      <c r="P72" s="357"/>
      <c r="Q72" s="357">
        <f>TRUNC(P72*M72*N72/100)</f>
        <v>0</v>
      </c>
      <c r="R72" s="357"/>
      <c r="S72" s="368"/>
      <c r="T72" s="368"/>
      <c r="Z72" s="347" t="s">
        <v>2989</v>
      </c>
      <c r="AA72" s="347">
        <f>SUM(AA71:AA71)</f>
        <v>4.8000000000000001E-2</v>
      </c>
    </row>
    <row r="73" spans="2:32" ht="21.95" customHeight="1">
      <c r="B73" s="344" t="s">
        <v>208</v>
      </c>
      <c r="D73" s="714" t="s">
        <v>3017</v>
      </c>
      <c r="E73" s="724"/>
      <c r="F73" s="724"/>
      <c r="G73" s="724"/>
      <c r="H73" s="724"/>
      <c r="I73" s="724"/>
      <c r="J73" s="724"/>
      <c r="K73" s="724"/>
      <c r="L73" s="724"/>
      <c r="M73" s="724"/>
      <c r="N73" s="724"/>
      <c r="O73" s="724"/>
      <c r="P73" s="724"/>
      <c r="Q73" s="724"/>
      <c r="R73" s="724"/>
      <c r="S73" s="724"/>
      <c r="T73" s="725"/>
    </row>
    <row r="74" spans="2:32" ht="21.95" customHeight="1">
      <c r="B74" s="344" t="s">
        <v>2987</v>
      </c>
      <c r="C74" s="344" t="s">
        <v>1963</v>
      </c>
      <c r="D74" s="354" t="s">
        <v>437</v>
      </c>
      <c r="E74" s="354" t="s">
        <v>1964</v>
      </c>
      <c r="F74" s="368" t="s">
        <v>255</v>
      </c>
      <c r="G74" s="368">
        <v>1</v>
      </c>
      <c r="H74" s="368">
        <f>IF(I74&lt;&gt;0, G74-I74, "")</f>
        <v>0</v>
      </c>
      <c r="I74" s="368">
        <v>1</v>
      </c>
      <c r="J74" s="368"/>
      <c r="K74" s="354" t="s">
        <v>1850</v>
      </c>
      <c r="L74" s="368" t="s">
        <v>1851</v>
      </c>
      <c r="M74" s="368">
        <v>6.4000000000000001E-2</v>
      </c>
      <c r="N74" s="368">
        <v>100</v>
      </c>
      <c r="O74" s="368">
        <f>IF(I74*M74=0, "", I74*M74*(N74/100))</f>
        <v>6.4000000000000001E-2</v>
      </c>
      <c r="P74" s="357"/>
      <c r="Q74" s="357">
        <f>TRUNC(P74*M74*N74/100)</f>
        <v>0</v>
      </c>
      <c r="R74" s="357"/>
      <c r="S74" s="368" t="s">
        <v>3006</v>
      </c>
      <c r="T74" s="368"/>
      <c r="AA74" s="347">
        <f>O74</f>
        <v>6.4000000000000001E-2</v>
      </c>
    </row>
    <row r="75" spans="2:32" ht="21.95" customHeight="1">
      <c r="B75" s="344" t="s">
        <v>2987</v>
      </c>
      <c r="C75" s="344" t="s">
        <v>1850</v>
      </c>
      <c r="D75" s="354" t="s">
        <v>1664</v>
      </c>
      <c r="E75" s="354" t="s">
        <v>1851</v>
      </c>
      <c r="F75" s="368" t="s">
        <v>1852</v>
      </c>
      <c r="G75" s="368">
        <f>IF(H75*I75/100+0.000005 &lt;1, TRUNC(H75*I75/100+0.000005, 옵션!$E$13), TRUNC(H75*I75/100+0.000005, 옵션!$E$13))</f>
        <v>6.4000000000000001E-2</v>
      </c>
      <c r="H75" s="368">
        <f>옵션!$B$13</f>
        <v>100</v>
      </c>
      <c r="I75" s="368">
        <f>SUM(AA74:AA74)</f>
        <v>6.4000000000000001E-2</v>
      </c>
      <c r="J75" s="368"/>
      <c r="K75" s="354"/>
      <c r="L75" s="368"/>
      <c r="M75" s="368"/>
      <c r="N75" s="368"/>
      <c r="O75" s="368" t="str">
        <f>IF(I75*M75=0, "", I75*M75*(N75/100))</f>
        <v/>
      </c>
      <c r="P75" s="357"/>
      <c r="Q75" s="357">
        <f>TRUNC(P75*M75*N75/100)</f>
        <v>0</v>
      </c>
      <c r="R75" s="357"/>
      <c r="S75" s="368"/>
      <c r="T75" s="368"/>
      <c r="Z75" s="347" t="s">
        <v>2989</v>
      </c>
      <c r="AA75" s="347">
        <f>SUM(AA74:AA74)</f>
        <v>6.4000000000000001E-2</v>
      </c>
    </row>
    <row r="76" spans="2:32" ht="21.95" customHeight="1">
      <c r="B76" s="344" t="s">
        <v>208</v>
      </c>
      <c r="D76" s="714" t="s">
        <v>3018</v>
      </c>
      <c r="E76" s="724"/>
      <c r="F76" s="724"/>
      <c r="G76" s="724"/>
      <c r="H76" s="724"/>
      <c r="I76" s="724"/>
      <c r="J76" s="724"/>
      <c r="K76" s="724"/>
      <c r="L76" s="724"/>
      <c r="M76" s="724"/>
      <c r="N76" s="724"/>
      <c r="O76" s="724"/>
      <c r="P76" s="724"/>
      <c r="Q76" s="724"/>
      <c r="R76" s="724"/>
      <c r="S76" s="724"/>
      <c r="T76" s="725"/>
    </row>
    <row r="77" spans="2:32" ht="21.95" customHeight="1">
      <c r="B77" s="344" t="s">
        <v>2987</v>
      </c>
      <c r="C77" s="344" t="s">
        <v>1967</v>
      </c>
      <c r="D77" s="354" t="s">
        <v>256</v>
      </c>
      <c r="E77" s="354" t="s">
        <v>346</v>
      </c>
      <c r="F77" s="368" t="s">
        <v>255</v>
      </c>
      <c r="G77" s="368">
        <v>1</v>
      </c>
      <c r="H77" s="368">
        <f>IF(I77&lt;&gt;0, G77-I77, "")</f>
        <v>0</v>
      </c>
      <c r="I77" s="368">
        <v>1</v>
      </c>
      <c r="J77" s="368"/>
      <c r="K77" s="354" t="s">
        <v>1968</v>
      </c>
      <c r="L77" s="368" t="s">
        <v>1969</v>
      </c>
      <c r="M77" s="368">
        <v>6.0000000000000001E-3</v>
      </c>
      <c r="N77" s="368">
        <v>100</v>
      </c>
      <c r="O77" s="368">
        <f>IF(I77*M77=0, "", I77*M77*(N77/100))</f>
        <v>6.0000000000000001E-3</v>
      </c>
      <c r="P77" s="357"/>
      <c r="Q77" s="357">
        <f>TRUNC(P77*M77*N77/100)</f>
        <v>0</v>
      </c>
      <c r="R77" s="357"/>
      <c r="S77" s="368" t="s">
        <v>3019</v>
      </c>
      <c r="T77" s="368"/>
      <c r="AD77" s="347">
        <f>O77</f>
        <v>6.0000000000000001E-3</v>
      </c>
    </row>
    <row r="78" spans="2:32" ht="21.95" customHeight="1">
      <c r="B78" s="344" t="s">
        <v>2987</v>
      </c>
      <c r="C78" s="344" t="s">
        <v>1967</v>
      </c>
      <c r="D78" s="354"/>
      <c r="E78" s="354"/>
      <c r="F78" s="368"/>
      <c r="G78" s="368">
        <v>1</v>
      </c>
      <c r="H78" s="368">
        <f>IF(I78&lt;&gt;0, G78-I78, "")</f>
        <v>0</v>
      </c>
      <c r="I78" s="368">
        <v>1</v>
      </c>
      <c r="J78" s="368"/>
      <c r="K78" s="354" t="s">
        <v>1888</v>
      </c>
      <c r="L78" s="368" t="s">
        <v>1889</v>
      </c>
      <c r="M78" s="368">
        <v>1.4E-2</v>
      </c>
      <c r="N78" s="368">
        <v>100</v>
      </c>
      <c r="O78" s="368">
        <f>IF(I78*M78=0, "", I78*M78*(N78/100))</f>
        <v>1.4E-2</v>
      </c>
      <c r="P78" s="357"/>
      <c r="Q78" s="357">
        <f>TRUNC(P78*M78*N78/100)</f>
        <v>0</v>
      </c>
      <c r="R78" s="357"/>
      <c r="S78" s="368" t="s">
        <v>3019</v>
      </c>
      <c r="T78" s="368"/>
      <c r="AF78" s="347">
        <f>O78</f>
        <v>1.4E-2</v>
      </c>
    </row>
    <row r="79" spans="2:32" ht="21.95" customHeight="1">
      <c r="B79" s="344" t="s">
        <v>2987</v>
      </c>
      <c r="C79" s="344" t="s">
        <v>1968</v>
      </c>
      <c r="D79" s="354" t="s">
        <v>1664</v>
      </c>
      <c r="E79" s="354" t="s">
        <v>1969</v>
      </c>
      <c r="F79" s="368" t="s">
        <v>1852</v>
      </c>
      <c r="G79" s="368">
        <f>IF(H79*I79/100+0.000005 &lt;1, TRUNC(H79*I79/100+0.000005, 옵션!$E$13), TRUNC(H79*I79/100+0.000005, 옵션!$E$13))</f>
        <v>6.0000000000000001E-3</v>
      </c>
      <c r="H79" s="368">
        <f>옵션!$B$13</f>
        <v>100</v>
      </c>
      <c r="I79" s="368">
        <f>SUM(AD77:AD78)</f>
        <v>6.0000000000000001E-3</v>
      </c>
      <c r="J79" s="368"/>
      <c r="K79" s="354"/>
      <c r="L79" s="368"/>
      <c r="M79" s="368"/>
      <c r="N79" s="368"/>
      <c r="O79" s="368" t="str">
        <f>IF(I79*M79=0, "", I79*M79*(N79/100))</f>
        <v/>
      </c>
      <c r="P79" s="357"/>
      <c r="Q79" s="357">
        <f>TRUNC(P79*M79*N79/100)</f>
        <v>0</v>
      </c>
      <c r="R79" s="357"/>
      <c r="S79" s="368"/>
      <c r="T79" s="368"/>
      <c r="Z79" s="347" t="s">
        <v>2989</v>
      </c>
      <c r="AD79" s="347">
        <f>SUM(AD77:AD78)</f>
        <v>6.0000000000000001E-3</v>
      </c>
      <c r="AF79" s="347">
        <f>SUM(AF77:AF78)</f>
        <v>1.4E-2</v>
      </c>
    </row>
    <row r="80" spans="2:32" ht="21.95" customHeight="1">
      <c r="B80" s="344" t="s">
        <v>2987</v>
      </c>
      <c r="C80" s="344" t="s">
        <v>1888</v>
      </c>
      <c r="D80" s="354" t="s">
        <v>1664</v>
      </c>
      <c r="E80" s="354" t="s">
        <v>1889</v>
      </c>
      <c r="F80" s="368" t="s">
        <v>1852</v>
      </c>
      <c r="G80" s="368">
        <f>IF(H80*I80/100+0.000005 &lt;1, TRUNC(H80*I80/100+0.000005, 옵션!$E$13), TRUNC(H80*I80/100+0.000005, 옵션!$E$13))</f>
        <v>1.4E-2</v>
      </c>
      <c r="H80" s="368">
        <f>옵션!$B$13</f>
        <v>100</v>
      </c>
      <c r="I80" s="368">
        <f>SUM(AF77:AF78)</f>
        <v>1.4E-2</v>
      </c>
      <c r="J80" s="368"/>
      <c r="K80" s="354"/>
      <c r="L80" s="368"/>
      <c r="M80" s="368"/>
      <c r="N80" s="368"/>
      <c r="O80" s="368" t="str">
        <f>IF(I80*M80=0, "", I80*M80*(N80/100))</f>
        <v/>
      </c>
      <c r="P80" s="357"/>
      <c r="Q80" s="357">
        <f>TRUNC(P80*M80*N80/100)</f>
        <v>0</v>
      </c>
      <c r="R80" s="357"/>
      <c r="S80" s="368"/>
      <c r="T80" s="368"/>
    </row>
    <row r="81" spans="2:32" ht="21.95" customHeight="1">
      <c r="B81" s="344" t="s">
        <v>208</v>
      </c>
      <c r="D81" s="714" t="s">
        <v>3020</v>
      </c>
      <c r="E81" s="724"/>
      <c r="F81" s="724"/>
      <c r="G81" s="724"/>
      <c r="H81" s="724"/>
      <c r="I81" s="724"/>
      <c r="J81" s="724"/>
      <c r="K81" s="724"/>
      <c r="L81" s="724"/>
      <c r="M81" s="724"/>
      <c r="N81" s="724"/>
      <c r="O81" s="724"/>
      <c r="P81" s="724"/>
      <c r="Q81" s="724"/>
      <c r="R81" s="724"/>
      <c r="S81" s="724"/>
      <c r="T81" s="725"/>
    </row>
    <row r="82" spans="2:32" ht="21.95" customHeight="1">
      <c r="B82" s="344" t="s">
        <v>2987</v>
      </c>
      <c r="C82" s="344" t="s">
        <v>1972</v>
      </c>
      <c r="D82" s="354" t="s">
        <v>256</v>
      </c>
      <c r="E82" s="354" t="s">
        <v>347</v>
      </c>
      <c r="F82" s="368" t="s">
        <v>255</v>
      </c>
      <c r="G82" s="368">
        <v>1</v>
      </c>
      <c r="H82" s="368">
        <f>IF(I82&lt;&gt;0, G82-I82, "")</f>
        <v>0</v>
      </c>
      <c r="I82" s="368">
        <v>1</v>
      </c>
      <c r="J82" s="368"/>
      <c r="K82" s="354" t="s">
        <v>1968</v>
      </c>
      <c r="L82" s="368" t="s">
        <v>1969</v>
      </c>
      <c r="M82" s="368">
        <v>1.6E-2</v>
      </c>
      <c r="N82" s="368">
        <v>100</v>
      </c>
      <c r="O82" s="368">
        <f>IF(I82*M82=0, "", I82*M82*(N82/100))</f>
        <v>1.6E-2</v>
      </c>
      <c r="P82" s="357"/>
      <c r="Q82" s="357">
        <f>TRUNC(P82*M82*N82/100)</f>
        <v>0</v>
      </c>
      <c r="R82" s="357"/>
      <c r="S82" s="368" t="s">
        <v>3019</v>
      </c>
      <c r="T82" s="368"/>
      <c r="AD82" s="347">
        <f>O82</f>
        <v>1.6E-2</v>
      </c>
    </row>
    <row r="83" spans="2:32" ht="21.95" customHeight="1">
      <c r="B83" s="344" t="s">
        <v>2987</v>
      </c>
      <c r="C83" s="344" t="s">
        <v>1972</v>
      </c>
      <c r="D83" s="354"/>
      <c r="E83" s="354"/>
      <c r="F83" s="368"/>
      <c r="G83" s="368">
        <v>1</v>
      </c>
      <c r="H83" s="368">
        <f>IF(I83&lt;&gt;0, G83-I83, "")</f>
        <v>0</v>
      </c>
      <c r="I83" s="368">
        <v>1</v>
      </c>
      <c r="J83" s="368"/>
      <c r="K83" s="354" t="s">
        <v>1888</v>
      </c>
      <c r="L83" s="368" t="s">
        <v>1889</v>
      </c>
      <c r="M83" s="368">
        <v>4.8000000000000001E-2</v>
      </c>
      <c r="N83" s="368">
        <v>100</v>
      </c>
      <c r="O83" s="368">
        <f>IF(I83*M83=0, "", I83*M83*(N83/100))</f>
        <v>4.8000000000000001E-2</v>
      </c>
      <c r="P83" s="357"/>
      <c r="Q83" s="357">
        <f>TRUNC(P83*M83*N83/100)</f>
        <v>0</v>
      </c>
      <c r="R83" s="357"/>
      <c r="S83" s="368" t="s">
        <v>3019</v>
      </c>
      <c r="T83" s="368"/>
      <c r="AF83" s="347">
        <f>O83</f>
        <v>4.8000000000000001E-2</v>
      </c>
    </row>
    <row r="84" spans="2:32" ht="21.95" customHeight="1">
      <c r="B84" s="344" t="s">
        <v>2987</v>
      </c>
      <c r="C84" s="344" t="s">
        <v>1968</v>
      </c>
      <c r="D84" s="354" t="s">
        <v>1664</v>
      </c>
      <c r="E84" s="354" t="s">
        <v>1969</v>
      </c>
      <c r="F84" s="368" t="s">
        <v>1852</v>
      </c>
      <c r="G84" s="368">
        <f>IF(H84*I84/100+0.000005 &lt;1, TRUNC(H84*I84/100+0.000005, 옵션!$E$13), TRUNC(H84*I84/100+0.000005, 옵션!$E$13))</f>
        <v>1.6E-2</v>
      </c>
      <c r="H84" s="368">
        <f>옵션!$B$13</f>
        <v>100</v>
      </c>
      <c r="I84" s="368">
        <f>SUM(AD82:AD83)</f>
        <v>1.6E-2</v>
      </c>
      <c r="J84" s="368"/>
      <c r="K84" s="354"/>
      <c r="L84" s="368"/>
      <c r="M84" s="368"/>
      <c r="N84" s="368"/>
      <c r="O84" s="368" t="str">
        <f>IF(I84*M84=0, "", I84*M84*(N84/100))</f>
        <v/>
      </c>
      <c r="P84" s="357"/>
      <c r="Q84" s="357">
        <f>TRUNC(P84*M84*N84/100)</f>
        <v>0</v>
      </c>
      <c r="R84" s="357"/>
      <c r="S84" s="368"/>
      <c r="T84" s="368"/>
      <c r="Z84" s="347" t="s">
        <v>2989</v>
      </c>
      <c r="AD84" s="347">
        <f>SUM(AD82:AD83)</f>
        <v>1.6E-2</v>
      </c>
      <c r="AF84" s="347">
        <f>SUM(AF82:AF83)</f>
        <v>4.8000000000000001E-2</v>
      </c>
    </row>
    <row r="85" spans="2:32" ht="21.95" customHeight="1">
      <c r="B85" s="344" t="s">
        <v>2987</v>
      </c>
      <c r="C85" s="344" t="s">
        <v>1888</v>
      </c>
      <c r="D85" s="354" t="s">
        <v>1664</v>
      </c>
      <c r="E85" s="354" t="s">
        <v>1889</v>
      </c>
      <c r="F85" s="368" t="s">
        <v>1852</v>
      </c>
      <c r="G85" s="368">
        <f>IF(H85*I85/100+0.000005 &lt;1, TRUNC(H85*I85/100+0.000005, 옵션!$E$13), TRUNC(H85*I85/100+0.000005, 옵션!$E$13))</f>
        <v>4.8000000000000001E-2</v>
      </c>
      <c r="H85" s="368">
        <f>옵션!$B$13</f>
        <v>100</v>
      </c>
      <c r="I85" s="368">
        <f>SUM(AF82:AF83)</f>
        <v>4.8000000000000001E-2</v>
      </c>
      <c r="J85" s="368"/>
      <c r="K85" s="354"/>
      <c r="L85" s="368"/>
      <c r="M85" s="368"/>
      <c r="N85" s="368"/>
      <c r="O85" s="368" t="str">
        <f>IF(I85*M85=0, "", I85*M85*(N85/100))</f>
        <v/>
      </c>
      <c r="P85" s="357"/>
      <c r="Q85" s="357">
        <f>TRUNC(P85*M85*N85/100)</f>
        <v>0</v>
      </c>
      <c r="R85" s="357"/>
      <c r="S85" s="368"/>
      <c r="T85" s="368"/>
    </row>
    <row r="86" spans="2:32" ht="21.95" customHeight="1">
      <c r="B86" s="344" t="s">
        <v>208</v>
      </c>
      <c r="D86" s="714" t="s">
        <v>3021</v>
      </c>
      <c r="E86" s="724"/>
      <c r="F86" s="724"/>
      <c r="G86" s="724"/>
      <c r="H86" s="724"/>
      <c r="I86" s="724"/>
      <c r="J86" s="724"/>
      <c r="K86" s="724"/>
      <c r="L86" s="724"/>
      <c r="M86" s="724"/>
      <c r="N86" s="724"/>
      <c r="O86" s="724"/>
      <c r="P86" s="724"/>
      <c r="Q86" s="724"/>
      <c r="R86" s="724"/>
      <c r="S86" s="724"/>
      <c r="T86" s="725"/>
    </row>
    <row r="87" spans="2:32" ht="21.95" customHeight="1">
      <c r="B87" s="344" t="s">
        <v>2987</v>
      </c>
      <c r="C87" s="344" t="s">
        <v>1975</v>
      </c>
      <c r="D87" s="354" t="s">
        <v>446</v>
      </c>
      <c r="E87" s="354" t="s">
        <v>447</v>
      </c>
      <c r="F87" s="368" t="s">
        <v>255</v>
      </c>
      <c r="G87" s="368">
        <v>1</v>
      </c>
      <c r="H87" s="368">
        <f>IF(I87&lt;&gt;0, G87-I87, "")</f>
        <v>0</v>
      </c>
      <c r="I87" s="368">
        <v>1</v>
      </c>
      <c r="J87" s="368"/>
      <c r="K87" s="354" t="s">
        <v>1850</v>
      </c>
      <c r="L87" s="368" t="s">
        <v>1851</v>
      </c>
      <c r="M87" s="368">
        <v>4.3999999999999997E-2</v>
      </c>
      <c r="N87" s="368">
        <v>100</v>
      </c>
      <c r="O87" s="368">
        <f>IF(I87*M87=0, "", I87*M87*(N87/100))</f>
        <v>4.3999999999999997E-2</v>
      </c>
      <c r="P87" s="357"/>
      <c r="Q87" s="357">
        <f>TRUNC(P87*M87*N87/100)</f>
        <v>0</v>
      </c>
      <c r="R87" s="357"/>
      <c r="S87" s="368" t="s">
        <v>3006</v>
      </c>
      <c r="T87" s="368"/>
      <c r="AA87" s="347">
        <f>O87</f>
        <v>4.3999999999999997E-2</v>
      </c>
    </row>
    <row r="88" spans="2:32" ht="21.95" customHeight="1">
      <c r="B88" s="344" t="s">
        <v>2987</v>
      </c>
      <c r="C88" s="344" t="s">
        <v>1850</v>
      </c>
      <c r="D88" s="354" t="s">
        <v>1664</v>
      </c>
      <c r="E88" s="354" t="s">
        <v>1851</v>
      </c>
      <c r="F88" s="368" t="s">
        <v>1852</v>
      </c>
      <c r="G88" s="368">
        <f>IF(H88*I88/100+0.000005 &lt;1, TRUNC(H88*I88/100+0.000005, 옵션!$E$13), TRUNC(H88*I88/100+0.000005, 옵션!$E$13))</f>
        <v>4.3999999999999997E-2</v>
      </c>
      <c r="H88" s="368">
        <f>옵션!$B$13</f>
        <v>100</v>
      </c>
      <c r="I88" s="368">
        <f>SUM(AA87:AA87)</f>
        <v>4.3999999999999997E-2</v>
      </c>
      <c r="J88" s="368"/>
      <c r="K88" s="354"/>
      <c r="L88" s="368"/>
      <c r="M88" s="368"/>
      <c r="N88" s="368"/>
      <c r="O88" s="368" t="str">
        <f>IF(I88*M88=0, "", I88*M88*(N88/100))</f>
        <v/>
      </c>
      <c r="P88" s="357"/>
      <c r="Q88" s="357">
        <f>TRUNC(P88*M88*N88/100)</f>
        <v>0</v>
      </c>
      <c r="R88" s="357"/>
      <c r="S88" s="368"/>
      <c r="T88" s="368"/>
      <c r="Z88" s="347" t="s">
        <v>2989</v>
      </c>
      <c r="AA88" s="347">
        <f>SUM(AA87:AA87)</f>
        <v>4.3999999999999997E-2</v>
      </c>
    </row>
    <row r="89" spans="2:32" ht="21.95" customHeight="1">
      <c r="B89" s="344" t="s">
        <v>208</v>
      </c>
      <c r="D89" s="714" t="s">
        <v>3022</v>
      </c>
      <c r="E89" s="724"/>
      <c r="F89" s="724"/>
      <c r="G89" s="724"/>
      <c r="H89" s="724"/>
      <c r="I89" s="724"/>
      <c r="J89" s="724"/>
      <c r="K89" s="724"/>
      <c r="L89" s="724"/>
      <c r="M89" s="724"/>
      <c r="N89" s="724"/>
      <c r="O89" s="724"/>
      <c r="P89" s="724"/>
      <c r="Q89" s="724"/>
      <c r="R89" s="724"/>
      <c r="S89" s="724"/>
      <c r="T89" s="725"/>
    </row>
    <row r="90" spans="2:32" ht="21.95" customHeight="1">
      <c r="B90" s="344" t="s">
        <v>2987</v>
      </c>
      <c r="C90" s="344" t="s">
        <v>1978</v>
      </c>
      <c r="D90" s="354" t="s">
        <v>446</v>
      </c>
      <c r="E90" s="354" t="s">
        <v>523</v>
      </c>
      <c r="F90" s="368" t="s">
        <v>255</v>
      </c>
      <c r="G90" s="368">
        <v>1</v>
      </c>
      <c r="H90" s="368">
        <f>IF(I90&lt;&gt;0, G90-I90, "")</f>
        <v>0</v>
      </c>
      <c r="I90" s="368">
        <v>1</v>
      </c>
      <c r="J90" s="368"/>
      <c r="K90" s="354" t="s">
        <v>1850</v>
      </c>
      <c r="L90" s="368" t="s">
        <v>1851</v>
      </c>
      <c r="M90" s="368">
        <v>5.8999999999999997E-2</v>
      </c>
      <c r="N90" s="368">
        <v>100</v>
      </c>
      <c r="O90" s="368">
        <f>IF(I90*M90=0, "", I90*M90*(N90/100))</f>
        <v>5.8999999999999997E-2</v>
      </c>
      <c r="P90" s="357"/>
      <c r="Q90" s="357">
        <f>TRUNC(P90*M90*N90/100)</f>
        <v>0</v>
      </c>
      <c r="R90" s="357"/>
      <c r="S90" s="368" t="s">
        <v>3006</v>
      </c>
      <c r="T90" s="368"/>
      <c r="AA90" s="347">
        <f>O90</f>
        <v>5.8999999999999997E-2</v>
      </c>
    </row>
    <row r="91" spans="2:32" ht="21.95" customHeight="1">
      <c r="B91" s="344" t="s">
        <v>2987</v>
      </c>
      <c r="C91" s="344" t="s">
        <v>1850</v>
      </c>
      <c r="D91" s="354" t="s">
        <v>1664</v>
      </c>
      <c r="E91" s="354" t="s">
        <v>1851</v>
      </c>
      <c r="F91" s="368" t="s">
        <v>1852</v>
      </c>
      <c r="G91" s="368">
        <f>IF(H91*I91/100+0.000005 &lt;1, TRUNC(H91*I91/100+0.000005, 옵션!$E$13), TRUNC(H91*I91/100+0.000005, 옵션!$E$13))</f>
        <v>5.8999999999999997E-2</v>
      </c>
      <c r="H91" s="368">
        <f>옵션!$B$13</f>
        <v>100</v>
      </c>
      <c r="I91" s="368">
        <f>SUM(AA90:AA90)</f>
        <v>5.8999999999999997E-2</v>
      </c>
      <c r="J91" s="368"/>
      <c r="K91" s="354"/>
      <c r="L91" s="368"/>
      <c r="M91" s="368"/>
      <c r="N91" s="368"/>
      <c r="O91" s="368" t="str">
        <f>IF(I91*M91=0, "", I91*M91*(N91/100))</f>
        <v/>
      </c>
      <c r="P91" s="357"/>
      <c r="Q91" s="357">
        <f>TRUNC(P91*M91*N91/100)</f>
        <v>0</v>
      </c>
      <c r="R91" s="357"/>
      <c r="S91" s="368"/>
      <c r="T91" s="368"/>
      <c r="Z91" s="347" t="s">
        <v>2989</v>
      </c>
      <c r="AA91" s="347">
        <f>SUM(AA90:AA90)</f>
        <v>5.8999999999999997E-2</v>
      </c>
    </row>
    <row r="92" spans="2:32" ht="21.95" customHeight="1">
      <c r="B92" s="344" t="s">
        <v>208</v>
      </c>
      <c r="D92" s="714" t="s">
        <v>3023</v>
      </c>
      <c r="E92" s="724"/>
      <c r="F92" s="724"/>
      <c r="G92" s="724"/>
      <c r="H92" s="724"/>
      <c r="I92" s="724"/>
      <c r="J92" s="724"/>
      <c r="K92" s="724"/>
      <c r="L92" s="724"/>
      <c r="M92" s="724"/>
      <c r="N92" s="724"/>
      <c r="O92" s="724"/>
      <c r="P92" s="724"/>
      <c r="Q92" s="724"/>
      <c r="R92" s="724"/>
      <c r="S92" s="724"/>
      <c r="T92" s="725"/>
    </row>
    <row r="93" spans="2:32" ht="21.95" customHeight="1">
      <c r="B93" s="344" t="s">
        <v>2987</v>
      </c>
      <c r="C93" s="344" t="s">
        <v>1981</v>
      </c>
      <c r="D93" s="354" t="s">
        <v>446</v>
      </c>
      <c r="E93" s="354" t="s">
        <v>524</v>
      </c>
      <c r="F93" s="368" t="s">
        <v>255</v>
      </c>
      <c r="G93" s="368">
        <v>1</v>
      </c>
      <c r="H93" s="368">
        <f>IF(I93&lt;&gt;0, G93-I93, "")</f>
        <v>0</v>
      </c>
      <c r="I93" s="368">
        <v>1</v>
      </c>
      <c r="J93" s="368"/>
      <c r="K93" s="354" t="s">
        <v>1850</v>
      </c>
      <c r="L93" s="368" t="s">
        <v>1851</v>
      </c>
      <c r="M93" s="368">
        <v>8.6999999999999994E-2</v>
      </c>
      <c r="N93" s="368">
        <v>100</v>
      </c>
      <c r="O93" s="368">
        <f>IF(I93*M93=0, "", I93*M93*(N93/100))</f>
        <v>8.6999999999999994E-2</v>
      </c>
      <c r="P93" s="357"/>
      <c r="Q93" s="357">
        <f>TRUNC(P93*M93*N93/100)</f>
        <v>0</v>
      </c>
      <c r="R93" s="357"/>
      <c r="S93" s="368" t="s">
        <v>3006</v>
      </c>
      <c r="T93" s="368"/>
      <c r="AA93" s="347">
        <f>O93</f>
        <v>8.6999999999999994E-2</v>
      </c>
    </row>
    <row r="94" spans="2:32" ht="21.95" customHeight="1">
      <c r="B94" s="344" t="s">
        <v>2987</v>
      </c>
      <c r="C94" s="344" t="s">
        <v>1850</v>
      </c>
      <c r="D94" s="354" t="s">
        <v>1664</v>
      </c>
      <c r="E94" s="354" t="s">
        <v>1851</v>
      </c>
      <c r="F94" s="368" t="s">
        <v>1852</v>
      </c>
      <c r="G94" s="368">
        <f>IF(H94*I94/100+0.000005 &lt;1, TRUNC(H94*I94/100+0.000005, 옵션!$E$13), TRUNC(H94*I94/100+0.000005, 옵션!$E$13))</f>
        <v>8.6999999999999994E-2</v>
      </c>
      <c r="H94" s="368">
        <f>옵션!$B$13</f>
        <v>100</v>
      </c>
      <c r="I94" s="368">
        <f>SUM(AA93:AA93)</f>
        <v>8.6999999999999994E-2</v>
      </c>
      <c r="J94" s="368"/>
      <c r="K94" s="354"/>
      <c r="L94" s="368"/>
      <c r="M94" s="368"/>
      <c r="N94" s="368"/>
      <c r="O94" s="368" t="str">
        <f>IF(I94*M94=0, "", I94*M94*(N94/100))</f>
        <v/>
      </c>
      <c r="P94" s="357"/>
      <c r="Q94" s="357">
        <f>TRUNC(P94*M94*N94/100)</f>
        <v>0</v>
      </c>
      <c r="R94" s="357"/>
      <c r="S94" s="368"/>
      <c r="T94" s="368"/>
      <c r="Z94" s="347" t="s">
        <v>2989</v>
      </c>
      <c r="AA94" s="347">
        <f>SUM(AA93:AA93)</f>
        <v>8.6999999999999994E-2</v>
      </c>
    </row>
    <row r="95" spans="2:32" ht="21.95" customHeight="1">
      <c r="B95" s="344" t="s">
        <v>208</v>
      </c>
      <c r="D95" s="714" t="s">
        <v>3024</v>
      </c>
      <c r="E95" s="724"/>
      <c r="F95" s="724"/>
      <c r="G95" s="724"/>
      <c r="H95" s="724"/>
      <c r="I95" s="724"/>
      <c r="J95" s="724"/>
      <c r="K95" s="724"/>
      <c r="L95" s="724"/>
      <c r="M95" s="724"/>
      <c r="N95" s="724"/>
      <c r="O95" s="724"/>
      <c r="P95" s="724"/>
      <c r="Q95" s="724"/>
      <c r="R95" s="724"/>
      <c r="S95" s="724"/>
      <c r="T95" s="725"/>
    </row>
    <row r="96" spans="2:32" ht="21.95" customHeight="1">
      <c r="B96" s="344" t="s">
        <v>2987</v>
      </c>
      <c r="C96" s="344" t="s">
        <v>1990</v>
      </c>
      <c r="D96" s="354" t="s">
        <v>260</v>
      </c>
      <c r="E96" s="354" t="s">
        <v>348</v>
      </c>
      <c r="F96" s="368" t="s">
        <v>262</v>
      </c>
      <c r="G96" s="368">
        <v>1</v>
      </c>
      <c r="H96" s="368">
        <f>IF(I96&lt;&gt;0, G96-I96, "")</f>
        <v>0</v>
      </c>
      <c r="I96" s="368">
        <v>1</v>
      </c>
      <c r="J96" s="368"/>
      <c r="K96" s="354" t="s">
        <v>1991</v>
      </c>
      <c r="L96" s="368" t="s">
        <v>1992</v>
      </c>
      <c r="M96" s="368">
        <v>0.13200000000000001</v>
      </c>
      <c r="N96" s="368">
        <v>100</v>
      </c>
      <c r="O96" s="368">
        <f>IF(I96*M96=0, "", I96*M96*(N96/100))</f>
        <v>0.13200000000000001</v>
      </c>
      <c r="P96" s="357"/>
      <c r="Q96" s="357">
        <f>TRUNC(P96*M96*N96/100)</f>
        <v>0</v>
      </c>
      <c r="R96" s="357"/>
      <c r="S96" s="368" t="s">
        <v>2993</v>
      </c>
      <c r="T96" s="368"/>
      <c r="AB96" s="347">
        <f>O96</f>
        <v>0.13200000000000001</v>
      </c>
    </row>
    <row r="97" spans="2:32" ht="21.95" customHeight="1">
      <c r="B97" s="344" t="s">
        <v>2987</v>
      </c>
      <c r="C97" s="344" t="s">
        <v>1990</v>
      </c>
      <c r="D97" s="354"/>
      <c r="E97" s="354"/>
      <c r="F97" s="368"/>
      <c r="G97" s="368">
        <v>1</v>
      </c>
      <c r="H97" s="368">
        <f>IF(I97&lt;&gt;0, G97-I97, "")</f>
        <v>0</v>
      </c>
      <c r="I97" s="368">
        <v>1</v>
      </c>
      <c r="J97" s="368"/>
      <c r="K97" s="354" t="s">
        <v>1888</v>
      </c>
      <c r="L97" s="368" t="s">
        <v>1889</v>
      </c>
      <c r="M97" s="368">
        <v>0.13200000000000001</v>
      </c>
      <c r="N97" s="368">
        <v>100</v>
      </c>
      <c r="O97" s="368">
        <f>IF(I97*M97=0, "", I97*M97*(N97/100))</f>
        <v>0.13200000000000001</v>
      </c>
      <c r="P97" s="357"/>
      <c r="Q97" s="357">
        <f>TRUNC(P97*M97*N97/100)</f>
        <v>0</v>
      </c>
      <c r="R97" s="357"/>
      <c r="S97" s="368" t="s">
        <v>2993</v>
      </c>
      <c r="T97" s="368"/>
      <c r="AF97" s="347">
        <f>O97</f>
        <v>0.13200000000000001</v>
      </c>
    </row>
    <row r="98" spans="2:32" ht="21.95" customHeight="1">
      <c r="B98" s="344" t="s">
        <v>2987</v>
      </c>
      <c r="C98" s="344" t="s">
        <v>1991</v>
      </c>
      <c r="D98" s="354" t="s">
        <v>1664</v>
      </c>
      <c r="E98" s="354" t="s">
        <v>1992</v>
      </c>
      <c r="F98" s="368" t="s">
        <v>1852</v>
      </c>
      <c r="G98" s="368">
        <f>IF(H98*I98/100+0.000005 &lt;1, TRUNC(H98*I98/100+0.000005, 옵션!$E$13), TRUNC(H98*I98/100+0.000005, 옵션!$E$13))</f>
        <v>0.13200000000000001</v>
      </c>
      <c r="H98" s="368">
        <f>옵션!$B$13</f>
        <v>100</v>
      </c>
      <c r="I98" s="368">
        <f>SUM(AB96:AB97)</f>
        <v>0.13200000000000001</v>
      </c>
      <c r="J98" s="368"/>
      <c r="K98" s="354"/>
      <c r="L98" s="368"/>
      <c r="M98" s="368"/>
      <c r="N98" s="368"/>
      <c r="O98" s="368" t="str">
        <f>IF(I98*M98=0, "", I98*M98*(N98/100))</f>
        <v/>
      </c>
      <c r="P98" s="357"/>
      <c r="Q98" s="357">
        <f>TRUNC(P98*M98*N98/100)</f>
        <v>0</v>
      </c>
      <c r="R98" s="357"/>
      <c r="S98" s="368"/>
      <c r="T98" s="368"/>
      <c r="Z98" s="347" t="s">
        <v>2989</v>
      </c>
      <c r="AB98" s="347">
        <f>SUM(AB96:AB97)</f>
        <v>0.13200000000000001</v>
      </c>
      <c r="AF98" s="347">
        <f>SUM(AF96:AF97)</f>
        <v>0.13200000000000001</v>
      </c>
    </row>
    <row r="99" spans="2:32" ht="21.95" customHeight="1">
      <c r="B99" s="344" t="s">
        <v>2987</v>
      </c>
      <c r="C99" s="344" t="s">
        <v>1888</v>
      </c>
      <c r="D99" s="354" t="s">
        <v>1664</v>
      </c>
      <c r="E99" s="354" t="s">
        <v>1889</v>
      </c>
      <c r="F99" s="368" t="s">
        <v>1852</v>
      </c>
      <c r="G99" s="368">
        <f>IF(H99*I99/100+0.000005 &lt;1, TRUNC(H99*I99/100+0.000005, 옵션!$E$13), TRUNC(H99*I99/100+0.000005, 옵션!$E$13))</f>
        <v>0.13200000000000001</v>
      </c>
      <c r="H99" s="368">
        <f>옵션!$B$13</f>
        <v>100</v>
      </c>
      <c r="I99" s="368">
        <f>SUM(AF96:AF97)</f>
        <v>0.13200000000000001</v>
      </c>
      <c r="J99" s="368"/>
      <c r="K99" s="354"/>
      <c r="L99" s="368"/>
      <c r="M99" s="368"/>
      <c r="N99" s="368"/>
      <c r="O99" s="368" t="str">
        <f>IF(I99*M99=0, "", I99*M99*(N99/100))</f>
        <v/>
      </c>
      <c r="P99" s="357"/>
      <c r="Q99" s="357">
        <f>TRUNC(P99*M99*N99/100)</f>
        <v>0</v>
      </c>
      <c r="R99" s="357"/>
      <c r="S99" s="368"/>
      <c r="T99" s="368"/>
    </row>
    <row r="100" spans="2:32" ht="21.95" customHeight="1">
      <c r="B100" s="344" t="s">
        <v>208</v>
      </c>
      <c r="D100" s="714" t="s">
        <v>3025</v>
      </c>
      <c r="E100" s="724"/>
      <c r="F100" s="724"/>
      <c r="G100" s="724"/>
      <c r="H100" s="724"/>
      <c r="I100" s="724"/>
      <c r="J100" s="724"/>
      <c r="K100" s="724"/>
      <c r="L100" s="724"/>
      <c r="M100" s="724"/>
      <c r="N100" s="724"/>
      <c r="O100" s="724"/>
      <c r="P100" s="724"/>
      <c r="Q100" s="724"/>
      <c r="R100" s="724"/>
      <c r="S100" s="724"/>
      <c r="T100" s="725"/>
    </row>
    <row r="101" spans="2:32" ht="21.95" customHeight="1">
      <c r="B101" s="344" t="s">
        <v>2987</v>
      </c>
      <c r="C101" s="344" t="s">
        <v>1995</v>
      </c>
      <c r="D101" s="354" t="s">
        <v>260</v>
      </c>
      <c r="E101" s="354" t="s">
        <v>261</v>
      </c>
      <c r="F101" s="368" t="s">
        <v>262</v>
      </c>
      <c r="G101" s="368">
        <v>1</v>
      </c>
      <c r="H101" s="368">
        <f>IF(I101&lt;&gt;0, G101-I101, "")</f>
        <v>0</v>
      </c>
      <c r="I101" s="368">
        <v>1</v>
      </c>
      <c r="J101" s="368"/>
      <c r="K101" s="354" t="s">
        <v>1991</v>
      </c>
      <c r="L101" s="368" t="s">
        <v>1992</v>
      </c>
      <c r="M101" s="368">
        <v>0.13200000000000001</v>
      </c>
      <c r="N101" s="368">
        <v>100</v>
      </c>
      <c r="O101" s="368">
        <f>IF(I101*M101=0, "", I101*M101*(N101/100))</f>
        <v>0.13200000000000001</v>
      </c>
      <c r="P101" s="357"/>
      <c r="Q101" s="357">
        <f>TRUNC(P101*M101*N101/100)</f>
        <v>0</v>
      </c>
      <c r="R101" s="357"/>
      <c r="S101" s="368" t="s">
        <v>2993</v>
      </c>
      <c r="T101" s="368"/>
      <c r="AB101" s="347">
        <f>O101</f>
        <v>0.13200000000000001</v>
      </c>
    </row>
    <row r="102" spans="2:32" ht="21.95" customHeight="1">
      <c r="B102" s="344" t="s">
        <v>2987</v>
      </c>
      <c r="C102" s="344" t="s">
        <v>1995</v>
      </c>
      <c r="D102" s="354"/>
      <c r="E102" s="354"/>
      <c r="F102" s="368"/>
      <c r="G102" s="368">
        <v>1</v>
      </c>
      <c r="H102" s="368">
        <f>IF(I102&lt;&gt;0, G102-I102, "")</f>
        <v>0</v>
      </c>
      <c r="I102" s="368">
        <v>1</v>
      </c>
      <c r="J102" s="368"/>
      <c r="K102" s="354" t="s">
        <v>1888</v>
      </c>
      <c r="L102" s="368" t="s">
        <v>1889</v>
      </c>
      <c r="M102" s="368">
        <v>0.13200000000000001</v>
      </c>
      <c r="N102" s="368">
        <v>100</v>
      </c>
      <c r="O102" s="368">
        <f>IF(I102*M102=0, "", I102*M102*(N102/100))</f>
        <v>0.13200000000000001</v>
      </c>
      <c r="P102" s="357"/>
      <c r="Q102" s="357">
        <f>TRUNC(P102*M102*N102/100)</f>
        <v>0</v>
      </c>
      <c r="R102" s="357"/>
      <c r="S102" s="368" t="s">
        <v>2993</v>
      </c>
      <c r="T102" s="368"/>
      <c r="AF102" s="347">
        <f>O102</f>
        <v>0.13200000000000001</v>
      </c>
    </row>
    <row r="103" spans="2:32" ht="21.95" customHeight="1">
      <c r="B103" s="344" t="s">
        <v>2987</v>
      </c>
      <c r="C103" s="344" t="s">
        <v>1991</v>
      </c>
      <c r="D103" s="354" t="s">
        <v>1664</v>
      </c>
      <c r="E103" s="354" t="s">
        <v>1992</v>
      </c>
      <c r="F103" s="368" t="s">
        <v>1852</v>
      </c>
      <c r="G103" s="368">
        <f>IF(H103*I103/100+0.000005 &lt;1, TRUNC(H103*I103/100+0.000005, 옵션!$E$13), TRUNC(H103*I103/100+0.000005, 옵션!$E$13))</f>
        <v>0.13200000000000001</v>
      </c>
      <c r="H103" s="368">
        <f>옵션!$B$13</f>
        <v>100</v>
      </c>
      <c r="I103" s="368">
        <f>SUM(AB101:AB102)</f>
        <v>0.13200000000000001</v>
      </c>
      <c r="J103" s="368"/>
      <c r="K103" s="354"/>
      <c r="L103" s="368"/>
      <c r="M103" s="368"/>
      <c r="N103" s="368"/>
      <c r="O103" s="368" t="str">
        <f>IF(I103*M103=0, "", I103*M103*(N103/100))</f>
        <v/>
      </c>
      <c r="P103" s="357"/>
      <c r="Q103" s="357">
        <f>TRUNC(P103*M103*N103/100)</f>
        <v>0</v>
      </c>
      <c r="R103" s="357"/>
      <c r="S103" s="368"/>
      <c r="T103" s="368"/>
      <c r="Z103" s="347" t="s">
        <v>2989</v>
      </c>
      <c r="AB103" s="347">
        <f>SUM(AB101:AB102)</f>
        <v>0.13200000000000001</v>
      </c>
      <c r="AF103" s="347">
        <f>SUM(AF101:AF102)</f>
        <v>0.13200000000000001</v>
      </c>
    </row>
    <row r="104" spans="2:32" ht="21.95" customHeight="1">
      <c r="B104" s="344" t="s">
        <v>2987</v>
      </c>
      <c r="C104" s="344" t="s">
        <v>1888</v>
      </c>
      <c r="D104" s="354" t="s">
        <v>1664</v>
      </c>
      <c r="E104" s="354" t="s">
        <v>1889</v>
      </c>
      <c r="F104" s="368" t="s">
        <v>1852</v>
      </c>
      <c r="G104" s="368">
        <f>IF(H104*I104/100+0.000005 &lt;1, TRUNC(H104*I104/100+0.000005, 옵션!$E$13), TRUNC(H104*I104/100+0.000005, 옵션!$E$13))</f>
        <v>0.13200000000000001</v>
      </c>
      <c r="H104" s="368">
        <f>옵션!$B$13</f>
        <v>100</v>
      </c>
      <c r="I104" s="368">
        <f>SUM(AF101:AF102)</f>
        <v>0.13200000000000001</v>
      </c>
      <c r="J104" s="368"/>
      <c r="K104" s="354"/>
      <c r="L104" s="368"/>
      <c r="M104" s="368"/>
      <c r="N104" s="368"/>
      <c r="O104" s="368" t="str">
        <f>IF(I104*M104=0, "", I104*M104*(N104/100))</f>
        <v/>
      </c>
      <c r="P104" s="357"/>
      <c r="Q104" s="357">
        <f>TRUNC(P104*M104*N104/100)</f>
        <v>0</v>
      </c>
      <c r="R104" s="357"/>
      <c r="S104" s="368"/>
      <c r="T104" s="368"/>
    </row>
    <row r="105" spans="2:32" ht="21.95" customHeight="1">
      <c r="B105" s="344" t="s">
        <v>208</v>
      </c>
      <c r="D105" s="714" t="s">
        <v>3026</v>
      </c>
      <c r="E105" s="724"/>
      <c r="F105" s="724"/>
      <c r="G105" s="724"/>
      <c r="H105" s="724"/>
      <c r="I105" s="724"/>
      <c r="J105" s="724"/>
      <c r="K105" s="724"/>
      <c r="L105" s="724"/>
      <c r="M105" s="724"/>
      <c r="N105" s="724"/>
      <c r="O105" s="724"/>
      <c r="P105" s="724"/>
      <c r="Q105" s="724"/>
      <c r="R105" s="724"/>
      <c r="S105" s="724"/>
      <c r="T105" s="725"/>
    </row>
    <row r="106" spans="2:32" ht="21.95" customHeight="1">
      <c r="B106" s="344" t="s">
        <v>2987</v>
      </c>
      <c r="C106" s="344" t="s">
        <v>1998</v>
      </c>
      <c r="D106" s="354" t="s">
        <v>260</v>
      </c>
      <c r="E106" s="354" t="s">
        <v>398</v>
      </c>
      <c r="F106" s="368" t="s">
        <v>262</v>
      </c>
      <c r="G106" s="368">
        <v>1</v>
      </c>
      <c r="H106" s="368">
        <f>IF(I106&lt;&gt;0, G106-I106, "")</f>
        <v>0</v>
      </c>
      <c r="I106" s="368">
        <v>1</v>
      </c>
      <c r="J106" s="368"/>
      <c r="K106" s="354" t="s">
        <v>1991</v>
      </c>
      <c r="L106" s="368" t="s">
        <v>1992</v>
      </c>
      <c r="M106" s="368">
        <v>0.13200000000000001</v>
      </c>
      <c r="N106" s="368">
        <v>100</v>
      </c>
      <c r="O106" s="368">
        <f>IF(I106*M106=0, "", I106*M106*(N106/100))</f>
        <v>0.13200000000000001</v>
      </c>
      <c r="P106" s="357"/>
      <c r="Q106" s="357">
        <f>TRUNC(P106*M106*N106/100)</f>
        <v>0</v>
      </c>
      <c r="R106" s="357"/>
      <c r="S106" s="368" t="s">
        <v>2993</v>
      </c>
      <c r="T106" s="368"/>
      <c r="AB106" s="347">
        <f>O106</f>
        <v>0.13200000000000001</v>
      </c>
    </row>
    <row r="107" spans="2:32" ht="21.95" customHeight="1">
      <c r="B107" s="344" t="s">
        <v>2987</v>
      </c>
      <c r="C107" s="344" t="s">
        <v>1998</v>
      </c>
      <c r="D107" s="354"/>
      <c r="E107" s="354"/>
      <c r="F107" s="368"/>
      <c r="G107" s="368">
        <v>1</v>
      </c>
      <c r="H107" s="368">
        <f>IF(I107&lt;&gt;0, G107-I107, "")</f>
        <v>0</v>
      </c>
      <c r="I107" s="368">
        <v>1</v>
      </c>
      <c r="J107" s="368"/>
      <c r="K107" s="354" t="s">
        <v>1888</v>
      </c>
      <c r="L107" s="368" t="s">
        <v>1889</v>
      </c>
      <c r="M107" s="368">
        <v>0.13200000000000001</v>
      </c>
      <c r="N107" s="368">
        <v>100</v>
      </c>
      <c r="O107" s="368">
        <f>IF(I107*M107=0, "", I107*M107*(N107/100))</f>
        <v>0.13200000000000001</v>
      </c>
      <c r="P107" s="357"/>
      <c r="Q107" s="357">
        <f>TRUNC(P107*M107*N107/100)</f>
        <v>0</v>
      </c>
      <c r="R107" s="357"/>
      <c r="S107" s="368" t="s">
        <v>2993</v>
      </c>
      <c r="T107" s="368"/>
      <c r="AF107" s="347">
        <f>O107</f>
        <v>0.13200000000000001</v>
      </c>
    </row>
    <row r="108" spans="2:32" ht="21.95" customHeight="1">
      <c r="B108" s="344" t="s">
        <v>2987</v>
      </c>
      <c r="C108" s="344" t="s">
        <v>1991</v>
      </c>
      <c r="D108" s="354" t="s">
        <v>1664</v>
      </c>
      <c r="E108" s="354" t="s">
        <v>1992</v>
      </c>
      <c r="F108" s="368" t="s">
        <v>1852</v>
      </c>
      <c r="G108" s="368">
        <f>IF(H108*I108/100+0.000005 &lt;1, TRUNC(H108*I108/100+0.000005, 옵션!$E$13), TRUNC(H108*I108/100+0.000005, 옵션!$E$13))</f>
        <v>0.13200000000000001</v>
      </c>
      <c r="H108" s="368">
        <f>옵션!$B$13</f>
        <v>100</v>
      </c>
      <c r="I108" s="368">
        <f>SUM(AB106:AB107)</f>
        <v>0.13200000000000001</v>
      </c>
      <c r="J108" s="368"/>
      <c r="K108" s="354"/>
      <c r="L108" s="368"/>
      <c r="M108" s="368"/>
      <c r="N108" s="368"/>
      <c r="O108" s="368" t="str">
        <f>IF(I108*M108=0, "", I108*M108*(N108/100))</f>
        <v/>
      </c>
      <c r="P108" s="357"/>
      <c r="Q108" s="357">
        <f>TRUNC(P108*M108*N108/100)</f>
        <v>0</v>
      </c>
      <c r="R108" s="357"/>
      <c r="S108" s="368"/>
      <c r="T108" s="368"/>
      <c r="Z108" s="347" t="s">
        <v>2989</v>
      </c>
      <c r="AB108" s="347">
        <f>SUM(AB106:AB107)</f>
        <v>0.13200000000000001</v>
      </c>
      <c r="AF108" s="347">
        <f>SUM(AF106:AF107)</f>
        <v>0.13200000000000001</v>
      </c>
    </row>
    <row r="109" spans="2:32" ht="21.95" customHeight="1">
      <c r="B109" s="344" t="s">
        <v>2987</v>
      </c>
      <c r="C109" s="344" t="s">
        <v>1888</v>
      </c>
      <c r="D109" s="354" t="s">
        <v>1664</v>
      </c>
      <c r="E109" s="354" t="s">
        <v>1889</v>
      </c>
      <c r="F109" s="368" t="s">
        <v>1852</v>
      </c>
      <c r="G109" s="368">
        <f>IF(H109*I109/100+0.000005 &lt;1, TRUNC(H109*I109/100+0.000005, 옵션!$E$13), TRUNC(H109*I109/100+0.000005, 옵션!$E$13))</f>
        <v>0.13200000000000001</v>
      </c>
      <c r="H109" s="368">
        <f>옵션!$B$13</f>
        <v>100</v>
      </c>
      <c r="I109" s="368">
        <f>SUM(AF106:AF107)</f>
        <v>0.13200000000000001</v>
      </c>
      <c r="J109" s="368"/>
      <c r="K109" s="354"/>
      <c r="L109" s="368"/>
      <c r="M109" s="368"/>
      <c r="N109" s="368"/>
      <c r="O109" s="368" t="str">
        <f>IF(I109*M109=0, "", I109*M109*(N109/100))</f>
        <v/>
      </c>
      <c r="P109" s="357"/>
      <c r="Q109" s="357">
        <f>TRUNC(P109*M109*N109/100)</f>
        <v>0</v>
      </c>
      <c r="R109" s="357"/>
      <c r="S109" s="368"/>
      <c r="T109" s="368"/>
    </row>
    <row r="110" spans="2:32" ht="21.95" customHeight="1">
      <c r="B110" s="344" t="s">
        <v>208</v>
      </c>
      <c r="D110" s="714" t="s">
        <v>3027</v>
      </c>
      <c r="E110" s="724"/>
      <c r="F110" s="724"/>
      <c r="G110" s="724"/>
      <c r="H110" s="724"/>
      <c r="I110" s="724"/>
      <c r="J110" s="724"/>
      <c r="K110" s="724"/>
      <c r="L110" s="724"/>
      <c r="M110" s="724"/>
      <c r="N110" s="724"/>
      <c r="O110" s="724"/>
      <c r="P110" s="724"/>
      <c r="Q110" s="724"/>
      <c r="R110" s="724"/>
      <c r="S110" s="724"/>
      <c r="T110" s="725"/>
    </row>
    <row r="111" spans="2:32" ht="21.95" customHeight="1">
      <c r="B111" s="344" t="s">
        <v>2987</v>
      </c>
      <c r="C111" s="344" t="s">
        <v>2001</v>
      </c>
      <c r="D111" s="354" t="s">
        <v>260</v>
      </c>
      <c r="E111" s="354" t="s">
        <v>349</v>
      </c>
      <c r="F111" s="368" t="s">
        <v>262</v>
      </c>
      <c r="G111" s="368">
        <v>1</v>
      </c>
      <c r="H111" s="368">
        <f>IF(I111&lt;&gt;0, G111-I111, "")</f>
        <v>0</v>
      </c>
      <c r="I111" s="368">
        <v>1</v>
      </c>
      <c r="J111" s="368"/>
      <c r="K111" s="354" t="s">
        <v>2002</v>
      </c>
      <c r="L111" s="368" t="s">
        <v>2003</v>
      </c>
      <c r="M111" s="368">
        <v>0.13200000000000001</v>
      </c>
      <c r="N111" s="368">
        <v>100</v>
      </c>
      <c r="O111" s="368">
        <f>IF(I111*M111=0, "", I111*M111*(N111/100))</f>
        <v>0.13200000000000001</v>
      </c>
      <c r="P111" s="357"/>
      <c r="Q111" s="357">
        <f>TRUNC(P111*M111*N111/100)</f>
        <v>0</v>
      </c>
      <c r="R111" s="357"/>
      <c r="S111" s="368" t="s">
        <v>2993</v>
      </c>
      <c r="T111" s="368"/>
      <c r="AC111" s="347">
        <f>O111</f>
        <v>0.13200000000000001</v>
      </c>
    </row>
    <row r="112" spans="2:32" ht="21.95" customHeight="1">
      <c r="B112" s="344" t="s">
        <v>2987</v>
      </c>
      <c r="C112" s="344" t="s">
        <v>2001</v>
      </c>
      <c r="D112" s="354"/>
      <c r="E112" s="354"/>
      <c r="F112" s="368"/>
      <c r="G112" s="368">
        <v>1</v>
      </c>
      <c r="H112" s="368">
        <f>IF(I112&lt;&gt;0, G112-I112, "")</f>
        <v>0</v>
      </c>
      <c r="I112" s="368">
        <v>1</v>
      </c>
      <c r="J112" s="368"/>
      <c r="K112" s="354" t="s">
        <v>1888</v>
      </c>
      <c r="L112" s="368" t="s">
        <v>1889</v>
      </c>
      <c r="M112" s="368">
        <v>0.13200000000000001</v>
      </c>
      <c r="N112" s="368">
        <v>100</v>
      </c>
      <c r="O112" s="368">
        <f>IF(I112*M112=0, "", I112*M112*(N112/100))</f>
        <v>0.13200000000000001</v>
      </c>
      <c r="P112" s="357"/>
      <c r="Q112" s="357">
        <f>TRUNC(P112*M112*N112/100)</f>
        <v>0</v>
      </c>
      <c r="R112" s="357"/>
      <c r="S112" s="368" t="s">
        <v>2993</v>
      </c>
      <c r="T112" s="368"/>
      <c r="AF112" s="347">
        <f>O112</f>
        <v>0.13200000000000001</v>
      </c>
    </row>
    <row r="113" spans="2:32" ht="21.95" customHeight="1">
      <c r="B113" s="344" t="s">
        <v>2987</v>
      </c>
      <c r="C113" s="344" t="s">
        <v>2002</v>
      </c>
      <c r="D113" s="354" t="s">
        <v>1664</v>
      </c>
      <c r="E113" s="354" t="s">
        <v>2003</v>
      </c>
      <c r="F113" s="368" t="s">
        <v>1852</v>
      </c>
      <c r="G113" s="368">
        <f>IF(H113*I113/100+0.000005 &lt;1, TRUNC(H113*I113/100+0.000005, 옵션!$E$13), TRUNC(H113*I113/100+0.000005, 옵션!$E$13))</f>
        <v>0.13200000000000001</v>
      </c>
      <c r="H113" s="368">
        <f>옵션!$B$13</f>
        <v>100</v>
      </c>
      <c r="I113" s="368">
        <f>SUM(AC111:AC112)</f>
        <v>0.13200000000000001</v>
      </c>
      <c r="J113" s="368"/>
      <c r="K113" s="354"/>
      <c r="L113" s="368"/>
      <c r="M113" s="368"/>
      <c r="N113" s="368"/>
      <c r="O113" s="368" t="str">
        <f>IF(I113*M113=0, "", I113*M113*(N113/100))</f>
        <v/>
      </c>
      <c r="P113" s="357"/>
      <c r="Q113" s="357">
        <f>TRUNC(P113*M113*N113/100)</f>
        <v>0</v>
      </c>
      <c r="R113" s="357"/>
      <c r="S113" s="368"/>
      <c r="T113" s="368"/>
      <c r="Z113" s="347" t="s">
        <v>2989</v>
      </c>
      <c r="AC113" s="347">
        <f>SUM(AC111:AC112)</f>
        <v>0.13200000000000001</v>
      </c>
      <c r="AF113" s="347">
        <f>SUM(AF111:AF112)</f>
        <v>0.13200000000000001</v>
      </c>
    </row>
    <row r="114" spans="2:32" ht="21.95" customHeight="1">
      <c r="B114" s="344" t="s">
        <v>2987</v>
      </c>
      <c r="C114" s="344" t="s">
        <v>1888</v>
      </c>
      <c r="D114" s="354" t="s">
        <v>1664</v>
      </c>
      <c r="E114" s="354" t="s">
        <v>1889</v>
      </c>
      <c r="F114" s="368" t="s">
        <v>1852</v>
      </c>
      <c r="G114" s="368">
        <f>IF(H114*I114/100+0.000005 &lt;1, TRUNC(H114*I114/100+0.000005, 옵션!$E$13), TRUNC(H114*I114/100+0.000005, 옵션!$E$13))</f>
        <v>0.13200000000000001</v>
      </c>
      <c r="H114" s="368">
        <f>옵션!$B$13</f>
        <v>100</v>
      </c>
      <c r="I114" s="368">
        <f>SUM(AF111:AF112)</f>
        <v>0.13200000000000001</v>
      </c>
      <c r="J114" s="368"/>
      <c r="K114" s="354"/>
      <c r="L114" s="368"/>
      <c r="M114" s="368"/>
      <c r="N114" s="368"/>
      <c r="O114" s="368" t="str">
        <f>IF(I114*M114=0, "", I114*M114*(N114/100))</f>
        <v/>
      </c>
      <c r="P114" s="357"/>
      <c r="Q114" s="357">
        <f>TRUNC(P114*M114*N114/100)</f>
        <v>0</v>
      </c>
      <c r="R114" s="357"/>
      <c r="S114" s="368"/>
      <c r="T114" s="368"/>
    </row>
    <row r="115" spans="2:32" ht="21.95" customHeight="1">
      <c r="B115" s="344" t="s">
        <v>208</v>
      </c>
      <c r="D115" s="714" t="s">
        <v>3028</v>
      </c>
      <c r="E115" s="724"/>
      <c r="F115" s="724"/>
      <c r="G115" s="724"/>
      <c r="H115" s="724"/>
      <c r="I115" s="724"/>
      <c r="J115" s="724"/>
      <c r="K115" s="724"/>
      <c r="L115" s="724"/>
      <c r="M115" s="724"/>
      <c r="N115" s="724"/>
      <c r="O115" s="724"/>
      <c r="P115" s="724"/>
      <c r="Q115" s="724"/>
      <c r="R115" s="724"/>
      <c r="S115" s="724"/>
      <c r="T115" s="725"/>
    </row>
    <row r="116" spans="2:32" ht="21.95" customHeight="1">
      <c r="B116" s="344" t="s">
        <v>2987</v>
      </c>
      <c r="C116" s="344" t="s">
        <v>2021</v>
      </c>
      <c r="D116" s="354" t="s">
        <v>448</v>
      </c>
      <c r="E116" s="354" t="s">
        <v>449</v>
      </c>
      <c r="F116" s="368" t="s">
        <v>265</v>
      </c>
      <c r="G116" s="368">
        <v>1</v>
      </c>
      <c r="H116" s="368">
        <f>IF(I116&lt;&gt;0, G116-I116, "")</f>
        <v>0</v>
      </c>
      <c r="I116" s="368">
        <v>1</v>
      </c>
      <c r="J116" s="368"/>
      <c r="K116" s="354" t="s">
        <v>1850</v>
      </c>
      <c r="L116" s="368" t="s">
        <v>1851</v>
      </c>
      <c r="M116" s="368">
        <v>0.12</v>
      </c>
      <c r="N116" s="368">
        <v>100</v>
      </c>
      <c r="O116" s="368">
        <f>IF(I116*M116=0, "", I116*M116*(N116/100))</f>
        <v>0.12</v>
      </c>
      <c r="P116" s="357"/>
      <c r="Q116" s="357">
        <f>TRUNC(P116*M116*N116/100)</f>
        <v>0</v>
      </c>
      <c r="R116" s="357"/>
      <c r="S116" s="368" t="s">
        <v>3029</v>
      </c>
      <c r="T116" s="368"/>
      <c r="AA116" s="347">
        <f>O116</f>
        <v>0.12</v>
      </c>
    </row>
    <row r="117" spans="2:32" ht="21.95" customHeight="1">
      <c r="B117" s="344" t="s">
        <v>2987</v>
      </c>
      <c r="C117" s="344" t="s">
        <v>1850</v>
      </c>
      <c r="D117" s="354" t="s">
        <v>1664</v>
      </c>
      <c r="E117" s="354" t="s">
        <v>1851</v>
      </c>
      <c r="F117" s="368" t="s">
        <v>1852</v>
      </c>
      <c r="G117" s="368">
        <f>IF(H117*I117/100+0.000005 &lt;1, TRUNC(H117*I117/100+0.000005, 옵션!$E$13), TRUNC(H117*I117/100+0.000005, 옵션!$E$13))</f>
        <v>0.12</v>
      </c>
      <c r="H117" s="368">
        <f>옵션!$B$13</f>
        <v>100</v>
      </c>
      <c r="I117" s="368">
        <f>SUM(AA116:AA116)</f>
        <v>0.12</v>
      </c>
      <c r="J117" s="368"/>
      <c r="K117" s="354"/>
      <c r="L117" s="368"/>
      <c r="M117" s="368"/>
      <c r="N117" s="368"/>
      <c r="O117" s="368" t="str">
        <f>IF(I117*M117=0, "", I117*M117*(N117/100))</f>
        <v/>
      </c>
      <c r="P117" s="357"/>
      <c r="Q117" s="357">
        <f>TRUNC(P117*M117*N117/100)</f>
        <v>0</v>
      </c>
      <c r="R117" s="357"/>
      <c r="S117" s="368"/>
      <c r="T117" s="368"/>
      <c r="Z117" s="347" t="s">
        <v>2989</v>
      </c>
      <c r="AA117" s="347">
        <f>SUM(AA116:AA116)</f>
        <v>0.12</v>
      </c>
    </row>
    <row r="118" spans="2:32" ht="21.95" customHeight="1">
      <c r="B118" s="344" t="s">
        <v>208</v>
      </c>
      <c r="D118" s="714" t="s">
        <v>3030</v>
      </c>
      <c r="E118" s="724"/>
      <c r="F118" s="724"/>
      <c r="G118" s="724"/>
      <c r="H118" s="724"/>
      <c r="I118" s="724"/>
      <c r="J118" s="724"/>
      <c r="K118" s="724"/>
      <c r="L118" s="724"/>
      <c r="M118" s="724"/>
      <c r="N118" s="724"/>
      <c r="O118" s="724"/>
      <c r="P118" s="724"/>
      <c r="Q118" s="724"/>
      <c r="R118" s="724"/>
      <c r="S118" s="724"/>
      <c r="T118" s="725"/>
    </row>
    <row r="119" spans="2:32" ht="21.95" customHeight="1">
      <c r="B119" s="344" t="s">
        <v>2987</v>
      </c>
      <c r="C119" s="344" t="s">
        <v>2024</v>
      </c>
      <c r="D119" s="354" t="s">
        <v>448</v>
      </c>
      <c r="E119" s="354" t="s">
        <v>450</v>
      </c>
      <c r="F119" s="368" t="s">
        <v>265</v>
      </c>
      <c r="G119" s="368">
        <v>1</v>
      </c>
      <c r="H119" s="368">
        <f>IF(I119&lt;&gt;0, G119-I119, "")</f>
        <v>0</v>
      </c>
      <c r="I119" s="368">
        <v>1</v>
      </c>
      <c r="J119" s="368"/>
      <c r="K119" s="354" t="s">
        <v>1850</v>
      </c>
      <c r="L119" s="368" t="s">
        <v>1851</v>
      </c>
      <c r="M119" s="368">
        <v>0.12</v>
      </c>
      <c r="N119" s="368">
        <v>100</v>
      </c>
      <c r="O119" s="368">
        <f>IF(I119*M119=0, "", I119*M119*(N119/100))</f>
        <v>0.12</v>
      </c>
      <c r="P119" s="357"/>
      <c r="Q119" s="357">
        <f>TRUNC(P119*M119*N119/100)</f>
        <v>0</v>
      </c>
      <c r="R119" s="357"/>
      <c r="S119" s="368" t="s">
        <v>3029</v>
      </c>
      <c r="T119" s="368"/>
      <c r="AA119" s="347">
        <f>O119</f>
        <v>0.12</v>
      </c>
    </row>
    <row r="120" spans="2:32" ht="21.95" customHeight="1">
      <c r="B120" s="344" t="s">
        <v>2987</v>
      </c>
      <c r="C120" s="344" t="s">
        <v>1850</v>
      </c>
      <c r="D120" s="354" t="s">
        <v>1664</v>
      </c>
      <c r="E120" s="354" t="s">
        <v>1851</v>
      </c>
      <c r="F120" s="368" t="s">
        <v>1852</v>
      </c>
      <c r="G120" s="368">
        <f>IF(H120*I120/100+0.000005 &lt;1, TRUNC(H120*I120/100+0.000005, 옵션!$E$13), TRUNC(H120*I120/100+0.000005, 옵션!$E$13))</f>
        <v>0.12</v>
      </c>
      <c r="H120" s="368">
        <f>옵션!$B$13</f>
        <v>100</v>
      </c>
      <c r="I120" s="368">
        <f>SUM(AA119:AA119)</f>
        <v>0.12</v>
      </c>
      <c r="J120" s="368"/>
      <c r="K120" s="354"/>
      <c r="L120" s="368"/>
      <c r="M120" s="368"/>
      <c r="N120" s="368"/>
      <c r="O120" s="368" t="str">
        <f>IF(I120*M120=0, "", I120*M120*(N120/100))</f>
        <v/>
      </c>
      <c r="P120" s="357"/>
      <c r="Q120" s="357">
        <f>TRUNC(P120*M120*N120/100)</f>
        <v>0</v>
      </c>
      <c r="R120" s="357"/>
      <c r="S120" s="368"/>
      <c r="T120" s="368"/>
      <c r="Z120" s="347" t="s">
        <v>2989</v>
      </c>
      <c r="AA120" s="347">
        <f>SUM(AA119:AA119)</f>
        <v>0.12</v>
      </c>
    </row>
    <row r="121" spans="2:32" ht="21.95" customHeight="1">
      <c r="B121" s="344" t="s">
        <v>208</v>
      </c>
      <c r="D121" s="714" t="s">
        <v>3031</v>
      </c>
      <c r="E121" s="724"/>
      <c r="F121" s="724"/>
      <c r="G121" s="724"/>
      <c r="H121" s="724"/>
      <c r="I121" s="724"/>
      <c r="J121" s="724"/>
      <c r="K121" s="724"/>
      <c r="L121" s="724"/>
      <c r="M121" s="724"/>
      <c r="N121" s="724"/>
      <c r="O121" s="724"/>
      <c r="P121" s="724"/>
      <c r="Q121" s="724"/>
      <c r="R121" s="724"/>
      <c r="S121" s="724"/>
      <c r="T121" s="725"/>
    </row>
    <row r="122" spans="2:32" ht="21.95" customHeight="1">
      <c r="B122" s="344" t="s">
        <v>2987</v>
      </c>
      <c r="C122" s="344" t="s">
        <v>2027</v>
      </c>
      <c r="D122" s="354" t="s">
        <v>451</v>
      </c>
      <c r="E122" s="354" t="s">
        <v>452</v>
      </c>
      <c r="F122" s="368" t="s">
        <v>265</v>
      </c>
      <c r="G122" s="368">
        <v>1</v>
      </c>
      <c r="H122" s="368">
        <f>IF(I122&lt;&gt;0, G122-I122, "")</f>
        <v>0</v>
      </c>
      <c r="I122" s="368">
        <v>1</v>
      </c>
      <c r="J122" s="368"/>
      <c r="K122" s="354" t="s">
        <v>1850</v>
      </c>
      <c r="L122" s="368" t="s">
        <v>1851</v>
      </c>
      <c r="M122" s="368">
        <v>0.2</v>
      </c>
      <c r="N122" s="368">
        <v>100</v>
      </c>
      <c r="O122" s="368">
        <f>IF(I122*M122=0, "", I122*M122*(N122/100))</f>
        <v>0.2</v>
      </c>
      <c r="P122" s="357"/>
      <c r="Q122" s="357">
        <f>TRUNC(P122*M122*N122/100)</f>
        <v>0</v>
      </c>
      <c r="R122" s="357"/>
      <c r="S122" s="368" t="s">
        <v>3029</v>
      </c>
      <c r="T122" s="368"/>
      <c r="AA122" s="347">
        <f>O122</f>
        <v>0.2</v>
      </c>
    </row>
    <row r="123" spans="2:32" ht="21.95" customHeight="1">
      <c r="B123" s="344" t="s">
        <v>2987</v>
      </c>
      <c r="C123" s="344" t="s">
        <v>1850</v>
      </c>
      <c r="D123" s="354" t="s">
        <v>1664</v>
      </c>
      <c r="E123" s="354" t="s">
        <v>1851</v>
      </c>
      <c r="F123" s="368" t="s">
        <v>1852</v>
      </c>
      <c r="G123" s="368">
        <f>IF(H123*I123/100+0.000005 &lt;1, TRUNC(H123*I123/100+0.000005, 옵션!$E$13), TRUNC(H123*I123/100+0.000005, 옵션!$E$13))</f>
        <v>0.2</v>
      </c>
      <c r="H123" s="368">
        <f>옵션!$B$13</f>
        <v>100</v>
      </c>
      <c r="I123" s="368">
        <f>SUM(AA122:AA122)</f>
        <v>0.2</v>
      </c>
      <c r="J123" s="368"/>
      <c r="K123" s="354"/>
      <c r="L123" s="368"/>
      <c r="M123" s="368"/>
      <c r="N123" s="368"/>
      <c r="O123" s="368" t="str">
        <f>IF(I123*M123=0, "", I123*M123*(N123/100))</f>
        <v/>
      </c>
      <c r="P123" s="357"/>
      <c r="Q123" s="357">
        <f>TRUNC(P123*M123*N123/100)</f>
        <v>0</v>
      </c>
      <c r="R123" s="357"/>
      <c r="S123" s="368"/>
      <c r="T123" s="368"/>
      <c r="Z123" s="347" t="s">
        <v>2989</v>
      </c>
      <c r="AA123" s="347">
        <f>SUM(AA122:AA122)</f>
        <v>0.2</v>
      </c>
    </row>
    <row r="124" spans="2:32" ht="21.95" customHeight="1">
      <c r="B124" s="344" t="s">
        <v>208</v>
      </c>
      <c r="D124" s="714" t="s">
        <v>3032</v>
      </c>
      <c r="E124" s="724"/>
      <c r="F124" s="724"/>
      <c r="G124" s="724"/>
      <c r="H124" s="724"/>
      <c r="I124" s="724"/>
      <c r="J124" s="724"/>
      <c r="K124" s="724"/>
      <c r="L124" s="724"/>
      <c r="M124" s="724"/>
      <c r="N124" s="724"/>
      <c r="O124" s="724"/>
      <c r="P124" s="724"/>
      <c r="Q124" s="724"/>
      <c r="R124" s="724"/>
      <c r="S124" s="724"/>
      <c r="T124" s="725"/>
    </row>
    <row r="125" spans="2:32" ht="21.95" customHeight="1">
      <c r="B125" s="344" t="s">
        <v>2987</v>
      </c>
      <c r="C125" s="344" t="s">
        <v>2030</v>
      </c>
      <c r="D125" s="354" t="s">
        <v>451</v>
      </c>
      <c r="E125" s="354" t="s">
        <v>453</v>
      </c>
      <c r="F125" s="368" t="s">
        <v>265</v>
      </c>
      <c r="G125" s="368">
        <v>1</v>
      </c>
      <c r="H125" s="368">
        <f>IF(I125&lt;&gt;0, G125-I125, "")</f>
        <v>0</v>
      </c>
      <c r="I125" s="368">
        <v>1</v>
      </c>
      <c r="J125" s="368"/>
      <c r="K125" s="354" t="s">
        <v>1850</v>
      </c>
      <c r="L125" s="368" t="s">
        <v>1851</v>
      </c>
      <c r="M125" s="368">
        <v>0.2</v>
      </c>
      <c r="N125" s="368">
        <v>100</v>
      </c>
      <c r="O125" s="368">
        <f>IF(I125*M125=0, "", I125*M125*(N125/100))</f>
        <v>0.2</v>
      </c>
      <c r="P125" s="357"/>
      <c r="Q125" s="357">
        <f>TRUNC(P125*M125*N125/100)</f>
        <v>0</v>
      </c>
      <c r="R125" s="357"/>
      <c r="S125" s="368" t="s">
        <v>3029</v>
      </c>
      <c r="T125" s="368"/>
      <c r="AA125" s="347">
        <f>O125</f>
        <v>0.2</v>
      </c>
    </row>
    <row r="126" spans="2:32" ht="21.95" customHeight="1">
      <c r="B126" s="344" t="s">
        <v>2987</v>
      </c>
      <c r="C126" s="344" t="s">
        <v>1850</v>
      </c>
      <c r="D126" s="354" t="s">
        <v>1664</v>
      </c>
      <c r="E126" s="354" t="s">
        <v>1851</v>
      </c>
      <c r="F126" s="368" t="s">
        <v>1852</v>
      </c>
      <c r="G126" s="368">
        <f>IF(H126*I126/100+0.000005 &lt;1, TRUNC(H126*I126/100+0.000005, 옵션!$E$13), TRUNC(H126*I126/100+0.000005, 옵션!$E$13))</f>
        <v>0.2</v>
      </c>
      <c r="H126" s="368">
        <f>옵션!$B$13</f>
        <v>100</v>
      </c>
      <c r="I126" s="368">
        <f>SUM(AA125:AA125)</f>
        <v>0.2</v>
      </c>
      <c r="J126" s="368"/>
      <c r="K126" s="354"/>
      <c r="L126" s="368"/>
      <c r="M126" s="368"/>
      <c r="N126" s="368"/>
      <c r="O126" s="368" t="str">
        <f>IF(I126*M126=0, "", I126*M126*(N126/100))</f>
        <v/>
      </c>
      <c r="P126" s="357"/>
      <c r="Q126" s="357">
        <f>TRUNC(P126*M126*N126/100)</f>
        <v>0</v>
      </c>
      <c r="R126" s="357"/>
      <c r="S126" s="368"/>
      <c r="T126" s="368"/>
      <c r="Z126" s="347" t="s">
        <v>2989</v>
      </c>
      <c r="AA126" s="347">
        <f>SUM(AA125:AA125)</f>
        <v>0.2</v>
      </c>
    </row>
    <row r="127" spans="2:32" ht="21.95" customHeight="1">
      <c r="B127" s="344" t="s">
        <v>208</v>
      </c>
      <c r="D127" s="714" t="s">
        <v>3033</v>
      </c>
      <c r="E127" s="724"/>
      <c r="F127" s="724"/>
      <c r="G127" s="724"/>
      <c r="H127" s="724"/>
      <c r="I127" s="724"/>
      <c r="J127" s="724"/>
      <c r="K127" s="724"/>
      <c r="L127" s="724"/>
      <c r="M127" s="724"/>
      <c r="N127" s="724"/>
      <c r="O127" s="724"/>
      <c r="P127" s="724"/>
      <c r="Q127" s="724"/>
      <c r="R127" s="724"/>
      <c r="S127" s="724"/>
      <c r="T127" s="725"/>
    </row>
    <row r="128" spans="2:32" ht="21.95" customHeight="1">
      <c r="B128" s="344" t="s">
        <v>2987</v>
      </c>
      <c r="C128" s="344" t="s">
        <v>2042</v>
      </c>
      <c r="D128" s="354" t="s">
        <v>439</v>
      </c>
      <c r="E128" s="354" t="s">
        <v>440</v>
      </c>
      <c r="F128" s="368" t="s">
        <v>291</v>
      </c>
      <c r="G128" s="368">
        <v>1</v>
      </c>
      <c r="H128" s="368">
        <f>IF(I128&lt;&gt;0, G128-I128, "")</f>
        <v>0</v>
      </c>
      <c r="I128" s="368">
        <v>1</v>
      </c>
      <c r="J128" s="368"/>
      <c r="K128" s="354" t="s">
        <v>1850</v>
      </c>
      <c r="L128" s="368" t="s">
        <v>1851</v>
      </c>
      <c r="M128" s="368">
        <v>0.04</v>
      </c>
      <c r="N128" s="368">
        <v>100</v>
      </c>
      <c r="O128" s="368">
        <f>IF(I128*M128=0, "", I128*M128*(N128/100))</f>
        <v>0.04</v>
      </c>
      <c r="P128" s="357"/>
      <c r="Q128" s="357">
        <f>TRUNC(P128*M128*N128/100)</f>
        <v>0</v>
      </c>
      <c r="R128" s="357"/>
      <c r="S128" s="368" t="s">
        <v>3029</v>
      </c>
      <c r="T128" s="368"/>
      <c r="AA128" s="347">
        <f>O128</f>
        <v>0.04</v>
      </c>
    </row>
    <row r="129" spans="2:27" ht="21.95" customHeight="1">
      <c r="B129" s="344" t="s">
        <v>2987</v>
      </c>
      <c r="C129" s="344" t="s">
        <v>1850</v>
      </c>
      <c r="D129" s="354" t="s">
        <v>1664</v>
      </c>
      <c r="E129" s="354" t="s">
        <v>1851</v>
      </c>
      <c r="F129" s="368" t="s">
        <v>1852</v>
      </c>
      <c r="G129" s="368">
        <f>IF(H129*I129/100+0.000005 &lt;1, TRUNC(H129*I129/100+0.000005, 옵션!$E$13), TRUNC(H129*I129/100+0.000005, 옵션!$E$13))</f>
        <v>0.04</v>
      </c>
      <c r="H129" s="368">
        <f>옵션!$B$13</f>
        <v>100</v>
      </c>
      <c r="I129" s="368">
        <f>SUM(AA128:AA128)</f>
        <v>0.04</v>
      </c>
      <c r="J129" s="368"/>
      <c r="K129" s="354"/>
      <c r="L129" s="368"/>
      <c r="M129" s="368"/>
      <c r="N129" s="368"/>
      <c r="O129" s="368" t="str">
        <f>IF(I129*M129=0, "", I129*M129*(N129/100))</f>
        <v/>
      </c>
      <c r="P129" s="357"/>
      <c r="Q129" s="357">
        <f>TRUNC(P129*M129*N129/100)</f>
        <v>0</v>
      </c>
      <c r="R129" s="357"/>
      <c r="S129" s="368"/>
      <c r="T129" s="368"/>
      <c r="Z129" s="347" t="s">
        <v>2989</v>
      </c>
      <c r="AA129" s="347">
        <f>SUM(AA128:AA128)</f>
        <v>0.04</v>
      </c>
    </row>
    <row r="130" spans="2:27" ht="21.95" customHeight="1">
      <c r="B130" s="344" t="s">
        <v>208</v>
      </c>
      <c r="D130" s="714" t="s">
        <v>3034</v>
      </c>
      <c r="E130" s="724"/>
      <c r="F130" s="724"/>
      <c r="G130" s="724"/>
      <c r="H130" s="724"/>
      <c r="I130" s="724"/>
      <c r="J130" s="724"/>
      <c r="K130" s="724"/>
      <c r="L130" s="724"/>
      <c r="M130" s="724"/>
      <c r="N130" s="724"/>
      <c r="O130" s="724"/>
      <c r="P130" s="724"/>
      <c r="Q130" s="724"/>
      <c r="R130" s="724"/>
      <c r="S130" s="724"/>
      <c r="T130" s="725"/>
    </row>
    <row r="131" spans="2:27" ht="21.95" customHeight="1">
      <c r="B131" s="344" t="s">
        <v>2987</v>
      </c>
      <c r="C131" s="344" t="s">
        <v>2045</v>
      </c>
      <c r="D131" s="354" t="s">
        <v>266</v>
      </c>
      <c r="E131" s="354" t="s">
        <v>351</v>
      </c>
      <c r="F131" s="368" t="s">
        <v>265</v>
      </c>
      <c r="G131" s="368">
        <v>1</v>
      </c>
      <c r="H131" s="368">
        <f>IF(I131&lt;&gt;0, G131-I131, "")</f>
        <v>0</v>
      </c>
      <c r="I131" s="368">
        <v>1</v>
      </c>
      <c r="J131" s="368"/>
      <c r="K131" s="354" t="s">
        <v>1850</v>
      </c>
      <c r="L131" s="368" t="s">
        <v>1851</v>
      </c>
      <c r="M131" s="368">
        <v>0.22</v>
      </c>
      <c r="N131" s="368">
        <v>100</v>
      </c>
      <c r="O131" s="368">
        <f>IF(I131*M131=0, "", I131*M131*(N131/100))</f>
        <v>0.22</v>
      </c>
      <c r="P131" s="357"/>
      <c r="Q131" s="357">
        <f>TRUNC(P131*M131*N131/100)</f>
        <v>0</v>
      </c>
      <c r="R131" s="357"/>
      <c r="S131" s="368" t="s">
        <v>3035</v>
      </c>
      <c r="T131" s="368"/>
      <c r="AA131" s="347">
        <f>O131</f>
        <v>0.22</v>
      </c>
    </row>
    <row r="132" spans="2:27" ht="21.95" customHeight="1">
      <c r="B132" s="344" t="s">
        <v>2987</v>
      </c>
      <c r="C132" s="344" t="s">
        <v>1850</v>
      </c>
      <c r="D132" s="354" t="s">
        <v>1664</v>
      </c>
      <c r="E132" s="354" t="s">
        <v>1851</v>
      </c>
      <c r="F132" s="368" t="s">
        <v>1852</v>
      </c>
      <c r="G132" s="368">
        <f>IF(H132*I132/100+0.000005 &lt;1, TRUNC(H132*I132/100+0.000005, 옵션!$E$13), TRUNC(H132*I132/100+0.000005, 옵션!$E$13))</f>
        <v>0.22</v>
      </c>
      <c r="H132" s="368">
        <f>옵션!$B$13</f>
        <v>100</v>
      </c>
      <c r="I132" s="368">
        <f>SUM(AA131:AA131)</f>
        <v>0.22</v>
      </c>
      <c r="J132" s="368"/>
      <c r="K132" s="354"/>
      <c r="L132" s="368"/>
      <c r="M132" s="368"/>
      <c r="N132" s="368"/>
      <c r="O132" s="368" t="str">
        <f>IF(I132*M132=0, "", I132*M132*(N132/100))</f>
        <v/>
      </c>
      <c r="P132" s="357"/>
      <c r="Q132" s="357">
        <f>TRUNC(P132*M132*N132/100)</f>
        <v>0</v>
      </c>
      <c r="R132" s="357"/>
      <c r="S132" s="368"/>
      <c r="T132" s="368"/>
      <c r="Z132" s="347" t="s">
        <v>2989</v>
      </c>
      <c r="AA132" s="347">
        <f>SUM(AA131:AA131)</f>
        <v>0.22</v>
      </c>
    </row>
    <row r="133" spans="2:27" ht="21.95" customHeight="1">
      <c r="B133" s="344" t="s">
        <v>208</v>
      </c>
      <c r="D133" s="714" t="s">
        <v>3036</v>
      </c>
      <c r="E133" s="724"/>
      <c r="F133" s="724"/>
      <c r="G133" s="724"/>
      <c r="H133" s="724"/>
      <c r="I133" s="724"/>
      <c r="J133" s="724"/>
      <c r="K133" s="724"/>
      <c r="L133" s="724"/>
      <c r="M133" s="724"/>
      <c r="N133" s="724"/>
      <c r="O133" s="724"/>
      <c r="P133" s="724"/>
      <c r="Q133" s="724"/>
      <c r="R133" s="724"/>
      <c r="S133" s="724"/>
      <c r="T133" s="725"/>
    </row>
    <row r="134" spans="2:27" ht="21.95" customHeight="1">
      <c r="B134" s="344" t="s">
        <v>2987</v>
      </c>
      <c r="C134" s="344" t="s">
        <v>2048</v>
      </c>
      <c r="D134" s="354" t="s">
        <v>266</v>
      </c>
      <c r="E134" s="354" t="s">
        <v>402</v>
      </c>
      <c r="F134" s="368" t="s">
        <v>265</v>
      </c>
      <c r="G134" s="368">
        <v>1</v>
      </c>
      <c r="H134" s="368">
        <f>IF(I134&lt;&gt;0, G134-I134, "")</f>
        <v>0</v>
      </c>
      <c r="I134" s="368">
        <v>1</v>
      </c>
      <c r="J134" s="368"/>
      <c r="K134" s="354" t="s">
        <v>1850</v>
      </c>
      <c r="L134" s="368" t="s">
        <v>1851</v>
      </c>
      <c r="M134" s="368">
        <v>0.22</v>
      </c>
      <c r="N134" s="368">
        <v>100</v>
      </c>
      <c r="O134" s="368">
        <f>IF(I134*M134=0, "", I134*M134*(N134/100))</f>
        <v>0.22</v>
      </c>
      <c r="P134" s="357"/>
      <c r="Q134" s="357">
        <f>TRUNC(P134*M134*N134/100)</f>
        <v>0</v>
      </c>
      <c r="R134" s="357"/>
      <c r="S134" s="368" t="s">
        <v>3035</v>
      </c>
      <c r="T134" s="368"/>
      <c r="AA134" s="347">
        <f>O134</f>
        <v>0.22</v>
      </c>
    </row>
    <row r="135" spans="2:27" ht="21.95" customHeight="1">
      <c r="B135" s="344" t="s">
        <v>2987</v>
      </c>
      <c r="C135" s="344" t="s">
        <v>1850</v>
      </c>
      <c r="D135" s="354" t="s">
        <v>1664</v>
      </c>
      <c r="E135" s="354" t="s">
        <v>1851</v>
      </c>
      <c r="F135" s="368" t="s">
        <v>1852</v>
      </c>
      <c r="G135" s="368">
        <f>IF(H135*I135/100+0.000005 &lt;1, TRUNC(H135*I135/100+0.000005, 옵션!$E$13), TRUNC(H135*I135/100+0.000005, 옵션!$E$13))</f>
        <v>0.22</v>
      </c>
      <c r="H135" s="368">
        <f>옵션!$B$13</f>
        <v>100</v>
      </c>
      <c r="I135" s="368">
        <f>SUM(AA134:AA134)</f>
        <v>0.22</v>
      </c>
      <c r="J135" s="368"/>
      <c r="K135" s="354"/>
      <c r="L135" s="368"/>
      <c r="M135" s="368"/>
      <c r="N135" s="368"/>
      <c r="O135" s="368" t="str">
        <f>IF(I135*M135=0, "", I135*M135*(N135/100))</f>
        <v/>
      </c>
      <c r="P135" s="357"/>
      <c r="Q135" s="357">
        <f>TRUNC(P135*M135*N135/100)</f>
        <v>0</v>
      </c>
      <c r="R135" s="357"/>
      <c r="S135" s="368"/>
      <c r="T135" s="368"/>
      <c r="Z135" s="347" t="s">
        <v>2989</v>
      </c>
      <c r="AA135" s="347">
        <f>SUM(AA134:AA134)</f>
        <v>0.22</v>
      </c>
    </row>
    <row r="136" spans="2:27" ht="21.95" customHeight="1">
      <c r="B136" s="344" t="s">
        <v>208</v>
      </c>
      <c r="D136" s="714" t="s">
        <v>3037</v>
      </c>
      <c r="E136" s="724"/>
      <c r="F136" s="724"/>
      <c r="G136" s="724"/>
      <c r="H136" s="724"/>
      <c r="I136" s="724"/>
      <c r="J136" s="724"/>
      <c r="K136" s="724"/>
      <c r="L136" s="724"/>
      <c r="M136" s="724"/>
      <c r="N136" s="724"/>
      <c r="O136" s="724"/>
      <c r="P136" s="724"/>
      <c r="Q136" s="724"/>
      <c r="R136" s="724"/>
      <c r="S136" s="724"/>
      <c r="T136" s="725"/>
    </row>
    <row r="137" spans="2:27" ht="21.95" customHeight="1">
      <c r="B137" s="344" t="s">
        <v>2987</v>
      </c>
      <c r="C137" s="344" t="s">
        <v>2051</v>
      </c>
      <c r="D137" s="354" t="s">
        <v>266</v>
      </c>
      <c r="E137" s="354" t="s">
        <v>403</v>
      </c>
      <c r="F137" s="368" t="s">
        <v>265</v>
      </c>
      <c r="G137" s="368">
        <v>1</v>
      </c>
      <c r="H137" s="368">
        <f>IF(I137&lt;&gt;0, G137-I137, "")</f>
        <v>0</v>
      </c>
      <c r="I137" s="368">
        <v>1</v>
      </c>
      <c r="J137" s="368"/>
      <c r="K137" s="354" t="s">
        <v>1850</v>
      </c>
      <c r="L137" s="368" t="s">
        <v>1851</v>
      </c>
      <c r="M137" s="368">
        <v>0.35</v>
      </c>
      <c r="N137" s="368">
        <v>100</v>
      </c>
      <c r="O137" s="368">
        <f>IF(I137*M137=0, "", I137*M137*(N137/100))</f>
        <v>0.35</v>
      </c>
      <c r="P137" s="357"/>
      <c r="Q137" s="357">
        <f>TRUNC(P137*M137*N137/100)</f>
        <v>0</v>
      </c>
      <c r="R137" s="357"/>
      <c r="S137" s="368" t="s">
        <v>3035</v>
      </c>
      <c r="T137" s="368"/>
      <c r="AA137" s="347">
        <f>O137</f>
        <v>0.35</v>
      </c>
    </row>
    <row r="138" spans="2:27" ht="21.95" customHeight="1">
      <c r="B138" s="344" t="s">
        <v>2987</v>
      </c>
      <c r="C138" s="344" t="s">
        <v>1850</v>
      </c>
      <c r="D138" s="354" t="s">
        <v>1664</v>
      </c>
      <c r="E138" s="354" t="s">
        <v>1851</v>
      </c>
      <c r="F138" s="368" t="s">
        <v>1852</v>
      </c>
      <c r="G138" s="368">
        <f>IF(H138*I138/100+0.000005 &lt;1, TRUNC(H138*I138/100+0.000005, 옵션!$E$13), TRUNC(H138*I138/100+0.000005, 옵션!$E$13))</f>
        <v>0.35</v>
      </c>
      <c r="H138" s="368">
        <f>옵션!$B$13</f>
        <v>100</v>
      </c>
      <c r="I138" s="368">
        <f>SUM(AA137:AA137)</f>
        <v>0.35</v>
      </c>
      <c r="J138" s="368"/>
      <c r="K138" s="354"/>
      <c r="L138" s="368"/>
      <c r="M138" s="368"/>
      <c r="N138" s="368"/>
      <c r="O138" s="368" t="str">
        <f>IF(I138*M138=0, "", I138*M138*(N138/100))</f>
        <v/>
      </c>
      <c r="P138" s="357"/>
      <c r="Q138" s="357">
        <f>TRUNC(P138*M138*N138/100)</f>
        <v>0</v>
      </c>
      <c r="R138" s="357"/>
      <c r="S138" s="368"/>
      <c r="T138" s="368"/>
      <c r="Z138" s="347" t="s">
        <v>2989</v>
      </c>
      <c r="AA138" s="347">
        <f>SUM(AA137:AA137)</f>
        <v>0.35</v>
      </c>
    </row>
    <row r="139" spans="2:27" ht="21.95" customHeight="1">
      <c r="B139" s="344" t="s">
        <v>208</v>
      </c>
      <c r="D139" s="714" t="s">
        <v>3038</v>
      </c>
      <c r="E139" s="724"/>
      <c r="F139" s="724"/>
      <c r="G139" s="724"/>
      <c r="H139" s="724"/>
      <c r="I139" s="724"/>
      <c r="J139" s="724"/>
      <c r="K139" s="724"/>
      <c r="L139" s="724"/>
      <c r="M139" s="724"/>
      <c r="N139" s="724"/>
      <c r="O139" s="724"/>
      <c r="P139" s="724"/>
      <c r="Q139" s="724"/>
      <c r="R139" s="724"/>
      <c r="S139" s="724"/>
      <c r="T139" s="725"/>
    </row>
    <row r="140" spans="2:27" ht="21.95" customHeight="1">
      <c r="B140" s="344" t="s">
        <v>2987</v>
      </c>
      <c r="C140" s="344" t="s">
        <v>2054</v>
      </c>
      <c r="D140" s="354" t="s">
        <v>266</v>
      </c>
      <c r="E140" s="354" t="s">
        <v>267</v>
      </c>
      <c r="F140" s="368" t="s">
        <v>265</v>
      </c>
      <c r="G140" s="368">
        <v>1</v>
      </c>
      <c r="H140" s="368">
        <f>IF(I140&lt;&gt;0, G140-I140, "")</f>
        <v>0</v>
      </c>
      <c r="I140" s="368">
        <v>1</v>
      </c>
      <c r="J140" s="368"/>
      <c r="K140" s="354" t="s">
        <v>1850</v>
      </c>
      <c r="L140" s="368" t="s">
        <v>1851</v>
      </c>
      <c r="M140" s="368">
        <v>0.35</v>
      </c>
      <c r="N140" s="368">
        <v>100</v>
      </c>
      <c r="O140" s="368">
        <f>IF(I140*M140=0, "", I140*M140*(N140/100))</f>
        <v>0.35</v>
      </c>
      <c r="P140" s="357"/>
      <c r="Q140" s="357">
        <f>TRUNC(P140*M140*N140/100)</f>
        <v>0</v>
      </c>
      <c r="R140" s="357"/>
      <c r="S140" s="368" t="s">
        <v>3035</v>
      </c>
      <c r="T140" s="368"/>
      <c r="AA140" s="347">
        <f>O140</f>
        <v>0.35</v>
      </c>
    </row>
    <row r="141" spans="2:27" ht="21.95" customHeight="1">
      <c r="B141" s="344" t="s">
        <v>2987</v>
      </c>
      <c r="C141" s="344" t="s">
        <v>1850</v>
      </c>
      <c r="D141" s="354" t="s">
        <v>1664</v>
      </c>
      <c r="E141" s="354" t="s">
        <v>1851</v>
      </c>
      <c r="F141" s="368" t="s">
        <v>1852</v>
      </c>
      <c r="G141" s="368">
        <f>IF(H141*I141/100+0.000005 &lt;1, TRUNC(H141*I141/100+0.000005, 옵션!$E$13), TRUNC(H141*I141/100+0.000005, 옵션!$E$13))</f>
        <v>0.35</v>
      </c>
      <c r="H141" s="368">
        <f>옵션!$B$13</f>
        <v>100</v>
      </c>
      <c r="I141" s="368">
        <f>SUM(AA140:AA140)</f>
        <v>0.35</v>
      </c>
      <c r="J141" s="368"/>
      <c r="K141" s="354"/>
      <c r="L141" s="368"/>
      <c r="M141" s="368"/>
      <c r="N141" s="368"/>
      <c r="O141" s="368" t="str">
        <f>IF(I141*M141=0, "", I141*M141*(N141/100))</f>
        <v/>
      </c>
      <c r="P141" s="357"/>
      <c r="Q141" s="357">
        <f>TRUNC(P141*M141*N141/100)</f>
        <v>0</v>
      </c>
      <c r="R141" s="357"/>
      <c r="S141" s="368"/>
      <c r="T141" s="368"/>
      <c r="Z141" s="347" t="s">
        <v>2989</v>
      </c>
      <c r="AA141" s="347">
        <f>SUM(AA140:AA140)</f>
        <v>0.35</v>
      </c>
    </row>
    <row r="142" spans="2:27" ht="21.95" customHeight="1">
      <c r="B142" s="344" t="s">
        <v>208</v>
      </c>
      <c r="D142" s="714" t="s">
        <v>3039</v>
      </c>
      <c r="E142" s="724"/>
      <c r="F142" s="724"/>
      <c r="G142" s="724"/>
      <c r="H142" s="724"/>
      <c r="I142" s="724"/>
      <c r="J142" s="724"/>
      <c r="K142" s="724"/>
      <c r="L142" s="724"/>
      <c r="M142" s="724"/>
      <c r="N142" s="724"/>
      <c r="O142" s="724"/>
      <c r="P142" s="724"/>
      <c r="Q142" s="724"/>
      <c r="R142" s="724"/>
      <c r="S142" s="724"/>
      <c r="T142" s="725"/>
    </row>
    <row r="143" spans="2:27" ht="21.95" customHeight="1">
      <c r="B143" s="344" t="s">
        <v>2987</v>
      </c>
      <c r="C143" s="344" t="s">
        <v>2057</v>
      </c>
      <c r="D143" s="354" t="s">
        <v>441</v>
      </c>
      <c r="E143" s="354" t="s">
        <v>458</v>
      </c>
      <c r="F143" s="368" t="s">
        <v>255</v>
      </c>
      <c r="G143" s="368">
        <v>1</v>
      </c>
      <c r="H143" s="368">
        <f>IF(I143&lt;&gt;0, G143-I143, "")</f>
        <v>0</v>
      </c>
      <c r="I143" s="368">
        <v>1</v>
      </c>
      <c r="J143" s="368"/>
      <c r="K143" s="354" t="s">
        <v>1850</v>
      </c>
      <c r="L143" s="368" t="s">
        <v>1851</v>
      </c>
      <c r="M143" s="368">
        <v>0.01</v>
      </c>
      <c r="N143" s="368">
        <v>100</v>
      </c>
      <c r="O143" s="368">
        <f>IF(I143*M143=0, "", I143*M143*(N143/100))</f>
        <v>0.01</v>
      </c>
      <c r="P143" s="357"/>
      <c r="Q143" s="357">
        <f>TRUNC(P143*M143*N143/100)</f>
        <v>0</v>
      </c>
      <c r="R143" s="357"/>
      <c r="S143" s="368" t="s">
        <v>3040</v>
      </c>
      <c r="T143" s="368"/>
      <c r="AA143" s="347">
        <f>O143</f>
        <v>0.01</v>
      </c>
    </row>
    <row r="144" spans="2:27" ht="21.95" customHeight="1">
      <c r="B144" s="344" t="s">
        <v>2987</v>
      </c>
      <c r="C144" s="344" t="s">
        <v>1850</v>
      </c>
      <c r="D144" s="354" t="s">
        <v>1664</v>
      </c>
      <c r="E144" s="354" t="s">
        <v>1851</v>
      </c>
      <c r="F144" s="368" t="s">
        <v>1852</v>
      </c>
      <c r="G144" s="368">
        <f>IF(H144*I144/100+0.000005 &lt;1, TRUNC(H144*I144/100+0.000005, 옵션!$E$13), TRUNC(H144*I144/100+0.000005, 옵션!$E$13))</f>
        <v>0.01</v>
      </c>
      <c r="H144" s="368">
        <f>옵션!$B$13</f>
        <v>100</v>
      </c>
      <c r="I144" s="368">
        <f>SUM(AA143:AA143)</f>
        <v>0.01</v>
      </c>
      <c r="J144" s="368"/>
      <c r="K144" s="354"/>
      <c r="L144" s="368"/>
      <c r="M144" s="368"/>
      <c r="N144" s="368"/>
      <c r="O144" s="368" t="str">
        <f>IF(I144*M144=0, "", I144*M144*(N144/100))</f>
        <v/>
      </c>
      <c r="P144" s="357"/>
      <c r="Q144" s="357">
        <f>TRUNC(P144*M144*N144/100)</f>
        <v>0</v>
      </c>
      <c r="R144" s="357"/>
      <c r="S144" s="368"/>
      <c r="T144" s="368"/>
      <c r="Z144" s="347" t="s">
        <v>2989</v>
      </c>
      <c r="AA144" s="347">
        <f>SUM(AA143:AA143)</f>
        <v>0.01</v>
      </c>
    </row>
    <row r="145" spans="2:28" ht="21.95" customHeight="1">
      <c r="B145" s="344" t="s">
        <v>208</v>
      </c>
      <c r="D145" s="714" t="s">
        <v>3041</v>
      </c>
      <c r="E145" s="724"/>
      <c r="F145" s="724"/>
      <c r="G145" s="724"/>
      <c r="H145" s="724"/>
      <c r="I145" s="724"/>
      <c r="J145" s="724"/>
      <c r="K145" s="724"/>
      <c r="L145" s="724"/>
      <c r="M145" s="724"/>
      <c r="N145" s="724"/>
      <c r="O145" s="724"/>
      <c r="P145" s="724"/>
      <c r="Q145" s="724"/>
      <c r="R145" s="724"/>
      <c r="S145" s="724"/>
      <c r="T145" s="725"/>
    </row>
    <row r="146" spans="2:28" ht="21.95" customHeight="1">
      <c r="B146" s="344" t="s">
        <v>2987</v>
      </c>
      <c r="C146" s="344" t="s">
        <v>2060</v>
      </c>
      <c r="D146" s="354" t="s">
        <v>441</v>
      </c>
      <c r="E146" s="354" t="s">
        <v>442</v>
      </c>
      <c r="F146" s="368" t="s">
        <v>255</v>
      </c>
      <c r="G146" s="368">
        <v>1</v>
      </c>
      <c r="H146" s="368">
        <f>IF(I146&lt;&gt;0, G146-I146, "")</f>
        <v>0</v>
      </c>
      <c r="I146" s="368">
        <v>1</v>
      </c>
      <c r="J146" s="368"/>
      <c r="K146" s="354" t="s">
        <v>1850</v>
      </c>
      <c r="L146" s="368" t="s">
        <v>1851</v>
      </c>
      <c r="M146" s="368">
        <v>0.01</v>
      </c>
      <c r="N146" s="368">
        <v>100</v>
      </c>
      <c r="O146" s="368">
        <f>IF(I146*M146=0, "", I146*M146*(N146/100))</f>
        <v>0.01</v>
      </c>
      <c r="P146" s="357"/>
      <c r="Q146" s="357">
        <f>TRUNC(P146*M146*N146/100)</f>
        <v>0</v>
      </c>
      <c r="R146" s="357"/>
      <c r="S146" s="368" t="s">
        <v>3040</v>
      </c>
      <c r="T146" s="368"/>
      <c r="AA146" s="347">
        <f>O146</f>
        <v>0.01</v>
      </c>
    </row>
    <row r="147" spans="2:28" ht="21.95" customHeight="1">
      <c r="B147" s="344" t="s">
        <v>2987</v>
      </c>
      <c r="C147" s="344" t="s">
        <v>1850</v>
      </c>
      <c r="D147" s="354" t="s">
        <v>1664</v>
      </c>
      <c r="E147" s="354" t="s">
        <v>1851</v>
      </c>
      <c r="F147" s="368" t="s">
        <v>1852</v>
      </c>
      <c r="G147" s="368">
        <f>IF(H147*I147/100+0.000005 &lt;1, TRUNC(H147*I147/100+0.000005, 옵션!$E$13), TRUNC(H147*I147/100+0.000005, 옵션!$E$13))</f>
        <v>0.01</v>
      </c>
      <c r="H147" s="368">
        <f>옵션!$B$13</f>
        <v>100</v>
      </c>
      <c r="I147" s="368">
        <f>SUM(AA146:AA146)</f>
        <v>0.01</v>
      </c>
      <c r="J147" s="368"/>
      <c r="K147" s="354"/>
      <c r="L147" s="368"/>
      <c r="M147" s="368"/>
      <c r="N147" s="368"/>
      <c r="O147" s="368" t="str">
        <f>IF(I147*M147=0, "", I147*M147*(N147/100))</f>
        <v/>
      </c>
      <c r="P147" s="357"/>
      <c r="Q147" s="357">
        <f>TRUNC(P147*M147*N147/100)</f>
        <v>0</v>
      </c>
      <c r="R147" s="357"/>
      <c r="S147" s="368"/>
      <c r="T147" s="368"/>
      <c r="Z147" s="347" t="s">
        <v>2989</v>
      </c>
      <c r="AA147" s="347">
        <f>SUM(AA146:AA146)</f>
        <v>0.01</v>
      </c>
    </row>
    <row r="148" spans="2:28" ht="21.95" customHeight="1">
      <c r="B148" s="344" t="s">
        <v>208</v>
      </c>
      <c r="D148" s="714" t="s">
        <v>3042</v>
      </c>
      <c r="E148" s="724"/>
      <c r="F148" s="724"/>
      <c r="G148" s="724"/>
      <c r="H148" s="724"/>
      <c r="I148" s="724"/>
      <c r="J148" s="724"/>
      <c r="K148" s="724"/>
      <c r="L148" s="724"/>
      <c r="M148" s="724"/>
      <c r="N148" s="724"/>
      <c r="O148" s="724"/>
      <c r="P148" s="724"/>
      <c r="Q148" s="724"/>
      <c r="R148" s="724"/>
      <c r="S148" s="724"/>
      <c r="T148" s="725"/>
    </row>
    <row r="149" spans="2:28" ht="21.95" customHeight="1">
      <c r="B149" s="344" t="s">
        <v>2987</v>
      </c>
      <c r="C149" s="344" t="s">
        <v>2063</v>
      </c>
      <c r="D149" s="354" t="s">
        <v>268</v>
      </c>
      <c r="E149" s="354" t="s">
        <v>404</v>
      </c>
      <c r="F149" s="368" t="s">
        <v>255</v>
      </c>
      <c r="G149" s="368">
        <v>1</v>
      </c>
      <c r="H149" s="368">
        <f>IF(I149&lt;&gt;0, G149-I149, "")</f>
        <v>0</v>
      </c>
      <c r="I149" s="368">
        <v>1</v>
      </c>
      <c r="J149" s="368"/>
      <c r="K149" s="354" t="s">
        <v>1850</v>
      </c>
      <c r="L149" s="368" t="s">
        <v>1851</v>
      </c>
      <c r="M149" s="368">
        <v>6.0000000000000001E-3</v>
      </c>
      <c r="N149" s="368">
        <v>150</v>
      </c>
      <c r="O149" s="368">
        <f>IF(I149*M149=0, "", I149*M149*(N149/100))</f>
        <v>9.0000000000000011E-3</v>
      </c>
      <c r="P149" s="357"/>
      <c r="Q149" s="357">
        <f>TRUNC(P149*M149*N149/100)</f>
        <v>0</v>
      </c>
      <c r="R149" s="357"/>
      <c r="S149" s="368" t="s">
        <v>2995</v>
      </c>
      <c r="T149" s="368"/>
      <c r="AA149" s="347">
        <f>O149</f>
        <v>9.0000000000000011E-3</v>
      </c>
    </row>
    <row r="150" spans="2:28" ht="21.95" customHeight="1">
      <c r="B150" s="344" t="s">
        <v>2987</v>
      </c>
      <c r="C150" s="344" t="s">
        <v>1850</v>
      </c>
      <c r="D150" s="354" t="s">
        <v>1664</v>
      </c>
      <c r="E150" s="354" t="s">
        <v>1851</v>
      </c>
      <c r="F150" s="368" t="s">
        <v>1852</v>
      </c>
      <c r="G150" s="368">
        <f>IF(H150*I150/100+0.000005 &lt;1, TRUNC(H150*I150/100+0.000005, 옵션!$E$13), TRUNC(H150*I150/100+0.000005, 옵션!$E$13))</f>
        <v>8.9999999999999993E-3</v>
      </c>
      <c r="H150" s="368">
        <f>옵션!$B$13</f>
        <v>100</v>
      </c>
      <c r="I150" s="368">
        <f>SUM(AA149:AA149)</f>
        <v>9.0000000000000011E-3</v>
      </c>
      <c r="J150" s="368"/>
      <c r="K150" s="354"/>
      <c r="L150" s="368"/>
      <c r="M150" s="368"/>
      <c r="N150" s="368"/>
      <c r="O150" s="368" t="str">
        <f>IF(I150*M150=0, "", I150*M150*(N150/100))</f>
        <v/>
      </c>
      <c r="P150" s="357"/>
      <c r="Q150" s="357">
        <f>TRUNC(P150*M150*N150/100)</f>
        <v>0</v>
      </c>
      <c r="R150" s="357"/>
      <c r="S150" s="368"/>
      <c r="T150" s="368"/>
      <c r="Z150" s="347" t="s">
        <v>2989</v>
      </c>
      <c r="AA150" s="347">
        <f>SUM(AA149:AA149)</f>
        <v>9.0000000000000011E-3</v>
      </c>
    </row>
    <row r="151" spans="2:28" ht="21.95" customHeight="1">
      <c r="B151" s="344" t="s">
        <v>208</v>
      </c>
      <c r="D151" s="714" t="s">
        <v>3043</v>
      </c>
      <c r="E151" s="724"/>
      <c r="F151" s="724"/>
      <c r="G151" s="724"/>
      <c r="H151" s="724"/>
      <c r="I151" s="724"/>
      <c r="J151" s="724"/>
      <c r="K151" s="724"/>
      <c r="L151" s="724"/>
      <c r="M151" s="724"/>
      <c r="N151" s="724"/>
      <c r="O151" s="724"/>
      <c r="P151" s="724"/>
      <c r="Q151" s="724"/>
      <c r="R151" s="724"/>
      <c r="S151" s="724"/>
      <c r="T151" s="725"/>
    </row>
    <row r="152" spans="2:28" ht="21.95" customHeight="1">
      <c r="B152" s="344" t="s">
        <v>2987</v>
      </c>
      <c r="C152" s="344" t="s">
        <v>2066</v>
      </c>
      <c r="D152" s="354" t="s">
        <v>268</v>
      </c>
      <c r="E152" s="354" t="s">
        <v>405</v>
      </c>
      <c r="F152" s="368" t="s">
        <v>255</v>
      </c>
      <c r="G152" s="368">
        <v>1</v>
      </c>
      <c r="H152" s="368">
        <f>IF(I152&lt;&gt;0, G152-I152, "")</f>
        <v>0</v>
      </c>
      <c r="I152" s="368">
        <v>1</v>
      </c>
      <c r="J152" s="368"/>
      <c r="K152" s="354" t="s">
        <v>1850</v>
      </c>
      <c r="L152" s="368" t="s">
        <v>1851</v>
      </c>
      <c r="M152" s="368">
        <v>8.0000000000000002E-3</v>
      </c>
      <c r="N152" s="368">
        <v>150</v>
      </c>
      <c r="O152" s="368">
        <f>IF(I152*M152=0, "", I152*M152*(N152/100))</f>
        <v>1.2E-2</v>
      </c>
      <c r="P152" s="357"/>
      <c r="Q152" s="357">
        <f>TRUNC(P152*M152*N152/100)</f>
        <v>0</v>
      </c>
      <c r="R152" s="357"/>
      <c r="S152" s="368" t="s">
        <v>2995</v>
      </c>
      <c r="T152" s="368"/>
      <c r="AA152" s="347">
        <f>O152</f>
        <v>1.2E-2</v>
      </c>
    </row>
    <row r="153" spans="2:28" ht="21.95" customHeight="1">
      <c r="B153" s="344" t="s">
        <v>2987</v>
      </c>
      <c r="C153" s="344" t="s">
        <v>1850</v>
      </c>
      <c r="D153" s="354" t="s">
        <v>1664</v>
      </c>
      <c r="E153" s="354" t="s">
        <v>1851</v>
      </c>
      <c r="F153" s="368" t="s">
        <v>1852</v>
      </c>
      <c r="G153" s="368">
        <f>IF(H153*I153/100+0.000005 &lt;1, TRUNC(H153*I153/100+0.000005, 옵션!$E$13), TRUNC(H153*I153/100+0.000005, 옵션!$E$13))</f>
        <v>1.2E-2</v>
      </c>
      <c r="H153" s="368">
        <f>옵션!$B$13</f>
        <v>100</v>
      </c>
      <c r="I153" s="368">
        <f>SUM(AA152:AA152)</f>
        <v>1.2E-2</v>
      </c>
      <c r="J153" s="368"/>
      <c r="K153" s="354"/>
      <c r="L153" s="368"/>
      <c r="M153" s="368"/>
      <c r="N153" s="368"/>
      <c r="O153" s="368" t="str">
        <f>IF(I153*M153=0, "", I153*M153*(N153/100))</f>
        <v/>
      </c>
      <c r="P153" s="357"/>
      <c r="Q153" s="357">
        <f>TRUNC(P153*M153*N153/100)</f>
        <v>0</v>
      </c>
      <c r="R153" s="357"/>
      <c r="S153" s="368"/>
      <c r="T153" s="368"/>
      <c r="Z153" s="347" t="s">
        <v>2989</v>
      </c>
      <c r="AA153" s="347">
        <f>SUM(AA152:AA152)</f>
        <v>1.2E-2</v>
      </c>
    </row>
    <row r="154" spans="2:28" ht="21.95" customHeight="1">
      <c r="B154" s="344" t="s">
        <v>208</v>
      </c>
      <c r="D154" s="714" t="s">
        <v>3044</v>
      </c>
      <c r="E154" s="724"/>
      <c r="F154" s="724"/>
      <c r="G154" s="724"/>
      <c r="H154" s="724"/>
      <c r="I154" s="724"/>
      <c r="J154" s="724"/>
      <c r="K154" s="724"/>
      <c r="L154" s="724"/>
      <c r="M154" s="724"/>
      <c r="N154" s="724"/>
      <c r="O154" s="724"/>
      <c r="P154" s="724"/>
      <c r="Q154" s="724"/>
      <c r="R154" s="724"/>
      <c r="S154" s="724"/>
      <c r="T154" s="725"/>
    </row>
    <row r="155" spans="2:28" ht="21.95" customHeight="1">
      <c r="B155" s="344" t="s">
        <v>2987</v>
      </c>
      <c r="C155" s="344" t="s">
        <v>2069</v>
      </c>
      <c r="D155" s="354" t="s">
        <v>268</v>
      </c>
      <c r="E155" s="354" t="s">
        <v>406</v>
      </c>
      <c r="F155" s="368" t="s">
        <v>255</v>
      </c>
      <c r="G155" s="368">
        <v>1</v>
      </c>
      <c r="H155" s="368">
        <f>IF(I155&lt;&gt;0, G155-I155, "")</f>
        <v>0</v>
      </c>
      <c r="I155" s="368">
        <v>1</v>
      </c>
      <c r="J155" s="368"/>
      <c r="K155" s="354" t="s">
        <v>1850</v>
      </c>
      <c r="L155" s="368" t="s">
        <v>1851</v>
      </c>
      <c r="M155" s="368">
        <v>1.0999999999999999E-2</v>
      </c>
      <c r="N155" s="368">
        <v>150</v>
      </c>
      <c r="O155" s="368">
        <f>IF(I155*M155=0, "", I155*M155*(N155/100))</f>
        <v>1.6500000000000001E-2</v>
      </c>
      <c r="P155" s="357"/>
      <c r="Q155" s="357">
        <f>TRUNC(P155*M155*N155/100)</f>
        <v>0</v>
      </c>
      <c r="R155" s="357"/>
      <c r="S155" s="368" t="s">
        <v>2995</v>
      </c>
      <c r="T155" s="368"/>
      <c r="AA155" s="347">
        <f>O155</f>
        <v>1.6500000000000001E-2</v>
      </c>
    </row>
    <row r="156" spans="2:28" ht="21.95" customHeight="1">
      <c r="B156" s="344" t="s">
        <v>2987</v>
      </c>
      <c r="C156" s="344" t="s">
        <v>1850</v>
      </c>
      <c r="D156" s="354" t="s">
        <v>1664</v>
      </c>
      <c r="E156" s="354" t="s">
        <v>1851</v>
      </c>
      <c r="F156" s="368" t="s">
        <v>1852</v>
      </c>
      <c r="G156" s="368">
        <f>IF(H156*I156/100+0.000005 &lt;1, TRUNC(H156*I156/100+0.000005, 옵션!$E$13), TRUNC(H156*I156/100+0.000005, 옵션!$E$13))</f>
        <v>1.6500000000000001E-2</v>
      </c>
      <c r="H156" s="368">
        <f>옵션!$B$13</f>
        <v>100</v>
      </c>
      <c r="I156" s="368">
        <f>SUM(AA155:AA155)</f>
        <v>1.6500000000000001E-2</v>
      </c>
      <c r="J156" s="368"/>
      <c r="K156" s="354"/>
      <c r="L156" s="368"/>
      <c r="M156" s="368"/>
      <c r="N156" s="368"/>
      <c r="O156" s="368" t="str">
        <f>IF(I156*M156=0, "", I156*M156*(N156/100))</f>
        <v/>
      </c>
      <c r="P156" s="357"/>
      <c r="Q156" s="357">
        <f>TRUNC(P156*M156*N156/100)</f>
        <v>0</v>
      </c>
      <c r="R156" s="357"/>
      <c r="S156" s="368"/>
      <c r="T156" s="368"/>
      <c r="Z156" s="347" t="s">
        <v>2989</v>
      </c>
      <c r="AA156" s="347">
        <f>SUM(AA155:AA155)</f>
        <v>1.6500000000000001E-2</v>
      </c>
    </row>
    <row r="157" spans="2:28" ht="21.95" customHeight="1">
      <c r="B157" s="344" t="s">
        <v>208</v>
      </c>
      <c r="D157" s="714" t="s">
        <v>3045</v>
      </c>
      <c r="E157" s="724"/>
      <c r="F157" s="724"/>
      <c r="G157" s="724"/>
      <c r="H157" s="724"/>
      <c r="I157" s="724"/>
      <c r="J157" s="724"/>
      <c r="K157" s="724"/>
      <c r="L157" s="724"/>
      <c r="M157" s="724"/>
      <c r="N157" s="724"/>
      <c r="O157" s="724"/>
      <c r="P157" s="724"/>
      <c r="Q157" s="724"/>
      <c r="R157" s="724"/>
      <c r="S157" s="724"/>
      <c r="T157" s="725"/>
    </row>
    <row r="158" spans="2:28" ht="21.95" customHeight="1">
      <c r="B158" s="344" t="s">
        <v>2987</v>
      </c>
      <c r="C158" s="344" t="s">
        <v>2072</v>
      </c>
      <c r="D158" s="354" t="s">
        <v>270</v>
      </c>
      <c r="E158" s="354" t="s">
        <v>407</v>
      </c>
      <c r="F158" s="368" t="s">
        <v>255</v>
      </c>
      <c r="G158" s="368">
        <v>1</v>
      </c>
      <c r="H158" s="368">
        <f>IF(I158&lt;&gt;0, G158-I158, "")</f>
        <v>0</v>
      </c>
      <c r="I158" s="368">
        <v>1</v>
      </c>
      <c r="J158" s="368"/>
      <c r="K158" s="354" t="s">
        <v>1991</v>
      </c>
      <c r="L158" s="368" t="s">
        <v>1992</v>
      </c>
      <c r="M158" s="368">
        <v>9.7000000000000003E-2</v>
      </c>
      <c r="N158" s="368">
        <v>85</v>
      </c>
      <c r="O158" s="368">
        <f>IF(I158*M158=0, "", I158*M158*(N158/100))</f>
        <v>8.2449999999999996E-2</v>
      </c>
      <c r="P158" s="357"/>
      <c r="Q158" s="357">
        <f>TRUNC(P158*M158*N158/100)</f>
        <v>0</v>
      </c>
      <c r="R158" s="357"/>
      <c r="S158" s="368" t="s">
        <v>3046</v>
      </c>
      <c r="T158" s="368"/>
      <c r="AB158" s="347">
        <f>O158</f>
        <v>8.2449999999999996E-2</v>
      </c>
    </row>
    <row r="159" spans="2:28" ht="21.95" customHeight="1">
      <c r="B159" s="344" t="s">
        <v>2987</v>
      </c>
      <c r="C159" s="344" t="s">
        <v>1991</v>
      </c>
      <c r="D159" s="354" t="s">
        <v>1664</v>
      </c>
      <c r="E159" s="354" t="s">
        <v>1992</v>
      </c>
      <c r="F159" s="368" t="s">
        <v>1852</v>
      </c>
      <c r="G159" s="368">
        <f>IF(H159*I159/100+0.000005 &lt;1, TRUNC(H159*I159/100+0.000005, 옵션!$E$13), TRUNC(H159*I159/100+0.000005, 옵션!$E$13))</f>
        <v>8.2449999999999996E-2</v>
      </c>
      <c r="H159" s="368">
        <f>옵션!$B$13</f>
        <v>100</v>
      </c>
      <c r="I159" s="368">
        <f>SUM(AB158:AB158)</f>
        <v>8.2449999999999996E-2</v>
      </c>
      <c r="J159" s="368"/>
      <c r="K159" s="354"/>
      <c r="L159" s="368"/>
      <c r="M159" s="368"/>
      <c r="N159" s="368"/>
      <c r="O159" s="368" t="str">
        <f>IF(I159*M159=0, "", I159*M159*(N159/100))</f>
        <v/>
      </c>
      <c r="P159" s="357"/>
      <c r="Q159" s="357">
        <f>TRUNC(P159*M159*N159/100)</f>
        <v>0</v>
      </c>
      <c r="R159" s="357"/>
      <c r="S159" s="368"/>
      <c r="T159" s="368"/>
      <c r="Z159" s="347" t="s">
        <v>2989</v>
      </c>
      <c r="AB159" s="347">
        <f>SUM(AB158:AB158)</f>
        <v>8.2449999999999996E-2</v>
      </c>
    </row>
    <row r="160" spans="2:28" ht="21.95" customHeight="1">
      <c r="B160" s="344" t="s">
        <v>208</v>
      </c>
      <c r="D160" s="714" t="s">
        <v>3047</v>
      </c>
      <c r="E160" s="724"/>
      <c r="F160" s="724"/>
      <c r="G160" s="724"/>
      <c r="H160" s="724"/>
      <c r="I160" s="724"/>
      <c r="J160" s="724"/>
      <c r="K160" s="724"/>
      <c r="L160" s="724"/>
      <c r="M160" s="724"/>
      <c r="N160" s="724"/>
      <c r="O160" s="724"/>
      <c r="P160" s="724"/>
      <c r="Q160" s="724"/>
      <c r="R160" s="724"/>
      <c r="S160" s="724"/>
      <c r="T160" s="725"/>
    </row>
    <row r="161" spans="2:28" ht="21.95" customHeight="1">
      <c r="B161" s="344" t="s">
        <v>2987</v>
      </c>
      <c r="C161" s="344" t="s">
        <v>2075</v>
      </c>
      <c r="D161" s="354" t="s">
        <v>270</v>
      </c>
      <c r="E161" s="354" t="s">
        <v>408</v>
      </c>
      <c r="F161" s="368" t="s">
        <v>255</v>
      </c>
      <c r="G161" s="368">
        <v>1</v>
      </c>
      <c r="H161" s="368">
        <f>IF(I161&lt;&gt;0, G161-I161, "")</f>
        <v>0</v>
      </c>
      <c r="I161" s="368">
        <v>1</v>
      </c>
      <c r="J161" s="368"/>
      <c r="K161" s="354" t="s">
        <v>1991</v>
      </c>
      <c r="L161" s="368" t="s">
        <v>1992</v>
      </c>
      <c r="M161" s="368">
        <v>0.13600000000000001</v>
      </c>
      <c r="N161" s="368">
        <v>85</v>
      </c>
      <c r="O161" s="368">
        <f>IF(I161*M161=0, "", I161*M161*(N161/100))</f>
        <v>0.11560000000000001</v>
      </c>
      <c r="P161" s="357"/>
      <c r="Q161" s="357">
        <f>TRUNC(P161*M161*N161/100)</f>
        <v>0</v>
      </c>
      <c r="R161" s="357"/>
      <c r="S161" s="368" t="s">
        <v>3046</v>
      </c>
      <c r="T161" s="368"/>
      <c r="AB161" s="347">
        <f>O161</f>
        <v>0.11560000000000001</v>
      </c>
    </row>
    <row r="162" spans="2:28" ht="21.95" customHeight="1">
      <c r="B162" s="344" t="s">
        <v>2987</v>
      </c>
      <c r="C162" s="344" t="s">
        <v>1991</v>
      </c>
      <c r="D162" s="354" t="s">
        <v>1664</v>
      </c>
      <c r="E162" s="354" t="s">
        <v>1992</v>
      </c>
      <c r="F162" s="368" t="s">
        <v>1852</v>
      </c>
      <c r="G162" s="368">
        <f>IF(H162*I162/100+0.000005 &lt;1, TRUNC(H162*I162/100+0.000005, 옵션!$E$13), TRUNC(H162*I162/100+0.000005, 옵션!$E$13))</f>
        <v>0.11559999999999999</v>
      </c>
      <c r="H162" s="368">
        <f>옵션!$B$13</f>
        <v>100</v>
      </c>
      <c r="I162" s="368">
        <f>SUM(AB161:AB161)</f>
        <v>0.11560000000000001</v>
      </c>
      <c r="J162" s="368"/>
      <c r="K162" s="354"/>
      <c r="L162" s="368"/>
      <c r="M162" s="368"/>
      <c r="N162" s="368"/>
      <c r="O162" s="368" t="str">
        <f>IF(I162*M162=0, "", I162*M162*(N162/100))</f>
        <v/>
      </c>
      <c r="P162" s="357"/>
      <c r="Q162" s="357">
        <f>TRUNC(P162*M162*N162/100)</f>
        <v>0</v>
      </c>
      <c r="R162" s="357"/>
      <c r="S162" s="368"/>
      <c r="T162" s="368"/>
      <c r="Z162" s="347" t="s">
        <v>2989</v>
      </c>
      <c r="AB162" s="347">
        <f>SUM(AB161:AB161)</f>
        <v>0.11560000000000001</v>
      </c>
    </row>
    <row r="163" spans="2:28" ht="21.95" customHeight="1">
      <c r="B163" s="344" t="s">
        <v>208</v>
      </c>
      <c r="D163" s="714" t="s">
        <v>3048</v>
      </c>
      <c r="E163" s="724"/>
      <c r="F163" s="724"/>
      <c r="G163" s="724"/>
      <c r="H163" s="724"/>
      <c r="I163" s="724"/>
      <c r="J163" s="724"/>
      <c r="K163" s="724"/>
      <c r="L163" s="724"/>
      <c r="M163" s="724"/>
      <c r="N163" s="724"/>
      <c r="O163" s="724"/>
      <c r="P163" s="724"/>
      <c r="Q163" s="724"/>
      <c r="R163" s="724"/>
      <c r="S163" s="724"/>
      <c r="T163" s="725"/>
    </row>
    <row r="164" spans="2:28" ht="21.95" customHeight="1">
      <c r="B164" s="344" t="s">
        <v>2987</v>
      </c>
      <c r="C164" s="344" t="s">
        <v>2078</v>
      </c>
      <c r="D164" s="354" t="s">
        <v>270</v>
      </c>
      <c r="E164" s="354" t="s">
        <v>409</v>
      </c>
      <c r="F164" s="368" t="s">
        <v>255</v>
      </c>
      <c r="G164" s="368">
        <v>1</v>
      </c>
      <c r="H164" s="368">
        <f>IF(I164&lt;&gt;0, G164-I164, "")</f>
        <v>0</v>
      </c>
      <c r="I164" s="368">
        <v>1</v>
      </c>
      <c r="J164" s="368"/>
      <c r="K164" s="354" t="s">
        <v>1991</v>
      </c>
      <c r="L164" s="368" t="s">
        <v>1992</v>
      </c>
      <c r="M164" s="368">
        <v>3.4000000000000002E-2</v>
      </c>
      <c r="N164" s="368">
        <v>100</v>
      </c>
      <c r="O164" s="368">
        <f>IF(I164*M164=0, "", I164*M164*(N164/100))</f>
        <v>3.4000000000000002E-2</v>
      </c>
      <c r="P164" s="357"/>
      <c r="Q164" s="357">
        <f>TRUNC(P164*M164*N164/100)</f>
        <v>0</v>
      </c>
      <c r="R164" s="357"/>
      <c r="S164" s="368" t="s">
        <v>3049</v>
      </c>
      <c r="T164" s="368"/>
      <c r="AB164" s="347">
        <f>O164</f>
        <v>3.4000000000000002E-2</v>
      </c>
    </row>
    <row r="165" spans="2:28" ht="21.95" customHeight="1">
      <c r="B165" s="344" t="s">
        <v>2987</v>
      </c>
      <c r="C165" s="344" t="s">
        <v>1991</v>
      </c>
      <c r="D165" s="354" t="s">
        <v>1664</v>
      </c>
      <c r="E165" s="354" t="s">
        <v>1992</v>
      </c>
      <c r="F165" s="368" t="s">
        <v>1852</v>
      </c>
      <c r="G165" s="368">
        <f>IF(H165*I165/100+0.000005 &lt;1, TRUNC(H165*I165/100+0.000005, 옵션!$E$13), TRUNC(H165*I165/100+0.000005, 옵션!$E$13))</f>
        <v>3.4000000000000002E-2</v>
      </c>
      <c r="H165" s="368">
        <f>옵션!$B$13</f>
        <v>100</v>
      </c>
      <c r="I165" s="368">
        <f>SUM(AB164:AB164)</f>
        <v>3.4000000000000002E-2</v>
      </c>
      <c r="J165" s="368"/>
      <c r="K165" s="354"/>
      <c r="L165" s="368"/>
      <c r="M165" s="368"/>
      <c r="N165" s="368"/>
      <c r="O165" s="368" t="str">
        <f>IF(I165*M165=0, "", I165*M165*(N165/100))</f>
        <v/>
      </c>
      <c r="P165" s="357"/>
      <c r="Q165" s="357">
        <f>TRUNC(P165*M165*N165/100)</f>
        <v>0</v>
      </c>
      <c r="R165" s="357"/>
      <c r="S165" s="368"/>
      <c r="T165" s="368"/>
      <c r="Z165" s="347" t="s">
        <v>2989</v>
      </c>
      <c r="AB165" s="347">
        <f>SUM(AB164:AB164)</f>
        <v>3.4000000000000002E-2</v>
      </c>
    </row>
    <row r="166" spans="2:28" ht="21.95" customHeight="1">
      <c r="B166" s="344" t="s">
        <v>208</v>
      </c>
      <c r="D166" s="714" t="s">
        <v>3050</v>
      </c>
      <c r="E166" s="724"/>
      <c r="F166" s="724"/>
      <c r="G166" s="724"/>
      <c r="H166" s="724"/>
      <c r="I166" s="724"/>
      <c r="J166" s="724"/>
      <c r="K166" s="724"/>
      <c r="L166" s="724"/>
      <c r="M166" s="724"/>
      <c r="N166" s="724"/>
      <c r="O166" s="724"/>
      <c r="P166" s="724"/>
      <c r="Q166" s="724"/>
      <c r="R166" s="724"/>
      <c r="S166" s="724"/>
      <c r="T166" s="725"/>
    </row>
    <row r="167" spans="2:28" ht="21.95" customHeight="1">
      <c r="B167" s="344" t="s">
        <v>2987</v>
      </c>
      <c r="C167" s="344" t="s">
        <v>2081</v>
      </c>
      <c r="D167" s="354" t="s">
        <v>459</v>
      </c>
      <c r="E167" s="354" t="s">
        <v>460</v>
      </c>
      <c r="F167" s="368" t="s">
        <v>265</v>
      </c>
      <c r="G167" s="368">
        <v>1</v>
      </c>
      <c r="H167" s="368">
        <f>IF(I167&lt;&gt;0, G167-I167, "")</f>
        <v>0</v>
      </c>
      <c r="I167" s="368">
        <v>1</v>
      </c>
      <c r="J167" s="368"/>
      <c r="K167" s="354" t="s">
        <v>1850</v>
      </c>
      <c r="L167" s="368" t="s">
        <v>1851</v>
      </c>
      <c r="M167" s="368">
        <v>8.5000000000000006E-2</v>
      </c>
      <c r="N167" s="368">
        <v>100</v>
      </c>
      <c r="O167" s="368">
        <f>IF(I167*M167=0, "", I167*M167*(N167/100))</f>
        <v>8.5000000000000006E-2</v>
      </c>
      <c r="P167" s="357"/>
      <c r="Q167" s="357">
        <f>TRUNC(P167*M167*N167/100)</f>
        <v>0</v>
      </c>
      <c r="R167" s="357"/>
      <c r="S167" s="368" t="s">
        <v>3051</v>
      </c>
      <c r="T167" s="368"/>
      <c r="AA167" s="347">
        <f>O167</f>
        <v>8.5000000000000006E-2</v>
      </c>
    </row>
    <row r="168" spans="2:28" ht="21.95" customHeight="1">
      <c r="B168" s="344" t="s">
        <v>2987</v>
      </c>
      <c r="C168" s="344" t="s">
        <v>1850</v>
      </c>
      <c r="D168" s="354" t="s">
        <v>1664</v>
      </c>
      <c r="E168" s="354" t="s">
        <v>1851</v>
      </c>
      <c r="F168" s="368" t="s">
        <v>1852</v>
      </c>
      <c r="G168" s="368">
        <f>IF(H168*I168/100+0.000005 &lt;1, TRUNC(H168*I168/100+0.000005, 옵션!$E$13), TRUNC(H168*I168/100+0.000005, 옵션!$E$13))</f>
        <v>8.5000000000000006E-2</v>
      </c>
      <c r="H168" s="368">
        <f>옵션!$B$13</f>
        <v>100</v>
      </c>
      <c r="I168" s="368">
        <f>SUM(AA167:AA167)</f>
        <v>8.5000000000000006E-2</v>
      </c>
      <c r="J168" s="368"/>
      <c r="K168" s="354"/>
      <c r="L168" s="368"/>
      <c r="M168" s="368"/>
      <c r="N168" s="368"/>
      <c r="O168" s="368" t="str">
        <f>IF(I168*M168=0, "", I168*M168*(N168/100))</f>
        <v/>
      </c>
      <c r="P168" s="357"/>
      <c r="Q168" s="357">
        <f>TRUNC(P168*M168*N168/100)</f>
        <v>0</v>
      </c>
      <c r="R168" s="357"/>
      <c r="S168" s="368"/>
      <c r="T168" s="368"/>
      <c r="Z168" s="347" t="s">
        <v>2989</v>
      </c>
      <c r="AA168" s="347">
        <f>SUM(AA167:AA167)</f>
        <v>8.5000000000000006E-2</v>
      </c>
    </row>
    <row r="169" spans="2:28" ht="21.95" customHeight="1">
      <c r="B169" s="344" t="s">
        <v>208</v>
      </c>
      <c r="D169" s="714" t="s">
        <v>3052</v>
      </c>
      <c r="E169" s="724"/>
      <c r="F169" s="724"/>
      <c r="G169" s="724"/>
      <c r="H169" s="724"/>
      <c r="I169" s="724"/>
      <c r="J169" s="724"/>
      <c r="K169" s="724"/>
      <c r="L169" s="724"/>
      <c r="M169" s="724"/>
      <c r="N169" s="724"/>
      <c r="O169" s="724"/>
      <c r="P169" s="724"/>
      <c r="Q169" s="724"/>
      <c r="R169" s="724"/>
      <c r="S169" s="724"/>
      <c r="T169" s="725"/>
    </row>
    <row r="170" spans="2:28" ht="21.95" customHeight="1">
      <c r="B170" s="344" t="s">
        <v>2987</v>
      </c>
      <c r="C170" s="344" t="s">
        <v>2084</v>
      </c>
      <c r="D170" s="354" t="s">
        <v>459</v>
      </c>
      <c r="E170" s="354" t="s">
        <v>461</v>
      </c>
      <c r="F170" s="368" t="s">
        <v>265</v>
      </c>
      <c r="G170" s="368">
        <v>1</v>
      </c>
      <c r="H170" s="368">
        <f>IF(I170&lt;&gt;0, G170-I170, "")</f>
        <v>0</v>
      </c>
      <c r="I170" s="368">
        <v>1</v>
      </c>
      <c r="J170" s="368"/>
      <c r="K170" s="354" t="s">
        <v>1850</v>
      </c>
      <c r="L170" s="368" t="s">
        <v>1851</v>
      </c>
      <c r="M170" s="368">
        <v>8.5000000000000006E-2</v>
      </c>
      <c r="N170" s="368">
        <v>100</v>
      </c>
      <c r="O170" s="368">
        <f>IF(I170*M170=0, "", I170*M170*(N170/100))</f>
        <v>8.5000000000000006E-2</v>
      </c>
      <c r="P170" s="357"/>
      <c r="Q170" s="357">
        <f>TRUNC(P170*M170*N170/100)</f>
        <v>0</v>
      </c>
      <c r="R170" s="357"/>
      <c r="S170" s="368" t="s">
        <v>3051</v>
      </c>
      <c r="T170" s="368"/>
      <c r="AA170" s="347">
        <f>O170</f>
        <v>8.5000000000000006E-2</v>
      </c>
    </row>
    <row r="171" spans="2:28" ht="21.95" customHeight="1">
      <c r="B171" s="344" t="s">
        <v>2987</v>
      </c>
      <c r="C171" s="344" t="s">
        <v>1850</v>
      </c>
      <c r="D171" s="354" t="s">
        <v>1664</v>
      </c>
      <c r="E171" s="354" t="s">
        <v>1851</v>
      </c>
      <c r="F171" s="368" t="s">
        <v>1852</v>
      </c>
      <c r="G171" s="368">
        <f>IF(H171*I171/100+0.000005 &lt;1, TRUNC(H171*I171/100+0.000005, 옵션!$E$13), TRUNC(H171*I171/100+0.000005, 옵션!$E$13))</f>
        <v>8.5000000000000006E-2</v>
      </c>
      <c r="H171" s="368">
        <f>옵션!$B$13</f>
        <v>100</v>
      </c>
      <c r="I171" s="368">
        <f>SUM(AA170:AA170)</f>
        <v>8.5000000000000006E-2</v>
      </c>
      <c r="J171" s="368"/>
      <c r="K171" s="354"/>
      <c r="L171" s="368"/>
      <c r="M171" s="368"/>
      <c r="N171" s="368"/>
      <c r="O171" s="368" t="str">
        <f>IF(I171*M171=0, "", I171*M171*(N171/100))</f>
        <v/>
      </c>
      <c r="P171" s="357"/>
      <c r="Q171" s="357">
        <f>TRUNC(P171*M171*N171/100)</f>
        <v>0</v>
      </c>
      <c r="R171" s="357"/>
      <c r="S171" s="368"/>
      <c r="T171" s="368"/>
      <c r="Z171" s="347" t="s">
        <v>2989</v>
      </c>
      <c r="AA171" s="347">
        <f>SUM(AA170:AA170)</f>
        <v>8.5000000000000006E-2</v>
      </c>
    </row>
    <row r="172" spans="2:28" ht="21.95" customHeight="1">
      <c r="B172" s="344" t="s">
        <v>208</v>
      </c>
      <c r="D172" s="714" t="s">
        <v>3053</v>
      </c>
      <c r="E172" s="724"/>
      <c r="F172" s="724"/>
      <c r="G172" s="724"/>
      <c r="H172" s="724"/>
      <c r="I172" s="724"/>
      <c r="J172" s="724"/>
      <c r="K172" s="724"/>
      <c r="L172" s="724"/>
      <c r="M172" s="724"/>
      <c r="N172" s="724"/>
      <c r="O172" s="724"/>
      <c r="P172" s="724"/>
      <c r="Q172" s="724"/>
      <c r="R172" s="724"/>
      <c r="S172" s="724"/>
      <c r="T172" s="725"/>
    </row>
    <row r="173" spans="2:28" ht="21.95" customHeight="1">
      <c r="B173" s="344" t="s">
        <v>2987</v>
      </c>
      <c r="C173" s="344" t="s">
        <v>2087</v>
      </c>
      <c r="D173" s="354" t="s">
        <v>459</v>
      </c>
      <c r="E173" s="354" t="s">
        <v>462</v>
      </c>
      <c r="F173" s="368" t="s">
        <v>265</v>
      </c>
      <c r="G173" s="368">
        <v>1</v>
      </c>
      <c r="H173" s="368">
        <f>IF(I173&lt;&gt;0, G173-I173, "")</f>
        <v>0</v>
      </c>
      <c r="I173" s="368">
        <v>1</v>
      </c>
      <c r="J173" s="368"/>
      <c r="K173" s="354" t="s">
        <v>1850</v>
      </c>
      <c r="L173" s="368" t="s">
        <v>1851</v>
      </c>
      <c r="M173" s="368">
        <v>8.5000000000000006E-2</v>
      </c>
      <c r="N173" s="368">
        <v>100</v>
      </c>
      <c r="O173" s="368">
        <f>IF(I173*M173=0, "", I173*M173*(N173/100))</f>
        <v>8.5000000000000006E-2</v>
      </c>
      <c r="P173" s="357"/>
      <c r="Q173" s="357">
        <f>TRUNC(P173*M173*N173/100)</f>
        <v>0</v>
      </c>
      <c r="R173" s="357"/>
      <c r="S173" s="368" t="s">
        <v>3051</v>
      </c>
      <c r="T173" s="368"/>
      <c r="AA173" s="347">
        <f>O173</f>
        <v>8.5000000000000006E-2</v>
      </c>
    </row>
    <row r="174" spans="2:28" ht="21.95" customHeight="1">
      <c r="B174" s="344" t="s">
        <v>2987</v>
      </c>
      <c r="C174" s="344" t="s">
        <v>1850</v>
      </c>
      <c r="D174" s="354" t="s">
        <v>1664</v>
      </c>
      <c r="E174" s="354" t="s">
        <v>1851</v>
      </c>
      <c r="F174" s="368" t="s">
        <v>1852</v>
      </c>
      <c r="G174" s="368">
        <f>IF(H174*I174/100+0.000005 &lt;1, TRUNC(H174*I174/100+0.000005, 옵션!$E$13), TRUNC(H174*I174/100+0.000005, 옵션!$E$13))</f>
        <v>8.5000000000000006E-2</v>
      </c>
      <c r="H174" s="368">
        <f>옵션!$B$13</f>
        <v>100</v>
      </c>
      <c r="I174" s="368">
        <f>SUM(AA173:AA173)</f>
        <v>8.5000000000000006E-2</v>
      </c>
      <c r="J174" s="368"/>
      <c r="K174" s="354"/>
      <c r="L174" s="368"/>
      <c r="M174" s="368"/>
      <c r="N174" s="368"/>
      <c r="O174" s="368" t="str">
        <f>IF(I174*M174=0, "", I174*M174*(N174/100))</f>
        <v/>
      </c>
      <c r="P174" s="357"/>
      <c r="Q174" s="357">
        <f>TRUNC(P174*M174*N174/100)</f>
        <v>0</v>
      </c>
      <c r="R174" s="357"/>
      <c r="S174" s="368"/>
      <c r="T174" s="368"/>
      <c r="Z174" s="347" t="s">
        <v>2989</v>
      </c>
      <c r="AA174" s="347">
        <f>SUM(AA173:AA173)</f>
        <v>8.5000000000000006E-2</v>
      </c>
    </row>
    <row r="175" spans="2:28" ht="21.95" customHeight="1">
      <c r="B175" s="344" t="s">
        <v>208</v>
      </c>
      <c r="D175" s="714" t="s">
        <v>3054</v>
      </c>
      <c r="E175" s="724"/>
      <c r="F175" s="724"/>
      <c r="G175" s="724"/>
      <c r="H175" s="724"/>
      <c r="I175" s="724"/>
      <c r="J175" s="724"/>
      <c r="K175" s="724"/>
      <c r="L175" s="724"/>
      <c r="M175" s="724"/>
      <c r="N175" s="724"/>
      <c r="O175" s="724"/>
      <c r="P175" s="724"/>
      <c r="Q175" s="724"/>
      <c r="R175" s="724"/>
      <c r="S175" s="724"/>
      <c r="T175" s="725"/>
    </row>
    <row r="176" spans="2:28" ht="21.95" customHeight="1">
      <c r="B176" s="344" t="s">
        <v>2987</v>
      </c>
      <c r="C176" s="344" t="s">
        <v>2090</v>
      </c>
      <c r="D176" s="354" t="s">
        <v>512</v>
      </c>
      <c r="E176" s="354" t="s">
        <v>513</v>
      </c>
      <c r="F176" s="368" t="s">
        <v>265</v>
      </c>
      <c r="G176" s="368">
        <v>1</v>
      </c>
      <c r="H176" s="368">
        <f>IF(I176&lt;&gt;0, G176-I176, "")</f>
        <v>0</v>
      </c>
      <c r="I176" s="368">
        <v>1</v>
      </c>
      <c r="J176" s="368"/>
      <c r="K176" s="354" t="s">
        <v>1850</v>
      </c>
      <c r="L176" s="368" t="s">
        <v>1851</v>
      </c>
      <c r="M176" s="368">
        <v>0.08</v>
      </c>
      <c r="N176" s="368">
        <v>100</v>
      </c>
      <c r="O176" s="368">
        <f>IF(I176*M176=0, "", I176*M176*(N176/100))</f>
        <v>0.08</v>
      </c>
      <c r="P176" s="357"/>
      <c r="Q176" s="357">
        <f>TRUNC(P176*M176*N176/100)</f>
        <v>0</v>
      </c>
      <c r="R176" s="357"/>
      <c r="S176" s="368" t="s">
        <v>3055</v>
      </c>
      <c r="T176" s="368"/>
      <c r="AA176" s="347">
        <f>O176</f>
        <v>0.08</v>
      </c>
    </row>
    <row r="177" spans="2:28" ht="21.95" customHeight="1">
      <c r="B177" s="344" t="s">
        <v>2987</v>
      </c>
      <c r="C177" s="344" t="s">
        <v>1850</v>
      </c>
      <c r="D177" s="354" t="s">
        <v>1664</v>
      </c>
      <c r="E177" s="354" t="s">
        <v>1851</v>
      </c>
      <c r="F177" s="368" t="s">
        <v>1852</v>
      </c>
      <c r="G177" s="368">
        <f>IF(H177*I177/100+0.000005 &lt;1, TRUNC(H177*I177/100+0.000005, 옵션!$E$13), TRUNC(H177*I177/100+0.000005, 옵션!$E$13))</f>
        <v>0.08</v>
      </c>
      <c r="H177" s="368">
        <f>옵션!$B$13</f>
        <v>100</v>
      </c>
      <c r="I177" s="368">
        <f>SUM(AA176:AA176)</f>
        <v>0.08</v>
      </c>
      <c r="J177" s="368"/>
      <c r="K177" s="354"/>
      <c r="L177" s="368"/>
      <c r="M177" s="368"/>
      <c r="N177" s="368"/>
      <c r="O177" s="368" t="str">
        <f>IF(I177*M177=0, "", I177*M177*(N177/100))</f>
        <v/>
      </c>
      <c r="P177" s="357"/>
      <c r="Q177" s="357">
        <f>TRUNC(P177*M177*N177/100)</f>
        <v>0</v>
      </c>
      <c r="R177" s="357"/>
      <c r="S177" s="368"/>
      <c r="T177" s="368"/>
      <c r="Z177" s="347" t="s">
        <v>2989</v>
      </c>
      <c r="AA177" s="347">
        <f>SUM(AA176:AA176)</f>
        <v>0.08</v>
      </c>
    </row>
    <row r="178" spans="2:28" ht="21.95" customHeight="1">
      <c r="B178" s="344" t="s">
        <v>208</v>
      </c>
      <c r="D178" s="714" t="s">
        <v>3056</v>
      </c>
      <c r="E178" s="724"/>
      <c r="F178" s="724"/>
      <c r="G178" s="724"/>
      <c r="H178" s="724"/>
      <c r="I178" s="724"/>
      <c r="J178" s="724"/>
      <c r="K178" s="724"/>
      <c r="L178" s="724"/>
      <c r="M178" s="724"/>
      <c r="N178" s="724"/>
      <c r="O178" s="724"/>
      <c r="P178" s="724"/>
      <c r="Q178" s="724"/>
      <c r="R178" s="724"/>
      <c r="S178" s="724"/>
      <c r="T178" s="725"/>
    </row>
    <row r="179" spans="2:28" ht="21.95" customHeight="1">
      <c r="B179" s="344" t="s">
        <v>2987</v>
      </c>
      <c r="C179" s="344" t="s">
        <v>2093</v>
      </c>
      <c r="D179" s="354" t="s">
        <v>514</v>
      </c>
      <c r="E179" s="354" t="s">
        <v>513</v>
      </c>
      <c r="F179" s="368" t="s">
        <v>265</v>
      </c>
      <c r="G179" s="368">
        <v>1</v>
      </c>
      <c r="H179" s="368">
        <f>IF(I179&lt;&gt;0, G179-I179, "")</f>
        <v>0</v>
      </c>
      <c r="I179" s="368">
        <v>1</v>
      </c>
      <c r="J179" s="368"/>
      <c r="K179" s="354" t="s">
        <v>1850</v>
      </c>
      <c r="L179" s="368" t="s">
        <v>1851</v>
      </c>
      <c r="M179" s="368">
        <v>0.08</v>
      </c>
      <c r="N179" s="368">
        <v>100</v>
      </c>
      <c r="O179" s="368">
        <f>IF(I179*M179=0, "", I179*M179*(N179/100))</f>
        <v>0.08</v>
      </c>
      <c r="P179" s="357"/>
      <c r="Q179" s="357">
        <f>TRUNC(P179*M179*N179/100)</f>
        <v>0</v>
      </c>
      <c r="R179" s="357"/>
      <c r="S179" s="368" t="s">
        <v>3055</v>
      </c>
      <c r="T179" s="368"/>
      <c r="AA179" s="347">
        <f>O179</f>
        <v>0.08</v>
      </c>
    </row>
    <row r="180" spans="2:28" ht="21.95" customHeight="1">
      <c r="B180" s="344" t="s">
        <v>2987</v>
      </c>
      <c r="C180" s="344" t="s">
        <v>1850</v>
      </c>
      <c r="D180" s="354" t="s">
        <v>1664</v>
      </c>
      <c r="E180" s="354" t="s">
        <v>1851</v>
      </c>
      <c r="F180" s="368" t="s">
        <v>1852</v>
      </c>
      <c r="G180" s="368">
        <f>IF(H180*I180/100+0.000005 &lt;1, TRUNC(H180*I180/100+0.000005, 옵션!$E$13), TRUNC(H180*I180/100+0.000005, 옵션!$E$13))</f>
        <v>0.08</v>
      </c>
      <c r="H180" s="368">
        <f>옵션!$B$13</f>
        <v>100</v>
      </c>
      <c r="I180" s="368">
        <f>SUM(AA179:AA179)</f>
        <v>0.08</v>
      </c>
      <c r="J180" s="368"/>
      <c r="K180" s="354"/>
      <c r="L180" s="368"/>
      <c r="M180" s="368"/>
      <c r="N180" s="368"/>
      <c r="O180" s="368" t="str">
        <f>IF(I180*M180=0, "", I180*M180*(N180/100))</f>
        <v/>
      </c>
      <c r="P180" s="357"/>
      <c r="Q180" s="357">
        <f>TRUNC(P180*M180*N180/100)</f>
        <v>0</v>
      </c>
      <c r="R180" s="357"/>
      <c r="S180" s="368"/>
      <c r="T180" s="368"/>
      <c r="Z180" s="347" t="s">
        <v>2989</v>
      </c>
      <c r="AA180" s="347">
        <f>SUM(AA179:AA179)</f>
        <v>0.08</v>
      </c>
    </row>
    <row r="181" spans="2:28" ht="21.95" customHeight="1">
      <c r="B181" s="344" t="s">
        <v>208</v>
      </c>
      <c r="D181" s="714" t="s">
        <v>3057</v>
      </c>
      <c r="E181" s="724"/>
      <c r="F181" s="724"/>
      <c r="G181" s="724"/>
      <c r="H181" s="724"/>
      <c r="I181" s="724"/>
      <c r="J181" s="724"/>
      <c r="K181" s="724"/>
      <c r="L181" s="724"/>
      <c r="M181" s="724"/>
      <c r="N181" s="724"/>
      <c r="O181" s="724"/>
      <c r="P181" s="724"/>
      <c r="Q181" s="724"/>
      <c r="R181" s="724"/>
      <c r="S181" s="724"/>
      <c r="T181" s="725"/>
    </row>
    <row r="182" spans="2:28" ht="21.95" customHeight="1">
      <c r="B182" s="344" t="s">
        <v>2987</v>
      </c>
      <c r="C182" s="344" t="s">
        <v>2096</v>
      </c>
      <c r="D182" s="354" t="s">
        <v>354</v>
      </c>
      <c r="E182" s="354" t="s">
        <v>410</v>
      </c>
      <c r="F182" s="368" t="s">
        <v>265</v>
      </c>
      <c r="G182" s="368">
        <v>1</v>
      </c>
      <c r="H182" s="368">
        <f>IF(I182&lt;&gt;0, G182-I182, "")</f>
        <v>0</v>
      </c>
      <c r="I182" s="368">
        <v>1</v>
      </c>
      <c r="J182" s="368"/>
      <c r="K182" s="354" t="s">
        <v>1991</v>
      </c>
      <c r="L182" s="368" t="s">
        <v>1992</v>
      </c>
      <c r="M182" s="368">
        <v>0.15</v>
      </c>
      <c r="N182" s="368">
        <v>100</v>
      </c>
      <c r="O182" s="368">
        <f>IF(I182*M182=0, "", I182*M182*(N182/100))</f>
        <v>0.15</v>
      </c>
      <c r="P182" s="357"/>
      <c r="Q182" s="357">
        <f>TRUNC(P182*M182*N182/100)</f>
        <v>0</v>
      </c>
      <c r="R182" s="357"/>
      <c r="S182" s="368" t="s">
        <v>3058</v>
      </c>
      <c r="T182" s="368"/>
      <c r="AB182" s="347">
        <f>O182</f>
        <v>0.15</v>
      </c>
    </row>
    <row r="183" spans="2:28" ht="21.95" customHeight="1">
      <c r="B183" s="344" t="s">
        <v>2987</v>
      </c>
      <c r="C183" s="344" t="s">
        <v>1991</v>
      </c>
      <c r="D183" s="354" t="s">
        <v>1664</v>
      </c>
      <c r="E183" s="354" t="s">
        <v>1992</v>
      </c>
      <c r="F183" s="368" t="s">
        <v>1852</v>
      </c>
      <c r="G183" s="368">
        <f>IF(H183*I183/100+0.000005 &lt;1, TRUNC(H183*I183/100+0.000005, 옵션!$E$13), TRUNC(H183*I183/100+0.000005, 옵션!$E$13))</f>
        <v>0.15</v>
      </c>
      <c r="H183" s="368">
        <f>옵션!$B$13</f>
        <v>100</v>
      </c>
      <c r="I183" s="368">
        <f>SUM(AB182:AB182)</f>
        <v>0.15</v>
      </c>
      <c r="J183" s="368"/>
      <c r="K183" s="354"/>
      <c r="L183" s="368"/>
      <c r="M183" s="368"/>
      <c r="N183" s="368"/>
      <c r="O183" s="368" t="str">
        <f>IF(I183*M183=0, "", I183*M183*(N183/100))</f>
        <v/>
      </c>
      <c r="P183" s="357"/>
      <c r="Q183" s="357">
        <f>TRUNC(P183*M183*N183/100)</f>
        <v>0</v>
      </c>
      <c r="R183" s="357"/>
      <c r="S183" s="368"/>
      <c r="T183" s="368"/>
      <c r="Z183" s="347" t="s">
        <v>2989</v>
      </c>
      <c r="AB183" s="347">
        <f>SUM(AB182:AB182)</f>
        <v>0.15</v>
      </c>
    </row>
    <row r="184" spans="2:28" ht="21.95" customHeight="1">
      <c r="B184" s="344" t="s">
        <v>208</v>
      </c>
      <c r="D184" s="714" t="s">
        <v>3059</v>
      </c>
      <c r="E184" s="724"/>
      <c r="F184" s="724"/>
      <c r="G184" s="724"/>
      <c r="H184" s="724"/>
      <c r="I184" s="724"/>
      <c r="J184" s="724"/>
      <c r="K184" s="724"/>
      <c r="L184" s="724"/>
      <c r="M184" s="724"/>
      <c r="N184" s="724"/>
      <c r="O184" s="724"/>
      <c r="P184" s="724"/>
      <c r="Q184" s="724"/>
      <c r="R184" s="724"/>
      <c r="S184" s="724"/>
      <c r="T184" s="725"/>
    </row>
    <row r="185" spans="2:28" ht="21.95" customHeight="1">
      <c r="B185" s="344" t="s">
        <v>2987</v>
      </c>
      <c r="C185" s="344" t="s">
        <v>2099</v>
      </c>
      <c r="D185" s="354" t="s">
        <v>354</v>
      </c>
      <c r="E185" s="354" t="s">
        <v>411</v>
      </c>
      <c r="F185" s="368" t="s">
        <v>265</v>
      </c>
      <c r="G185" s="368">
        <v>1</v>
      </c>
      <c r="H185" s="368">
        <f>IF(I185&lt;&gt;0, G185-I185, "")</f>
        <v>0</v>
      </c>
      <c r="I185" s="368">
        <v>1</v>
      </c>
      <c r="J185" s="368"/>
      <c r="K185" s="354" t="s">
        <v>1991</v>
      </c>
      <c r="L185" s="368" t="s">
        <v>1992</v>
      </c>
      <c r="M185" s="368">
        <v>0.17100000000000001</v>
      </c>
      <c r="N185" s="368">
        <v>100</v>
      </c>
      <c r="O185" s="368">
        <f>IF(I185*M185=0, "", I185*M185*(N185/100))</f>
        <v>0.17100000000000001</v>
      </c>
      <c r="P185" s="357"/>
      <c r="Q185" s="357">
        <f>TRUNC(P185*M185*N185/100)</f>
        <v>0</v>
      </c>
      <c r="R185" s="357"/>
      <c r="S185" s="368" t="s">
        <v>3058</v>
      </c>
      <c r="T185" s="368"/>
      <c r="AB185" s="347">
        <f>O185</f>
        <v>0.17100000000000001</v>
      </c>
    </row>
    <row r="186" spans="2:28" ht="21.95" customHeight="1">
      <c r="B186" s="344" t="s">
        <v>2987</v>
      </c>
      <c r="C186" s="344" t="s">
        <v>1991</v>
      </c>
      <c r="D186" s="354" t="s">
        <v>1664</v>
      </c>
      <c r="E186" s="354" t="s">
        <v>1992</v>
      </c>
      <c r="F186" s="368" t="s">
        <v>1852</v>
      </c>
      <c r="G186" s="368">
        <f>IF(H186*I186/100+0.000005 &lt;1, TRUNC(H186*I186/100+0.000005, 옵션!$E$13), TRUNC(H186*I186/100+0.000005, 옵션!$E$13))</f>
        <v>0.17100000000000001</v>
      </c>
      <c r="H186" s="368">
        <f>옵션!$B$13</f>
        <v>100</v>
      </c>
      <c r="I186" s="368">
        <f>SUM(AB185:AB185)</f>
        <v>0.17100000000000001</v>
      </c>
      <c r="J186" s="368"/>
      <c r="K186" s="354"/>
      <c r="L186" s="368"/>
      <c r="M186" s="368"/>
      <c r="N186" s="368"/>
      <c r="O186" s="368" t="str">
        <f>IF(I186*M186=0, "", I186*M186*(N186/100))</f>
        <v/>
      </c>
      <c r="P186" s="357"/>
      <c r="Q186" s="357">
        <f>TRUNC(P186*M186*N186/100)</f>
        <v>0</v>
      </c>
      <c r="R186" s="357"/>
      <c r="S186" s="368"/>
      <c r="T186" s="368"/>
      <c r="Z186" s="347" t="s">
        <v>2989</v>
      </c>
      <c r="AB186" s="347">
        <f>SUM(AB185:AB185)</f>
        <v>0.17100000000000001</v>
      </c>
    </row>
    <row r="187" spans="2:28" ht="21.95" customHeight="1">
      <c r="B187" s="344" t="s">
        <v>208</v>
      </c>
      <c r="D187" s="714" t="s">
        <v>3060</v>
      </c>
      <c r="E187" s="724"/>
      <c r="F187" s="724"/>
      <c r="G187" s="724"/>
      <c r="H187" s="724"/>
      <c r="I187" s="724"/>
      <c r="J187" s="724"/>
      <c r="K187" s="724"/>
      <c r="L187" s="724"/>
      <c r="M187" s="724"/>
      <c r="N187" s="724"/>
      <c r="O187" s="724"/>
      <c r="P187" s="724"/>
      <c r="Q187" s="724"/>
      <c r="R187" s="724"/>
      <c r="S187" s="724"/>
      <c r="T187" s="725"/>
    </row>
    <row r="188" spans="2:28" ht="21.95" customHeight="1">
      <c r="B188" s="344" t="s">
        <v>2987</v>
      </c>
      <c r="C188" s="344" t="s">
        <v>2102</v>
      </c>
      <c r="D188" s="354" t="s">
        <v>354</v>
      </c>
      <c r="E188" s="354" t="s">
        <v>412</v>
      </c>
      <c r="F188" s="368" t="s">
        <v>265</v>
      </c>
      <c r="G188" s="368">
        <v>1</v>
      </c>
      <c r="H188" s="368">
        <f>IF(I188&lt;&gt;0, G188-I188, "")</f>
        <v>0</v>
      </c>
      <c r="I188" s="368">
        <v>1</v>
      </c>
      <c r="J188" s="368"/>
      <c r="K188" s="354" t="s">
        <v>1991</v>
      </c>
      <c r="L188" s="368" t="s">
        <v>1992</v>
      </c>
      <c r="M188" s="368">
        <v>0.192</v>
      </c>
      <c r="N188" s="368">
        <v>100</v>
      </c>
      <c r="O188" s="368">
        <f>IF(I188*M188=0, "", I188*M188*(N188/100))</f>
        <v>0.192</v>
      </c>
      <c r="P188" s="357"/>
      <c r="Q188" s="357">
        <f>TRUNC(P188*M188*N188/100)</f>
        <v>0</v>
      </c>
      <c r="R188" s="357"/>
      <c r="S188" s="368" t="s">
        <v>3058</v>
      </c>
      <c r="T188" s="368"/>
      <c r="AB188" s="347">
        <f>O188</f>
        <v>0.192</v>
      </c>
    </row>
    <row r="189" spans="2:28" ht="21.95" customHeight="1">
      <c r="B189" s="344" t="s">
        <v>2987</v>
      </c>
      <c r="C189" s="344" t="s">
        <v>1991</v>
      </c>
      <c r="D189" s="354" t="s">
        <v>1664</v>
      </c>
      <c r="E189" s="354" t="s">
        <v>1992</v>
      </c>
      <c r="F189" s="368" t="s">
        <v>1852</v>
      </c>
      <c r="G189" s="368">
        <f>IF(H189*I189/100+0.000005 &lt;1, TRUNC(H189*I189/100+0.000005, 옵션!$E$13), TRUNC(H189*I189/100+0.000005, 옵션!$E$13))</f>
        <v>0.192</v>
      </c>
      <c r="H189" s="368">
        <f>옵션!$B$13</f>
        <v>100</v>
      </c>
      <c r="I189" s="368">
        <f>SUM(AB188:AB188)</f>
        <v>0.192</v>
      </c>
      <c r="J189" s="368"/>
      <c r="K189" s="354"/>
      <c r="L189" s="368"/>
      <c r="M189" s="368"/>
      <c r="N189" s="368"/>
      <c r="O189" s="368" t="str">
        <f>IF(I189*M189=0, "", I189*M189*(N189/100))</f>
        <v/>
      </c>
      <c r="P189" s="357"/>
      <c r="Q189" s="357">
        <f>TRUNC(P189*M189*N189/100)</f>
        <v>0</v>
      </c>
      <c r="R189" s="357"/>
      <c r="S189" s="368"/>
      <c r="T189" s="368"/>
      <c r="Z189" s="347" t="s">
        <v>2989</v>
      </c>
      <c r="AB189" s="347">
        <f>SUM(AB188:AB188)</f>
        <v>0.192</v>
      </c>
    </row>
    <row r="190" spans="2:28" ht="21.95" customHeight="1">
      <c r="B190" s="344" t="s">
        <v>208</v>
      </c>
      <c r="D190" s="714" t="s">
        <v>3061</v>
      </c>
      <c r="E190" s="724"/>
      <c r="F190" s="724"/>
      <c r="G190" s="724"/>
      <c r="H190" s="724"/>
      <c r="I190" s="724"/>
      <c r="J190" s="724"/>
      <c r="K190" s="724"/>
      <c r="L190" s="724"/>
      <c r="M190" s="724"/>
      <c r="N190" s="724"/>
      <c r="O190" s="724"/>
      <c r="P190" s="724"/>
      <c r="Q190" s="724"/>
      <c r="R190" s="724"/>
      <c r="S190" s="724"/>
      <c r="T190" s="725"/>
    </row>
    <row r="191" spans="2:28" ht="21.95" customHeight="1">
      <c r="B191" s="344" t="s">
        <v>2987</v>
      </c>
      <c r="C191" s="344" t="s">
        <v>2105</v>
      </c>
      <c r="D191" s="354" t="s">
        <v>354</v>
      </c>
      <c r="E191" s="354" t="s">
        <v>355</v>
      </c>
      <c r="F191" s="368" t="s">
        <v>265</v>
      </c>
      <c r="G191" s="368">
        <v>1</v>
      </c>
      <c r="H191" s="368">
        <f>IF(I191&lt;&gt;0, G191-I191, "")</f>
        <v>0</v>
      </c>
      <c r="I191" s="368">
        <v>1</v>
      </c>
      <c r="J191" s="368"/>
      <c r="K191" s="354" t="s">
        <v>1991</v>
      </c>
      <c r="L191" s="368" t="s">
        <v>1992</v>
      </c>
      <c r="M191" s="368">
        <v>0.23100000000000001</v>
      </c>
      <c r="N191" s="368">
        <v>100</v>
      </c>
      <c r="O191" s="368">
        <f>IF(I191*M191=0, "", I191*M191*(N191/100))</f>
        <v>0.23100000000000001</v>
      </c>
      <c r="P191" s="357"/>
      <c r="Q191" s="357">
        <f>TRUNC(P191*M191*N191/100)</f>
        <v>0</v>
      </c>
      <c r="R191" s="357"/>
      <c r="S191" s="368" t="s">
        <v>3058</v>
      </c>
      <c r="T191" s="368"/>
      <c r="AB191" s="347">
        <f>O191</f>
        <v>0.23100000000000001</v>
      </c>
    </row>
    <row r="192" spans="2:28" ht="21.95" customHeight="1">
      <c r="B192" s="344" t="s">
        <v>2987</v>
      </c>
      <c r="C192" s="344" t="s">
        <v>1991</v>
      </c>
      <c r="D192" s="354" t="s">
        <v>1664</v>
      </c>
      <c r="E192" s="354" t="s">
        <v>1992</v>
      </c>
      <c r="F192" s="368" t="s">
        <v>1852</v>
      </c>
      <c r="G192" s="368">
        <f>IF(H192*I192/100+0.000005 &lt;1, TRUNC(H192*I192/100+0.000005, 옵션!$E$13), TRUNC(H192*I192/100+0.000005, 옵션!$E$13))</f>
        <v>0.23100000000000001</v>
      </c>
      <c r="H192" s="368">
        <f>옵션!$B$13</f>
        <v>100</v>
      </c>
      <c r="I192" s="368">
        <f>SUM(AB191:AB191)</f>
        <v>0.23100000000000001</v>
      </c>
      <c r="J192" s="368"/>
      <c r="K192" s="354"/>
      <c r="L192" s="368"/>
      <c r="M192" s="368"/>
      <c r="N192" s="368"/>
      <c r="O192" s="368" t="str">
        <f>IF(I192*M192=0, "", I192*M192*(N192/100))</f>
        <v/>
      </c>
      <c r="P192" s="357"/>
      <c r="Q192" s="357">
        <f>TRUNC(P192*M192*N192/100)</f>
        <v>0</v>
      </c>
      <c r="R192" s="357"/>
      <c r="S192" s="368"/>
      <c r="T192" s="368"/>
      <c r="Z192" s="347" t="s">
        <v>2989</v>
      </c>
      <c r="AB192" s="347">
        <f>SUM(AB191:AB191)</f>
        <v>0.23100000000000001</v>
      </c>
    </row>
    <row r="193" spans="2:32" ht="21.95" customHeight="1">
      <c r="B193" s="344" t="s">
        <v>208</v>
      </c>
      <c r="D193" s="714" t="s">
        <v>3062</v>
      </c>
      <c r="E193" s="724"/>
      <c r="F193" s="724"/>
      <c r="G193" s="724"/>
      <c r="H193" s="724"/>
      <c r="I193" s="724"/>
      <c r="J193" s="724"/>
      <c r="K193" s="724"/>
      <c r="L193" s="724"/>
      <c r="M193" s="724"/>
      <c r="N193" s="724"/>
      <c r="O193" s="724"/>
      <c r="P193" s="724"/>
      <c r="Q193" s="724"/>
      <c r="R193" s="724"/>
      <c r="S193" s="724"/>
      <c r="T193" s="725"/>
    </row>
    <row r="194" spans="2:32" ht="21.95" customHeight="1">
      <c r="B194" s="344" t="s">
        <v>2987</v>
      </c>
      <c r="C194" s="344" t="s">
        <v>2108</v>
      </c>
      <c r="D194" s="354" t="s">
        <v>542</v>
      </c>
      <c r="E194" s="354" t="s">
        <v>543</v>
      </c>
      <c r="F194" s="368" t="s">
        <v>265</v>
      </c>
      <c r="G194" s="368">
        <v>1</v>
      </c>
      <c r="H194" s="368">
        <f>IF(I194&lt;&gt;0, G194-I194, "")</f>
        <v>0</v>
      </c>
      <c r="I194" s="368">
        <v>1</v>
      </c>
      <c r="J194" s="368"/>
      <c r="K194" s="354" t="s">
        <v>1991</v>
      </c>
      <c r="L194" s="368" t="s">
        <v>1992</v>
      </c>
      <c r="M194" s="368">
        <v>0.108</v>
      </c>
      <c r="N194" s="368">
        <v>100</v>
      </c>
      <c r="O194" s="368">
        <f>IF(I194*M194=0, "", I194*M194*(N194/100))</f>
        <v>0.108</v>
      </c>
      <c r="P194" s="357"/>
      <c r="Q194" s="357">
        <f>TRUNC(P194*M194*N194/100)</f>
        <v>0</v>
      </c>
      <c r="R194" s="357"/>
      <c r="S194" s="368" t="s">
        <v>3058</v>
      </c>
      <c r="T194" s="368"/>
      <c r="AB194" s="347">
        <f>O194</f>
        <v>0.108</v>
      </c>
    </row>
    <row r="195" spans="2:32" ht="21.95" customHeight="1">
      <c r="B195" s="344" t="s">
        <v>2987</v>
      </c>
      <c r="C195" s="344" t="s">
        <v>1991</v>
      </c>
      <c r="D195" s="354" t="s">
        <v>1664</v>
      </c>
      <c r="E195" s="354" t="s">
        <v>1992</v>
      </c>
      <c r="F195" s="368" t="s">
        <v>1852</v>
      </c>
      <c r="G195" s="368">
        <f>IF(H195*I195/100+0.000005 &lt;1, TRUNC(H195*I195/100+0.000005, 옵션!$E$13), TRUNC(H195*I195/100+0.000005, 옵션!$E$13))</f>
        <v>0.108</v>
      </c>
      <c r="H195" s="368">
        <f>옵션!$B$13</f>
        <v>100</v>
      </c>
      <c r="I195" s="368">
        <f>SUM(AB194:AB194)</f>
        <v>0.108</v>
      </c>
      <c r="J195" s="368"/>
      <c r="K195" s="354"/>
      <c r="L195" s="368"/>
      <c r="M195" s="368"/>
      <c r="N195" s="368"/>
      <c r="O195" s="368" t="str">
        <f>IF(I195*M195=0, "", I195*M195*(N195/100))</f>
        <v/>
      </c>
      <c r="P195" s="357"/>
      <c r="Q195" s="357">
        <f>TRUNC(P195*M195*N195/100)</f>
        <v>0</v>
      </c>
      <c r="R195" s="357"/>
      <c r="S195" s="368"/>
      <c r="T195" s="368"/>
      <c r="Z195" s="347" t="s">
        <v>2989</v>
      </c>
      <c r="AB195" s="347">
        <f>SUM(AB194:AB194)</f>
        <v>0.108</v>
      </c>
    </row>
    <row r="196" spans="2:32" ht="21.95" customHeight="1">
      <c r="B196" s="344" t="s">
        <v>208</v>
      </c>
      <c r="D196" s="714" t="s">
        <v>3063</v>
      </c>
      <c r="E196" s="724"/>
      <c r="F196" s="724"/>
      <c r="G196" s="724"/>
      <c r="H196" s="724"/>
      <c r="I196" s="724"/>
      <c r="J196" s="724"/>
      <c r="K196" s="724"/>
      <c r="L196" s="724"/>
      <c r="M196" s="724"/>
      <c r="N196" s="724"/>
      <c r="O196" s="724"/>
      <c r="P196" s="724"/>
      <c r="Q196" s="724"/>
      <c r="R196" s="724"/>
      <c r="S196" s="724"/>
      <c r="T196" s="725"/>
    </row>
    <row r="197" spans="2:32" ht="21.95" customHeight="1">
      <c r="B197" s="344" t="s">
        <v>2987</v>
      </c>
      <c r="C197" s="344" t="s">
        <v>2111</v>
      </c>
      <c r="D197" s="354" t="s">
        <v>276</v>
      </c>
      <c r="E197" s="354" t="s">
        <v>277</v>
      </c>
      <c r="F197" s="368" t="s">
        <v>255</v>
      </c>
      <c r="G197" s="368">
        <v>1</v>
      </c>
      <c r="H197" s="368">
        <f>IF(I197&lt;&gt;0, G197-I197, "")</f>
        <v>0</v>
      </c>
      <c r="I197" s="368">
        <v>1</v>
      </c>
      <c r="J197" s="368"/>
      <c r="K197" s="354" t="s">
        <v>1991</v>
      </c>
      <c r="L197" s="368" t="s">
        <v>1992</v>
      </c>
      <c r="M197" s="368">
        <v>5.0000000000000001E-4</v>
      </c>
      <c r="N197" s="368">
        <v>100</v>
      </c>
      <c r="O197" s="368">
        <f>IF(I197*M197=0, "", I197*M197*(N197/100))</f>
        <v>5.0000000000000001E-4</v>
      </c>
      <c r="P197" s="357"/>
      <c r="Q197" s="357">
        <f>TRUNC(P197*M197*N197/100)</f>
        <v>0</v>
      </c>
      <c r="R197" s="357"/>
      <c r="S197" s="368" t="s">
        <v>3064</v>
      </c>
      <c r="T197" s="368"/>
      <c r="AB197" s="347">
        <f>O197</f>
        <v>5.0000000000000001E-4</v>
      </c>
    </row>
    <row r="198" spans="2:32" ht="21.95" customHeight="1">
      <c r="B198" s="344" t="s">
        <v>2987</v>
      </c>
      <c r="C198" s="344" t="s">
        <v>2111</v>
      </c>
      <c r="D198" s="354"/>
      <c r="E198" s="354"/>
      <c r="F198" s="368"/>
      <c r="G198" s="368">
        <v>1</v>
      </c>
      <c r="H198" s="368">
        <f>IF(I198&lt;&gt;0, G198-I198, "")</f>
        <v>0</v>
      </c>
      <c r="I198" s="368">
        <v>1</v>
      </c>
      <c r="J198" s="368"/>
      <c r="K198" s="354" t="s">
        <v>1888</v>
      </c>
      <c r="L198" s="368" t="s">
        <v>1889</v>
      </c>
      <c r="M198" s="368">
        <v>1E-3</v>
      </c>
      <c r="N198" s="368">
        <v>100</v>
      </c>
      <c r="O198" s="368">
        <f>IF(I198*M198=0, "", I198*M198*(N198/100))</f>
        <v>1E-3</v>
      </c>
      <c r="P198" s="357"/>
      <c r="Q198" s="357">
        <f>TRUNC(P198*M198*N198/100)</f>
        <v>0</v>
      </c>
      <c r="R198" s="357"/>
      <c r="S198" s="368" t="s">
        <v>3064</v>
      </c>
      <c r="T198" s="368"/>
      <c r="AF198" s="347">
        <f>O198</f>
        <v>1E-3</v>
      </c>
    </row>
    <row r="199" spans="2:32" ht="21.95" customHeight="1">
      <c r="B199" s="344" t="s">
        <v>2987</v>
      </c>
      <c r="C199" s="344" t="s">
        <v>1991</v>
      </c>
      <c r="D199" s="354" t="s">
        <v>1664</v>
      </c>
      <c r="E199" s="354" t="s">
        <v>1992</v>
      </c>
      <c r="F199" s="368" t="s">
        <v>1852</v>
      </c>
      <c r="G199" s="368">
        <f>IF(H199*I199/100+0.000005 &lt;1, TRUNC(H199*I199/100+0.000005, 옵션!$E$13), TRUNC(H199*I199/100+0.000005, 옵션!$E$13))</f>
        <v>5.0000000000000001E-4</v>
      </c>
      <c r="H199" s="368">
        <f>옵션!$B$13</f>
        <v>100</v>
      </c>
      <c r="I199" s="368">
        <f>SUM(AB197:AB198)</f>
        <v>5.0000000000000001E-4</v>
      </c>
      <c r="J199" s="368"/>
      <c r="K199" s="354"/>
      <c r="L199" s="368"/>
      <c r="M199" s="368"/>
      <c r="N199" s="368"/>
      <c r="O199" s="368" t="str">
        <f>IF(I199*M199=0, "", I199*M199*(N199/100))</f>
        <v/>
      </c>
      <c r="P199" s="357"/>
      <c r="Q199" s="357">
        <f>TRUNC(P199*M199*N199/100)</f>
        <v>0</v>
      </c>
      <c r="R199" s="357"/>
      <c r="S199" s="368"/>
      <c r="T199" s="368"/>
      <c r="Z199" s="347" t="s">
        <v>2989</v>
      </c>
      <c r="AB199" s="347">
        <f>SUM(AB197:AB198)</f>
        <v>5.0000000000000001E-4</v>
      </c>
      <c r="AF199" s="347">
        <f>SUM(AF197:AF198)</f>
        <v>1E-3</v>
      </c>
    </row>
    <row r="200" spans="2:32" ht="21.95" customHeight="1">
      <c r="B200" s="344" t="s">
        <v>2987</v>
      </c>
      <c r="C200" s="344" t="s">
        <v>1888</v>
      </c>
      <c r="D200" s="354" t="s">
        <v>1664</v>
      </c>
      <c r="E200" s="354" t="s">
        <v>1889</v>
      </c>
      <c r="F200" s="368" t="s">
        <v>1852</v>
      </c>
      <c r="G200" s="368">
        <f>IF(H200*I200/100+0.000005 &lt;1, TRUNC(H200*I200/100+0.000005, 옵션!$E$13), TRUNC(H200*I200/100+0.000005, 옵션!$E$13))</f>
        <v>1E-3</v>
      </c>
      <c r="H200" s="368">
        <f>옵션!$B$13</f>
        <v>100</v>
      </c>
      <c r="I200" s="368">
        <f>SUM(AF197:AF198)</f>
        <v>1E-3</v>
      </c>
      <c r="J200" s="368"/>
      <c r="K200" s="354"/>
      <c r="L200" s="368"/>
      <c r="M200" s="368"/>
      <c r="N200" s="368"/>
      <c r="O200" s="368" t="str">
        <f>IF(I200*M200=0, "", I200*M200*(N200/100))</f>
        <v/>
      </c>
      <c r="P200" s="357"/>
      <c r="Q200" s="357">
        <f>TRUNC(P200*M200*N200/100)</f>
        <v>0</v>
      </c>
      <c r="R200" s="357"/>
      <c r="S200" s="368"/>
      <c r="T200" s="368"/>
    </row>
    <row r="201" spans="2:32" ht="21.95" customHeight="1">
      <c r="B201" s="344" t="s">
        <v>208</v>
      </c>
      <c r="D201" s="714" t="s">
        <v>3065</v>
      </c>
      <c r="E201" s="724"/>
      <c r="F201" s="724"/>
      <c r="G201" s="724"/>
      <c r="H201" s="724"/>
      <c r="I201" s="724"/>
      <c r="J201" s="724"/>
      <c r="K201" s="724"/>
      <c r="L201" s="724"/>
      <c r="M201" s="724"/>
      <c r="N201" s="724"/>
      <c r="O201" s="724"/>
      <c r="P201" s="724"/>
      <c r="Q201" s="724"/>
      <c r="R201" s="724"/>
      <c r="S201" s="724"/>
      <c r="T201" s="725"/>
    </row>
    <row r="202" spans="2:32" ht="21.95" customHeight="1">
      <c r="B202" s="344" t="s">
        <v>2987</v>
      </c>
      <c r="C202" s="344" t="s">
        <v>2114</v>
      </c>
      <c r="D202" s="354" t="s">
        <v>289</v>
      </c>
      <c r="E202" s="354" t="s">
        <v>290</v>
      </c>
      <c r="F202" s="368" t="s">
        <v>291</v>
      </c>
      <c r="G202" s="368">
        <v>1</v>
      </c>
      <c r="H202" s="368">
        <f>IF(I202&lt;&gt;0, G202-I202, "")</f>
        <v>0</v>
      </c>
      <c r="I202" s="368">
        <v>1</v>
      </c>
      <c r="J202" s="368"/>
      <c r="K202" s="354" t="s">
        <v>1850</v>
      </c>
      <c r="L202" s="368" t="s">
        <v>1851</v>
      </c>
      <c r="M202" s="368">
        <v>0.19</v>
      </c>
      <c r="N202" s="368">
        <v>100</v>
      </c>
      <c r="O202" s="368">
        <f>IF(I202*M202=0, "", I202*M202*(N202/100))</f>
        <v>0.19</v>
      </c>
      <c r="P202" s="357"/>
      <c r="Q202" s="357">
        <f>TRUNC(P202*M202*N202/100)</f>
        <v>0</v>
      </c>
      <c r="R202" s="357"/>
      <c r="S202" s="368" t="s">
        <v>3066</v>
      </c>
      <c r="T202" s="368"/>
      <c r="AA202" s="347">
        <f>O202</f>
        <v>0.19</v>
      </c>
    </row>
    <row r="203" spans="2:32" ht="21.95" customHeight="1">
      <c r="B203" s="344" t="s">
        <v>2987</v>
      </c>
      <c r="C203" s="344" t="s">
        <v>1850</v>
      </c>
      <c r="D203" s="354" t="s">
        <v>1664</v>
      </c>
      <c r="E203" s="354" t="s">
        <v>1851</v>
      </c>
      <c r="F203" s="368" t="s">
        <v>1852</v>
      </c>
      <c r="G203" s="368">
        <f>IF(H203*I203/100+0.000005 &lt;1, TRUNC(H203*I203/100+0.000005, 옵션!$E$13), TRUNC(H203*I203/100+0.000005, 옵션!$E$13))</f>
        <v>0.19</v>
      </c>
      <c r="H203" s="368">
        <f>옵션!$B$13</f>
        <v>100</v>
      </c>
      <c r="I203" s="368">
        <f>SUM(AA202:AA202)</f>
        <v>0.19</v>
      </c>
      <c r="J203" s="368"/>
      <c r="K203" s="354"/>
      <c r="L203" s="368"/>
      <c r="M203" s="368"/>
      <c r="N203" s="368"/>
      <c r="O203" s="368" t="str">
        <f>IF(I203*M203=0, "", I203*M203*(N203/100))</f>
        <v/>
      </c>
      <c r="P203" s="357"/>
      <c r="Q203" s="357">
        <f>TRUNC(P203*M203*N203/100)</f>
        <v>0</v>
      </c>
      <c r="R203" s="357"/>
      <c r="S203" s="368"/>
      <c r="T203" s="368"/>
      <c r="Z203" s="347" t="s">
        <v>2989</v>
      </c>
      <c r="AA203" s="347">
        <f>SUM(AA202:AA202)</f>
        <v>0.19</v>
      </c>
    </row>
    <row r="204" spans="2:32" ht="21.95" customHeight="1">
      <c r="B204" s="344" t="s">
        <v>208</v>
      </c>
      <c r="D204" s="714" t="s">
        <v>3067</v>
      </c>
      <c r="E204" s="724"/>
      <c r="F204" s="724"/>
      <c r="G204" s="724"/>
      <c r="H204" s="724"/>
      <c r="I204" s="724"/>
      <c r="J204" s="724"/>
      <c r="K204" s="724"/>
      <c r="L204" s="724"/>
      <c r="M204" s="724"/>
      <c r="N204" s="724"/>
      <c r="O204" s="724"/>
      <c r="P204" s="724"/>
      <c r="Q204" s="724"/>
      <c r="R204" s="724"/>
      <c r="S204" s="724"/>
      <c r="T204" s="725"/>
    </row>
    <row r="205" spans="2:32" ht="21.95" customHeight="1">
      <c r="B205" s="344" t="s">
        <v>2987</v>
      </c>
      <c r="C205" s="344" t="s">
        <v>2117</v>
      </c>
      <c r="D205" s="354" t="s">
        <v>463</v>
      </c>
      <c r="E205" s="354" t="s">
        <v>464</v>
      </c>
      <c r="F205" s="368" t="s">
        <v>280</v>
      </c>
      <c r="G205" s="368">
        <v>1</v>
      </c>
      <c r="H205" s="368">
        <f>IF(I205&lt;&gt;0, G205-I205, "")</f>
        <v>0</v>
      </c>
      <c r="I205" s="368">
        <v>1</v>
      </c>
      <c r="J205" s="368"/>
      <c r="K205" s="354" t="s">
        <v>1850</v>
      </c>
      <c r="L205" s="368" t="s">
        <v>1851</v>
      </c>
      <c r="M205" s="368">
        <v>0.1</v>
      </c>
      <c r="N205" s="368">
        <v>100</v>
      </c>
      <c r="O205" s="368">
        <f>IF(I205*M205=0, "", I205*M205*(N205/100))</f>
        <v>0.1</v>
      </c>
      <c r="P205" s="357"/>
      <c r="Q205" s="357">
        <f>TRUNC(P205*M205*N205/100)</f>
        <v>0</v>
      </c>
      <c r="R205" s="357"/>
      <c r="S205" s="368" t="s">
        <v>2988</v>
      </c>
      <c r="T205" s="368"/>
      <c r="AA205" s="347">
        <f>O205</f>
        <v>0.1</v>
      </c>
    </row>
    <row r="206" spans="2:32" ht="21.95" customHeight="1">
      <c r="B206" s="344" t="s">
        <v>2987</v>
      </c>
      <c r="C206" s="344" t="s">
        <v>1850</v>
      </c>
      <c r="D206" s="354" t="s">
        <v>1664</v>
      </c>
      <c r="E206" s="354" t="s">
        <v>1851</v>
      </c>
      <c r="F206" s="368" t="s">
        <v>1852</v>
      </c>
      <c r="G206" s="368">
        <f>IF(H206*I206/100+0.000005 &lt;1, TRUNC(H206*I206/100+0.000005, 옵션!$E$13), TRUNC(H206*I206/100+0.000005, 옵션!$E$13))</f>
        <v>0.1</v>
      </c>
      <c r="H206" s="368">
        <f>옵션!$B$13</f>
        <v>100</v>
      </c>
      <c r="I206" s="368">
        <f>SUM(AA205:AA205)</f>
        <v>0.1</v>
      </c>
      <c r="J206" s="368"/>
      <c r="K206" s="354"/>
      <c r="L206" s="368"/>
      <c r="M206" s="368"/>
      <c r="N206" s="368"/>
      <c r="O206" s="368" t="str">
        <f>IF(I206*M206=0, "", I206*M206*(N206/100))</f>
        <v/>
      </c>
      <c r="P206" s="357"/>
      <c r="Q206" s="357">
        <f>TRUNC(P206*M206*N206/100)</f>
        <v>0</v>
      </c>
      <c r="R206" s="357"/>
      <c r="S206" s="368"/>
      <c r="T206" s="368"/>
      <c r="Z206" s="347" t="s">
        <v>2989</v>
      </c>
      <c r="AA206" s="347">
        <f>SUM(AA205:AA205)</f>
        <v>0.1</v>
      </c>
    </row>
    <row r="207" spans="2:32" ht="21.95" customHeight="1">
      <c r="B207" s="344" t="s">
        <v>208</v>
      </c>
      <c r="D207" s="714" t="s">
        <v>3068</v>
      </c>
      <c r="E207" s="724"/>
      <c r="F207" s="724"/>
      <c r="G207" s="724"/>
      <c r="H207" s="724"/>
      <c r="I207" s="724"/>
      <c r="J207" s="724"/>
      <c r="K207" s="724"/>
      <c r="L207" s="724"/>
      <c r="M207" s="724"/>
      <c r="N207" s="724"/>
      <c r="O207" s="724"/>
      <c r="P207" s="724"/>
      <c r="Q207" s="724"/>
      <c r="R207" s="724"/>
      <c r="S207" s="724"/>
      <c r="T207" s="725"/>
    </row>
    <row r="208" spans="2:32" ht="21.95" customHeight="1">
      <c r="B208" s="344" t="s">
        <v>2987</v>
      </c>
      <c r="C208" s="344" t="s">
        <v>2120</v>
      </c>
      <c r="D208" s="354" t="s">
        <v>270</v>
      </c>
      <c r="E208" s="354" t="s">
        <v>272</v>
      </c>
      <c r="F208" s="368" t="s">
        <v>255</v>
      </c>
      <c r="G208" s="368">
        <v>1</v>
      </c>
      <c r="H208" s="368">
        <f>IF(I208&lt;&gt;0, G208-I208, "")</f>
        <v>0</v>
      </c>
      <c r="I208" s="368">
        <v>1</v>
      </c>
      <c r="J208" s="368"/>
      <c r="K208" s="354" t="s">
        <v>1991</v>
      </c>
      <c r="L208" s="368" t="s">
        <v>1992</v>
      </c>
      <c r="M208" s="368">
        <v>4.62E-3</v>
      </c>
      <c r="N208" s="368">
        <v>190</v>
      </c>
      <c r="O208" s="368">
        <f>IF(I208*M208=0, "", I208*M208*(N208/100))</f>
        <v>8.7779999999999993E-3</v>
      </c>
      <c r="P208" s="357"/>
      <c r="Q208" s="357">
        <f>TRUNC(P208*M208*N208/100)</f>
        <v>0</v>
      </c>
      <c r="R208" s="357"/>
      <c r="S208" s="368" t="s">
        <v>3069</v>
      </c>
      <c r="T208" s="368"/>
      <c r="AB208" s="347">
        <f>O208</f>
        <v>8.7779999999999993E-3</v>
      </c>
    </row>
    <row r="209" spans="2:32" ht="21.95" customHeight="1">
      <c r="B209" s="344" t="s">
        <v>2987</v>
      </c>
      <c r="C209" s="344" t="s">
        <v>2120</v>
      </c>
      <c r="D209" s="354"/>
      <c r="E209" s="354"/>
      <c r="F209" s="368"/>
      <c r="G209" s="368">
        <v>1</v>
      </c>
      <c r="H209" s="368">
        <f>IF(I209&lt;&gt;0, G209-I209, "")</f>
        <v>0</v>
      </c>
      <c r="I209" s="368">
        <v>1</v>
      </c>
      <c r="J209" s="368"/>
      <c r="K209" s="354" t="s">
        <v>1888</v>
      </c>
      <c r="L209" s="368" t="s">
        <v>1889</v>
      </c>
      <c r="M209" s="368">
        <v>4.62E-3</v>
      </c>
      <c r="N209" s="368">
        <v>190</v>
      </c>
      <c r="O209" s="368">
        <f>IF(I209*M209=0, "", I209*M209*(N209/100))</f>
        <v>8.7779999999999993E-3</v>
      </c>
      <c r="P209" s="357"/>
      <c r="Q209" s="357">
        <f>TRUNC(P209*M209*N209/100)</f>
        <v>0</v>
      </c>
      <c r="R209" s="357"/>
      <c r="S209" s="368" t="s">
        <v>3069</v>
      </c>
      <c r="T209" s="368"/>
      <c r="AF209" s="347">
        <f>O209</f>
        <v>8.7779999999999993E-3</v>
      </c>
    </row>
    <row r="210" spans="2:32" ht="21.95" customHeight="1">
      <c r="B210" s="344" t="s">
        <v>2987</v>
      </c>
      <c r="C210" s="344" t="s">
        <v>1991</v>
      </c>
      <c r="D210" s="354" t="s">
        <v>1664</v>
      </c>
      <c r="E210" s="354" t="s">
        <v>1992</v>
      </c>
      <c r="F210" s="368" t="s">
        <v>1852</v>
      </c>
      <c r="G210" s="368">
        <f>IF(H210*I210/100+0.0000005 &lt;1, TRUNC(H210*I210/100+0.0000005, 옵션!$E$13), TRUNC(H210*I210/100+0.0000005, 옵션!$E$13))</f>
        <v>8.77E-3</v>
      </c>
      <c r="H210" s="368">
        <f>옵션!$B$13</f>
        <v>100</v>
      </c>
      <c r="I210" s="368">
        <f>SUM(AB208:AB209)</f>
        <v>8.7779999999999993E-3</v>
      </c>
      <c r="J210" s="368"/>
      <c r="K210" s="354"/>
      <c r="L210" s="368"/>
      <c r="M210" s="368"/>
      <c r="N210" s="368"/>
      <c r="O210" s="368" t="str">
        <f>IF(I210*M210=0, "", I210*M210*(N210/100))</f>
        <v/>
      </c>
      <c r="P210" s="357"/>
      <c r="Q210" s="357">
        <f>TRUNC(P210*M210*N210/100)</f>
        <v>0</v>
      </c>
      <c r="R210" s="357"/>
      <c r="S210" s="368"/>
      <c r="T210" s="368"/>
      <c r="Z210" s="347" t="s">
        <v>2989</v>
      </c>
      <c r="AB210" s="347">
        <f>SUM(AB208:AB209)</f>
        <v>8.7779999999999993E-3</v>
      </c>
      <c r="AF210" s="347">
        <f>SUM(AF208:AF209)</f>
        <v>8.7779999999999993E-3</v>
      </c>
    </row>
    <row r="211" spans="2:32" ht="21.95" customHeight="1">
      <c r="B211" s="344" t="s">
        <v>2987</v>
      </c>
      <c r="C211" s="344" t="s">
        <v>1888</v>
      </c>
      <c r="D211" s="354" t="s">
        <v>1664</v>
      </c>
      <c r="E211" s="354" t="s">
        <v>1889</v>
      </c>
      <c r="F211" s="368" t="s">
        <v>1852</v>
      </c>
      <c r="G211" s="368">
        <f>IF(H211*I211/100+0.0000005 &lt;1, TRUNC(H211*I211/100+0.0000005, 옵션!$E$13), TRUNC(H211*I211/100+0.0000005, 옵션!$E$13))</f>
        <v>8.77E-3</v>
      </c>
      <c r="H211" s="368">
        <f>옵션!$B$13</f>
        <v>100</v>
      </c>
      <c r="I211" s="368">
        <f>SUM(AF208:AF209)</f>
        <v>8.7779999999999993E-3</v>
      </c>
      <c r="J211" s="368"/>
      <c r="K211" s="354"/>
      <c r="L211" s="368"/>
      <c r="M211" s="368"/>
      <c r="N211" s="368"/>
      <c r="O211" s="368" t="str">
        <f>IF(I211*M211=0, "", I211*M211*(N211/100))</f>
        <v/>
      </c>
      <c r="P211" s="357"/>
      <c r="Q211" s="357">
        <f>TRUNC(P211*M211*N211/100)</f>
        <v>0</v>
      </c>
      <c r="R211" s="357"/>
      <c r="S211" s="368"/>
      <c r="T211" s="368"/>
    </row>
    <row r="212" spans="2:32" ht="21.95" customHeight="1">
      <c r="B212" s="344" t="s">
        <v>208</v>
      </c>
      <c r="D212" s="714" t="s">
        <v>3070</v>
      </c>
      <c r="E212" s="724"/>
      <c r="F212" s="724"/>
      <c r="G212" s="724"/>
      <c r="H212" s="724"/>
      <c r="I212" s="724"/>
      <c r="J212" s="724"/>
      <c r="K212" s="724"/>
      <c r="L212" s="724"/>
      <c r="M212" s="724"/>
      <c r="N212" s="724"/>
      <c r="O212" s="724"/>
      <c r="P212" s="724"/>
      <c r="Q212" s="724"/>
      <c r="R212" s="724"/>
      <c r="S212" s="724"/>
      <c r="T212" s="725"/>
    </row>
    <row r="213" spans="2:32" ht="21.95" customHeight="1">
      <c r="B213" s="344" t="s">
        <v>2987</v>
      </c>
      <c r="C213" s="344" t="s">
        <v>2123</v>
      </c>
      <c r="D213" s="354" t="s">
        <v>270</v>
      </c>
      <c r="E213" s="354" t="s">
        <v>273</v>
      </c>
      <c r="F213" s="368" t="s">
        <v>255</v>
      </c>
      <c r="G213" s="368">
        <v>1</v>
      </c>
      <c r="H213" s="368">
        <f>IF(I213&lt;&gt;0, G213-I213, "")</f>
        <v>0</v>
      </c>
      <c r="I213" s="368">
        <v>1</v>
      </c>
      <c r="J213" s="368"/>
      <c r="K213" s="354" t="s">
        <v>1991</v>
      </c>
      <c r="L213" s="368" t="s">
        <v>1992</v>
      </c>
      <c r="M213" s="368">
        <v>4.62E-3</v>
      </c>
      <c r="N213" s="368">
        <v>171</v>
      </c>
      <c r="O213" s="368">
        <f>IF(I213*M213=0, "", I213*M213*(N213/100))</f>
        <v>7.9001999999999996E-3</v>
      </c>
      <c r="P213" s="357"/>
      <c r="Q213" s="357">
        <f>TRUNC(P213*M213*N213/100)</f>
        <v>0</v>
      </c>
      <c r="R213" s="357"/>
      <c r="S213" s="368" t="s">
        <v>3069</v>
      </c>
      <c r="T213" s="368"/>
      <c r="AB213" s="347">
        <f>O213</f>
        <v>7.9001999999999996E-3</v>
      </c>
    </row>
    <row r="214" spans="2:32" ht="21.95" customHeight="1">
      <c r="B214" s="344" t="s">
        <v>2987</v>
      </c>
      <c r="C214" s="344" t="s">
        <v>2123</v>
      </c>
      <c r="D214" s="354"/>
      <c r="E214" s="354"/>
      <c r="F214" s="368"/>
      <c r="G214" s="368">
        <v>1</v>
      </c>
      <c r="H214" s="368">
        <f>IF(I214&lt;&gt;0, G214-I214, "")</f>
        <v>0</v>
      </c>
      <c r="I214" s="368">
        <v>1</v>
      </c>
      <c r="J214" s="368"/>
      <c r="K214" s="354" t="s">
        <v>1888</v>
      </c>
      <c r="L214" s="368" t="s">
        <v>1889</v>
      </c>
      <c r="M214" s="368">
        <v>4.62E-3</v>
      </c>
      <c r="N214" s="368">
        <v>171</v>
      </c>
      <c r="O214" s="368">
        <f>IF(I214*M214=0, "", I214*M214*(N214/100))</f>
        <v>7.9001999999999996E-3</v>
      </c>
      <c r="P214" s="357"/>
      <c r="Q214" s="357">
        <f>TRUNC(P214*M214*N214/100)</f>
        <v>0</v>
      </c>
      <c r="R214" s="357"/>
      <c r="S214" s="368" t="s">
        <v>3069</v>
      </c>
      <c r="T214" s="368"/>
      <c r="AF214" s="347">
        <f>O214</f>
        <v>7.9001999999999996E-3</v>
      </c>
    </row>
    <row r="215" spans="2:32" ht="21.95" customHeight="1">
      <c r="B215" s="344" t="s">
        <v>2987</v>
      </c>
      <c r="C215" s="344" t="s">
        <v>1991</v>
      </c>
      <c r="D215" s="354" t="s">
        <v>1664</v>
      </c>
      <c r="E215" s="354" t="s">
        <v>1992</v>
      </c>
      <c r="F215" s="368" t="s">
        <v>1852</v>
      </c>
      <c r="G215" s="368">
        <f>IF(H215*I215/100+0.000005 &lt;1, TRUNC(H215*I215/100+0.000005, 옵션!$E$13), TRUNC(H215*I215/100+0.000005, 옵션!$E$13))</f>
        <v>7.9000000000000008E-3</v>
      </c>
      <c r="H215" s="368">
        <f>옵션!$B$13</f>
        <v>100</v>
      </c>
      <c r="I215" s="368">
        <f>SUM(AB213:AB214)</f>
        <v>7.9001999999999996E-3</v>
      </c>
      <c r="J215" s="368"/>
      <c r="K215" s="354"/>
      <c r="L215" s="368"/>
      <c r="M215" s="368"/>
      <c r="N215" s="368"/>
      <c r="O215" s="368" t="str">
        <f>IF(I215*M215=0, "", I215*M215*(N215/100))</f>
        <v/>
      </c>
      <c r="P215" s="357"/>
      <c r="Q215" s="357">
        <f>TRUNC(P215*M215*N215/100)</f>
        <v>0</v>
      </c>
      <c r="R215" s="357"/>
      <c r="S215" s="368"/>
      <c r="T215" s="368"/>
      <c r="Z215" s="347" t="s">
        <v>2989</v>
      </c>
      <c r="AB215" s="347">
        <f>SUM(AB213:AB214)</f>
        <v>7.9001999999999996E-3</v>
      </c>
      <c r="AF215" s="347">
        <f>SUM(AF213:AF214)</f>
        <v>7.9001999999999996E-3</v>
      </c>
    </row>
    <row r="216" spans="2:32" ht="21.95" customHeight="1">
      <c r="B216" s="344" t="s">
        <v>2987</v>
      </c>
      <c r="C216" s="344" t="s">
        <v>1888</v>
      </c>
      <c r="D216" s="354" t="s">
        <v>1664</v>
      </c>
      <c r="E216" s="354" t="s">
        <v>1889</v>
      </c>
      <c r="F216" s="368" t="s">
        <v>1852</v>
      </c>
      <c r="G216" s="368">
        <f>IF(H216*I216/100+0.000005 &lt;1, TRUNC(H216*I216/100+0.000005, 옵션!$E$13), TRUNC(H216*I216/100+0.000005, 옵션!$E$13))</f>
        <v>7.9000000000000008E-3</v>
      </c>
      <c r="H216" s="368">
        <f>옵션!$B$13</f>
        <v>100</v>
      </c>
      <c r="I216" s="368">
        <f>SUM(AF213:AF214)</f>
        <v>7.9001999999999996E-3</v>
      </c>
      <c r="J216" s="368"/>
      <c r="K216" s="354"/>
      <c r="L216" s="368"/>
      <c r="M216" s="368"/>
      <c r="N216" s="368"/>
      <c r="O216" s="368" t="str">
        <f>IF(I216*M216=0, "", I216*M216*(N216/100))</f>
        <v/>
      </c>
      <c r="P216" s="357"/>
      <c r="Q216" s="357">
        <f>TRUNC(P216*M216*N216/100)</f>
        <v>0</v>
      </c>
      <c r="R216" s="357"/>
      <c r="S216" s="368"/>
      <c r="T216" s="368"/>
    </row>
    <row r="217" spans="2:32" ht="21.95" customHeight="1">
      <c r="B217" s="344" t="s">
        <v>208</v>
      </c>
      <c r="D217" s="714" t="s">
        <v>3071</v>
      </c>
      <c r="E217" s="724"/>
      <c r="F217" s="724"/>
      <c r="G217" s="724"/>
      <c r="H217" s="724"/>
      <c r="I217" s="724"/>
      <c r="J217" s="724"/>
      <c r="K217" s="724"/>
      <c r="L217" s="724"/>
      <c r="M217" s="724"/>
      <c r="N217" s="724"/>
      <c r="O217" s="724"/>
      <c r="P217" s="724"/>
      <c r="Q217" s="724"/>
      <c r="R217" s="724"/>
      <c r="S217" s="724"/>
      <c r="T217" s="725"/>
    </row>
    <row r="218" spans="2:32" ht="21.95" customHeight="1">
      <c r="B218" s="344" t="s">
        <v>2987</v>
      </c>
      <c r="C218" s="344" t="s">
        <v>2126</v>
      </c>
      <c r="D218" s="354" t="s">
        <v>270</v>
      </c>
      <c r="E218" s="354" t="s">
        <v>271</v>
      </c>
      <c r="F218" s="368" t="s">
        <v>255</v>
      </c>
      <c r="G218" s="368">
        <v>1</v>
      </c>
      <c r="H218" s="368">
        <f>IF(I218&lt;&gt;0, G218-I218, "")</f>
        <v>0</v>
      </c>
      <c r="I218" s="368">
        <v>1</v>
      </c>
      <c r="J218" s="368"/>
      <c r="K218" s="354" t="s">
        <v>1991</v>
      </c>
      <c r="L218" s="368" t="s">
        <v>1992</v>
      </c>
      <c r="M218" s="368">
        <v>4.62E-3</v>
      </c>
      <c r="N218" s="368">
        <v>190</v>
      </c>
      <c r="O218" s="368">
        <f>IF(I218*M218=0, "", I218*M218*(N218/100))</f>
        <v>8.7779999999999993E-3</v>
      </c>
      <c r="P218" s="357"/>
      <c r="Q218" s="357">
        <f>TRUNC(P218*M218*N218/100)</f>
        <v>0</v>
      </c>
      <c r="R218" s="357"/>
      <c r="S218" s="368" t="s">
        <v>3069</v>
      </c>
      <c r="T218" s="368"/>
      <c r="AB218" s="347">
        <f>O218</f>
        <v>8.7779999999999993E-3</v>
      </c>
    </row>
    <row r="219" spans="2:32" ht="21.95" customHeight="1">
      <c r="B219" s="344" t="s">
        <v>2987</v>
      </c>
      <c r="C219" s="344" t="s">
        <v>2126</v>
      </c>
      <c r="D219" s="354"/>
      <c r="E219" s="354"/>
      <c r="F219" s="368"/>
      <c r="G219" s="368">
        <v>1</v>
      </c>
      <c r="H219" s="368">
        <f>IF(I219&lt;&gt;0, G219-I219, "")</f>
        <v>0</v>
      </c>
      <c r="I219" s="368">
        <v>1</v>
      </c>
      <c r="J219" s="368"/>
      <c r="K219" s="354" t="s">
        <v>1888</v>
      </c>
      <c r="L219" s="368" t="s">
        <v>1889</v>
      </c>
      <c r="M219" s="368">
        <v>4.62E-3</v>
      </c>
      <c r="N219" s="368">
        <v>190</v>
      </c>
      <c r="O219" s="368">
        <f>IF(I219*M219=0, "", I219*M219*(N219/100))</f>
        <v>8.7779999999999993E-3</v>
      </c>
      <c r="P219" s="357"/>
      <c r="Q219" s="357">
        <f>TRUNC(P219*M219*N219/100)</f>
        <v>0</v>
      </c>
      <c r="R219" s="357"/>
      <c r="S219" s="368" t="s">
        <v>3069</v>
      </c>
      <c r="T219" s="368"/>
      <c r="AF219" s="347">
        <f>O219</f>
        <v>8.7779999999999993E-3</v>
      </c>
    </row>
    <row r="220" spans="2:32" ht="21.95" customHeight="1">
      <c r="B220" s="344" t="s">
        <v>2987</v>
      </c>
      <c r="C220" s="344" t="s">
        <v>1991</v>
      </c>
      <c r="D220" s="354" t="s">
        <v>1664</v>
      </c>
      <c r="E220" s="354" t="s">
        <v>1992</v>
      </c>
      <c r="F220" s="368" t="s">
        <v>1852</v>
      </c>
      <c r="G220" s="368">
        <f>IF(H220*I220/100+0.0000005 &lt;1, TRUNC(H220*I220/100+0.0000005, 옵션!$E$13), TRUNC(H220*I220/100+0.0000005, 옵션!$E$13))</f>
        <v>8.77E-3</v>
      </c>
      <c r="H220" s="368">
        <f>옵션!$B$13</f>
        <v>100</v>
      </c>
      <c r="I220" s="368">
        <f>SUM(AB218:AB219)</f>
        <v>8.7779999999999993E-3</v>
      </c>
      <c r="J220" s="368"/>
      <c r="K220" s="354"/>
      <c r="L220" s="368"/>
      <c r="M220" s="368"/>
      <c r="N220" s="368"/>
      <c r="O220" s="368" t="str">
        <f>IF(I220*M220=0, "", I220*M220*(N220/100))</f>
        <v/>
      </c>
      <c r="P220" s="357"/>
      <c r="Q220" s="357">
        <f>TRUNC(P220*M220*N220/100)</f>
        <v>0</v>
      </c>
      <c r="R220" s="357"/>
      <c r="S220" s="368"/>
      <c r="T220" s="368"/>
      <c r="Z220" s="347" t="s">
        <v>2989</v>
      </c>
      <c r="AB220" s="347">
        <f>SUM(AB218:AB219)</f>
        <v>8.7779999999999993E-3</v>
      </c>
      <c r="AF220" s="347">
        <f>SUM(AF218:AF219)</f>
        <v>8.7779999999999993E-3</v>
      </c>
    </row>
    <row r="221" spans="2:32" ht="21.95" customHeight="1">
      <c r="B221" s="344" t="s">
        <v>2987</v>
      </c>
      <c r="C221" s="344" t="s">
        <v>1888</v>
      </c>
      <c r="D221" s="354" t="s">
        <v>1664</v>
      </c>
      <c r="E221" s="354" t="s">
        <v>1889</v>
      </c>
      <c r="F221" s="368" t="s">
        <v>1852</v>
      </c>
      <c r="G221" s="368">
        <f>IF(H221*I221/100+0.0000005 &lt;1, TRUNC(H221*I221/100+0.0000005, 옵션!$E$13), TRUNC(H221*I221/100+0.0000005, 옵션!$E$13))</f>
        <v>8.77E-3</v>
      </c>
      <c r="H221" s="368">
        <f>옵션!$B$13</f>
        <v>100</v>
      </c>
      <c r="I221" s="368">
        <f>SUM(AF218:AF219)</f>
        <v>8.7779999999999993E-3</v>
      </c>
      <c r="J221" s="368"/>
      <c r="K221" s="354"/>
      <c r="L221" s="368"/>
      <c r="M221" s="368"/>
      <c r="N221" s="368"/>
      <c r="O221" s="368" t="str">
        <f>IF(I221*M221=0, "", I221*M221*(N221/100))</f>
        <v/>
      </c>
      <c r="P221" s="357"/>
      <c r="Q221" s="357">
        <f>TRUNC(P221*M221*N221/100)</f>
        <v>0</v>
      </c>
      <c r="R221" s="357"/>
      <c r="S221" s="368"/>
      <c r="T221" s="368"/>
    </row>
    <row r="222" spans="2:32" ht="21.95" customHeight="1">
      <c r="B222" s="344" t="s">
        <v>208</v>
      </c>
      <c r="D222" s="714" t="s">
        <v>3072</v>
      </c>
      <c r="E222" s="724"/>
      <c r="F222" s="724"/>
      <c r="G222" s="724"/>
      <c r="H222" s="724"/>
      <c r="I222" s="724"/>
      <c r="J222" s="724"/>
      <c r="K222" s="724"/>
      <c r="L222" s="724"/>
      <c r="M222" s="724"/>
      <c r="N222" s="724"/>
      <c r="O222" s="724"/>
      <c r="P222" s="724"/>
      <c r="Q222" s="724"/>
      <c r="R222" s="724"/>
      <c r="S222" s="724"/>
      <c r="T222" s="725"/>
    </row>
    <row r="223" spans="2:32" ht="21.95" customHeight="1">
      <c r="B223" s="344" t="s">
        <v>2987</v>
      </c>
      <c r="C223" s="344" t="s">
        <v>2129</v>
      </c>
      <c r="D223" s="354" t="s">
        <v>268</v>
      </c>
      <c r="E223" s="354" t="s">
        <v>269</v>
      </c>
      <c r="F223" s="368" t="s">
        <v>255</v>
      </c>
      <c r="G223" s="368">
        <v>1</v>
      </c>
      <c r="H223" s="368">
        <f>IF(I223&lt;&gt;0, G223-I223, "")</f>
        <v>0</v>
      </c>
      <c r="I223" s="368">
        <v>1</v>
      </c>
      <c r="J223" s="368"/>
      <c r="K223" s="354" t="s">
        <v>1850</v>
      </c>
      <c r="L223" s="368" t="s">
        <v>1851</v>
      </c>
      <c r="M223" s="368">
        <v>6.0000000000000001E-3</v>
      </c>
      <c r="N223" s="368">
        <v>100</v>
      </c>
      <c r="O223" s="368">
        <f>IF(I223*M223=0, "", I223*M223*(N223/100))</f>
        <v>6.0000000000000001E-3</v>
      </c>
      <c r="P223" s="357"/>
      <c r="Q223" s="357">
        <f>TRUNC(P223*M223*N223/100)</f>
        <v>0</v>
      </c>
      <c r="R223" s="357"/>
      <c r="S223" s="368" t="s">
        <v>2995</v>
      </c>
      <c r="T223" s="368"/>
      <c r="AA223" s="347">
        <f>O223</f>
        <v>6.0000000000000001E-3</v>
      </c>
    </row>
    <row r="224" spans="2:32" ht="21.95" customHeight="1">
      <c r="B224" s="344" t="s">
        <v>2987</v>
      </c>
      <c r="C224" s="344" t="s">
        <v>1850</v>
      </c>
      <c r="D224" s="354" t="s">
        <v>1664</v>
      </c>
      <c r="E224" s="354" t="s">
        <v>1851</v>
      </c>
      <c r="F224" s="368" t="s">
        <v>1852</v>
      </c>
      <c r="G224" s="368">
        <f>IF(H224*I224/100+0.000005 &lt;1, TRUNC(H224*I224/100+0.000005, 옵션!$E$13), TRUNC(H224*I224/100+0.000005, 옵션!$E$13))</f>
        <v>6.0000000000000001E-3</v>
      </c>
      <c r="H224" s="368">
        <f>옵션!$B$13</f>
        <v>100</v>
      </c>
      <c r="I224" s="368">
        <f>SUM(AA223:AA223)</f>
        <v>6.0000000000000001E-3</v>
      </c>
      <c r="J224" s="368"/>
      <c r="K224" s="354"/>
      <c r="L224" s="368"/>
      <c r="M224" s="368"/>
      <c r="N224" s="368"/>
      <c r="O224" s="368" t="str">
        <f>IF(I224*M224=0, "", I224*M224*(N224/100))</f>
        <v/>
      </c>
      <c r="P224" s="357"/>
      <c r="Q224" s="357">
        <f>TRUNC(P224*M224*N224/100)</f>
        <v>0</v>
      </c>
      <c r="R224" s="357"/>
      <c r="S224" s="368"/>
      <c r="T224" s="368"/>
      <c r="Z224" s="347" t="s">
        <v>2989</v>
      </c>
      <c r="AA224" s="347">
        <f>SUM(AA223:AA223)</f>
        <v>6.0000000000000001E-3</v>
      </c>
    </row>
    <row r="225" spans="2:32" ht="21.95" customHeight="1">
      <c r="B225" s="344" t="s">
        <v>208</v>
      </c>
      <c r="D225" s="714" t="s">
        <v>3073</v>
      </c>
      <c r="E225" s="724"/>
      <c r="F225" s="724"/>
      <c r="G225" s="724"/>
      <c r="H225" s="724"/>
      <c r="I225" s="724"/>
      <c r="J225" s="724"/>
      <c r="K225" s="724"/>
      <c r="L225" s="724"/>
      <c r="M225" s="724"/>
      <c r="N225" s="724"/>
      <c r="O225" s="724"/>
      <c r="P225" s="724"/>
      <c r="Q225" s="724"/>
      <c r="R225" s="724"/>
      <c r="S225" s="724"/>
      <c r="T225" s="725"/>
    </row>
    <row r="226" spans="2:32" ht="21.95" customHeight="1">
      <c r="B226" s="344" t="s">
        <v>2987</v>
      </c>
      <c r="C226" s="344" t="s">
        <v>2132</v>
      </c>
      <c r="D226" s="354" t="s">
        <v>270</v>
      </c>
      <c r="E226" s="354" t="s">
        <v>352</v>
      </c>
      <c r="F226" s="368" t="s">
        <v>255</v>
      </c>
      <c r="G226" s="368">
        <v>1</v>
      </c>
      <c r="H226" s="368">
        <f>IF(I226&lt;&gt;0, G226-I226, "")</f>
        <v>0</v>
      </c>
      <c r="I226" s="368">
        <v>1</v>
      </c>
      <c r="J226" s="368"/>
      <c r="K226" s="354" t="s">
        <v>1991</v>
      </c>
      <c r="L226" s="368" t="s">
        <v>1992</v>
      </c>
      <c r="M226" s="368">
        <v>1.8499999999999999E-2</v>
      </c>
      <c r="N226" s="368">
        <v>85</v>
      </c>
      <c r="O226" s="368">
        <f>IF(I226*M226=0, "", I226*M226*(N226/100))</f>
        <v>1.5724999999999999E-2</v>
      </c>
      <c r="P226" s="357"/>
      <c r="Q226" s="357">
        <f>TRUNC(P226*M226*N226/100)</f>
        <v>0</v>
      </c>
      <c r="R226" s="357"/>
      <c r="S226" s="368" t="s">
        <v>3069</v>
      </c>
      <c r="T226" s="368"/>
      <c r="AB226" s="347">
        <f>O226</f>
        <v>1.5724999999999999E-2</v>
      </c>
    </row>
    <row r="227" spans="2:32" ht="21.95" customHeight="1">
      <c r="B227" s="358" t="s">
        <v>2987</v>
      </c>
      <c r="C227" s="344" t="s">
        <v>2132</v>
      </c>
      <c r="D227" s="354"/>
      <c r="E227" s="354"/>
      <c r="F227" s="368"/>
      <c r="G227" s="368">
        <v>1</v>
      </c>
      <c r="H227" s="368">
        <f>IF(I227&lt;&gt;0, G227-I227, "")</f>
        <v>0</v>
      </c>
      <c r="I227" s="368">
        <v>1</v>
      </c>
      <c r="J227" s="368"/>
      <c r="K227" s="354" t="s">
        <v>1888</v>
      </c>
      <c r="L227" s="368" t="s">
        <v>1889</v>
      </c>
      <c r="M227" s="368">
        <v>1.8499999999999999E-2</v>
      </c>
      <c r="N227" s="368">
        <v>85</v>
      </c>
      <c r="O227" s="368">
        <f>IF(I227*M227=0, "", I227*M227*(N227/100))</f>
        <v>1.5724999999999999E-2</v>
      </c>
      <c r="P227" s="357"/>
      <c r="Q227" s="357">
        <f>TRUNC(P227*M227*N227/100)</f>
        <v>0</v>
      </c>
      <c r="R227" s="357"/>
      <c r="S227" s="368" t="s">
        <v>3069</v>
      </c>
      <c r="T227" s="368"/>
      <c r="AF227" s="347">
        <f>O227</f>
        <v>1.5724999999999999E-2</v>
      </c>
    </row>
    <row r="228" spans="2:32" ht="21.95" customHeight="1">
      <c r="B228" s="344" t="s">
        <v>2987</v>
      </c>
      <c r="C228" s="344" t="s">
        <v>1991</v>
      </c>
      <c r="D228" s="354" t="s">
        <v>1664</v>
      </c>
      <c r="E228" s="354" t="s">
        <v>1992</v>
      </c>
      <c r="F228" s="368" t="s">
        <v>1852</v>
      </c>
      <c r="G228" s="368">
        <f>IF(H228*I228/100+0.0000005 &lt;1, TRUNC(H228*I228/100+0.0000005, 옵션!$E$13), TRUNC(H228*I228/100+0.0000005, 옵션!$E$13))</f>
        <v>1.5720000000000001E-2</v>
      </c>
      <c r="H228" s="368">
        <f>옵션!$B$13</f>
        <v>100</v>
      </c>
      <c r="I228" s="368">
        <f>SUM(AB226:AB227)</f>
        <v>1.5724999999999999E-2</v>
      </c>
      <c r="J228" s="368"/>
      <c r="K228" s="354"/>
      <c r="L228" s="368"/>
      <c r="M228" s="368"/>
      <c r="N228" s="368"/>
      <c r="O228" s="368" t="str">
        <f>IF(I228*M228=0, "", I228*M228*(N228/100))</f>
        <v/>
      </c>
      <c r="P228" s="357"/>
      <c r="Q228" s="357">
        <f>TRUNC(P228*M228*N228/100)</f>
        <v>0</v>
      </c>
      <c r="R228" s="357"/>
      <c r="S228" s="368"/>
      <c r="T228" s="368"/>
      <c r="Z228" s="347" t="s">
        <v>2989</v>
      </c>
      <c r="AB228" s="347">
        <f>SUM(AB226:AB227)</f>
        <v>1.5724999999999999E-2</v>
      </c>
      <c r="AF228" s="347">
        <f>SUM(AF226:AF227)</f>
        <v>1.5724999999999999E-2</v>
      </c>
    </row>
    <row r="229" spans="2:32" ht="21.95" customHeight="1">
      <c r="B229" s="344" t="s">
        <v>2987</v>
      </c>
      <c r="C229" s="344" t="s">
        <v>1888</v>
      </c>
      <c r="D229" s="354" t="s">
        <v>1664</v>
      </c>
      <c r="E229" s="354" t="s">
        <v>1889</v>
      </c>
      <c r="F229" s="368" t="s">
        <v>1852</v>
      </c>
      <c r="G229" s="368">
        <f>IF(H229*I229/100+0.0000005 &lt;1, TRUNC(H229*I229/100+0.0000005, 옵션!$E$13), TRUNC(H229*I229/100+0.0000005, 옵션!$E$13))</f>
        <v>1.5720000000000001E-2</v>
      </c>
      <c r="H229" s="368">
        <f>옵션!$B$13</f>
        <v>100</v>
      </c>
      <c r="I229" s="368">
        <f>SUM(AF226:AF227)</f>
        <v>1.5724999999999999E-2</v>
      </c>
      <c r="J229" s="368"/>
      <c r="K229" s="354"/>
      <c r="L229" s="368"/>
      <c r="M229" s="368"/>
      <c r="N229" s="368"/>
      <c r="O229" s="368" t="str">
        <f>IF(I229*M229=0, "", I229*M229*(N229/100))</f>
        <v/>
      </c>
      <c r="P229" s="357"/>
      <c r="Q229" s="357">
        <f>TRUNC(P229*M229*N229/100)</f>
        <v>0</v>
      </c>
      <c r="R229" s="357"/>
      <c r="S229" s="368"/>
      <c r="T229" s="368"/>
    </row>
    <row r="230" spans="2:32" ht="21.95" customHeight="1">
      <c r="B230" s="344" t="s">
        <v>208</v>
      </c>
      <c r="D230" s="714" t="s">
        <v>3074</v>
      </c>
      <c r="E230" s="724"/>
      <c r="F230" s="724"/>
      <c r="G230" s="724"/>
      <c r="H230" s="724"/>
      <c r="I230" s="724"/>
      <c r="J230" s="724"/>
      <c r="K230" s="724"/>
      <c r="L230" s="724"/>
      <c r="M230" s="724"/>
      <c r="N230" s="724"/>
      <c r="O230" s="724"/>
      <c r="P230" s="724"/>
      <c r="Q230" s="724"/>
      <c r="R230" s="724"/>
      <c r="S230" s="724"/>
      <c r="T230" s="725"/>
    </row>
    <row r="231" spans="2:32" ht="21.95" customHeight="1">
      <c r="B231" s="344" t="s">
        <v>2987</v>
      </c>
      <c r="C231" s="344" t="s">
        <v>2135</v>
      </c>
      <c r="D231" s="354" t="s">
        <v>268</v>
      </c>
      <c r="E231" s="354" t="s">
        <v>537</v>
      </c>
      <c r="F231" s="368" t="s">
        <v>255</v>
      </c>
      <c r="G231" s="368">
        <v>1</v>
      </c>
      <c r="H231" s="368">
        <f>IF(I231&lt;&gt;0, G231-I231, "")</f>
        <v>0</v>
      </c>
      <c r="I231" s="368">
        <v>1</v>
      </c>
      <c r="J231" s="368"/>
      <c r="K231" s="354" t="s">
        <v>1850</v>
      </c>
      <c r="L231" s="368" t="s">
        <v>1851</v>
      </c>
      <c r="M231" s="368">
        <v>7.0000000000000001E-3</v>
      </c>
      <c r="N231" s="368">
        <v>100</v>
      </c>
      <c r="O231" s="368">
        <f>IF(I231*M231=0, "", I231*M231*(N231/100))</f>
        <v>7.0000000000000001E-3</v>
      </c>
      <c r="P231" s="357"/>
      <c r="Q231" s="357">
        <f>TRUNC(P231*M231*N231/100)</f>
        <v>0</v>
      </c>
      <c r="R231" s="357"/>
      <c r="S231" s="368" t="s">
        <v>2995</v>
      </c>
      <c r="T231" s="368"/>
      <c r="AA231" s="347">
        <f>O231</f>
        <v>7.0000000000000001E-3</v>
      </c>
    </row>
    <row r="232" spans="2:32" ht="21.95" customHeight="1">
      <c r="B232" s="344" t="s">
        <v>2987</v>
      </c>
      <c r="C232" s="344" t="s">
        <v>1850</v>
      </c>
      <c r="D232" s="354" t="s">
        <v>1664</v>
      </c>
      <c r="E232" s="354" t="s">
        <v>1851</v>
      </c>
      <c r="F232" s="368" t="s">
        <v>1852</v>
      </c>
      <c r="G232" s="368">
        <f>IF(H232*I232/100+0.000005 &lt;1, TRUNC(H232*I232/100+0.000005, 옵션!$E$13), TRUNC(H232*I232/100+0.000005, 옵션!$E$13))</f>
        <v>7.0000000000000001E-3</v>
      </c>
      <c r="H232" s="368">
        <f>옵션!$B$13</f>
        <v>100</v>
      </c>
      <c r="I232" s="368">
        <f>SUM(AA231:AA231)</f>
        <v>7.0000000000000001E-3</v>
      </c>
      <c r="J232" s="368"/>
      <c r="K232" s="354"/>
      <c r="L232" s="368"/>
      <c r="M232" s="368"/>
      <c r="N232" s="368"/>
      <c r="O232" s="368" t="str">
        <f>IF(I232*M232=0, "", I232*M232*(N232/100))</f>
        <v/>
      </c>
      <c r="P232" s="357"/>
      <c r="Q232" s="357">
        <f>TRUNC(P232*M232*N232/100)</f>
        <v>0</v>
      </c>
      <c r="R232" s="357"/>
      <c r="S232" s="368"/>
      <c r="T232" s="368"/>
      <c r="Z232" s="347" t="s">
        <v>2989</v>
      </c>
      <c r="AA232" s="347">
        <f>SUM(AA231:AA231)</f>
        <v>7.0000000000000001E-3</v>
      </c>
    </row>
    <row r="233" spans="2:32" ht="21.95" customHeight="1">
      <c r="B233" s="344" t="s">
        <v>208</v>
      </c>
      <c r="D233" s="714" t="s">
        <v>3075</v>
      </c>
      <c r="E233" s="724"/>
      <c r="F233" s="724"/>
      <c r="G233" s="724"/>
      <c r="H233" s="724"/>
      <c r="I233" s="724"/>
      <c r="J233" s="724"/>
      <c r="K233" s="724"/>
      <c r="L233" s="724"/>
      <c r="M233" s="724"/>
      <c r="N233" s="724"/>
      <c r="O233" s="724"/>
      <c r="P233" s="724"/>
      <c r="Q233" s="724"/>
      <c r="R233" s="724"/>
      <c r="S233" s="724"/>
      <c r="T233" s="725"/>
    </row>
    <row r="234" spans="2:32" ht="21.95" customHeight="1">
      <c r="B234" s="344" t="s">
        <v>2987</v>
      </c>
      <c r="C234" s="344" t="s">
        <v>2138</v>
      </c>
      <c r="D234" s="354" t="s">
        <v>256</v>
      </c>
      <c r="E234" s="354" t="s">
        <v>257</v>
      </c>
      <c r="F234" s="368" t="s">
        <v>255</v>
      </c>
      <c r="G234" s="368">
        <v>1</v>
      </c>
      <c r="H234" s="368">
        <f>IF(I234&lt;&gt;0, G234-I234, "")</f>
        <v>0</v>
      </c>
      <c r="I234" s="368">
        <v>1</v>
      </c>
      <c r="J234" s="368"/>
      <c r="K234" s="354" t="s">
        <v>1968</v>
      </c>
      <c r="L234" s="368" t="s">
        <v>1969</v>
      </c>
      <c r="M234" s="368">
        <v>6.0000000000000001E-3</v>
      </c>
      <c r="N234" s="368">
        <v>150</v>
      </c>
      <c r="O234" s="368">
        <f>IF(I234*M234=0, "", I234*M234*(N234/100))</f>
        <v>9.0000000000000011E-3</v>
      </c>
      <c r="P234" s="357"/>
      <c r="Q234" s="357">
        <f>TRUNC(P234*M234*N234/100)</f>
        <v>0</v>
      </c>
      <c r="R234" s="357"/>
      <c r="S234" s="368" t="s">
        <v>3019</v>
      </c>
      <c r="T234" s="368"/>
      <c r="AD234" s="347">
        <f>O234</f>
        <v>9.0000000000000011E-3</v>
      </c>
    </row>
    <row r="235" spans="2:32" ht="21.95" customHeight="1">
      <c r="B235" s="344" t="s">
        <v>2987</v>
      </c>
      <c r="C235" s="344" t="s">
        <v>2138</v>
      </c>
      <c r="D235" s="354"/>
      <c r="E235" s="354"/>
      <c r="F235" s="368"/>
      <c r="G235" s="368">
        <v>1</v>
      </c>
      <c r="H235" s="368">
        <f>IF(I235&lt;&gt;0, G235-I235, "")</f>
        <v>0</v>
      </c>
      <c r="I235" s="368">
        <v>1</v>
      </c>
      <c r="J235" s="368"/>
      <c r="K235" s="354" t="s">
        <v>1888</v>
      </c>
      <c r="L235" s="368" t="s">
        <v>1889</v>
      </c>
      <c r="M235" s="368">
        <v>1.4E-2</v>
      </c>
      <c r="N235" s="368">
        <v>150</v>
      </c>
      <c r="O235" s="368">
        <f>IF(I235*M235=0, "", I235*M235*(N235/100))</f>
        <v>2.1000000000000001E-2</v>
      </c>
      <c r="P235" s="357"/>
      <c r="Q235" s="357">
        <f>TRUNC(P235*M235*N235/100)</f>
        <v>0</v>
      </c>
      <c r="R235" s="357"/>
      <c r="S235" s="368" t="s">
        <v>3019</v>
      </c>
      <c r="T235" s="368"/>
      <c r="AF235" s="347">
        <f>O235</f>
        <v>2.1000000000000001E-2</v>
      </c>
    </row>
    <row r="236" spans="2:32" ht="21.95" customHeight="1">
      <c r="B236" s="344" t="s">
        <v>2987</v>
      </c>
      <c r="C236" s="344" t="s">
        <v>1968</v>
      </c>
      <c r="D236" s="354" t="s">
        <v>1664</v>
      </c>
      <c r="E236" s="354" t="s">
        <v>1969</v>
      </c>
      <c r="F236" s="368" t="s">
        <v>1852</v>
      </c>
      <c r="G236" s="368">
        <f>IF(H236*I236/100+0.000005 &lt;1, TRUNC(H236*I236/100+0.000005, 옵션!$E$13), TRUNC(H236*I236/100+0.000005, 옵션!$E$13))</f>
        <v>8.9999999999999993E-3</v>
      </c>
      <c r="H236" s="368">
        <f>옵션!$B$13</f>
        <v>100</v>
      </c>
      <c r="I236" s="368">
        <f>SUM(AD234:AD235)</f>
        <v>9.0000000000000011E-3</v>
      </c>
      <c r="J236" s="368"/>
      <c r="K236" s="354"/>
      <c r="L236" s="368"/>
      <c r="M236" s="368"/>
      <c r="N236" s="368"/>
      <c r="O236" s="368" t="str">
        <f>IF(I236*M236=0, "", I236*M236*(N236/100))</f>
        <v/>
      </c>
      <c r="P236" s="357"/>
      <c r="Q236" s="357">
        <f>TRUNC(P236*M236*N236/100)</f>
        <v>0</v>
      </c>
      <c r="R236" s="357"/>
      <c r="S236" s="368"/>
      <c r="T236" s="368"/>
      <c r="Z236" s="347" t="s">
        <v>2989</v>
      </c>
      <c r="AD236" s="347">
        <f>SUM(AD234:AD235)</f>
        <v>9.0000000000000011E-3</v>
      </c>
      <c r="AF236" s="347">
        <f>SUM(AF234:AF235)</f>
        <v>2.1000000000000001E-2</v>
      </c>
    </row>
    <row r="237" spans="2:32" ht="21.95" customHeight="1">
      <c r="B237" s="344" t="s">
        <v>2987</v>
      </c>
      <c r="C237" s="344" t="s">
        <v>1888</v>
      </c>
      <c r="D237" s="354" t="s">
        <v>1664</v>
      </c>
      <c r="E237" s="354" t="s">
        <v>1889</v>
      </c>
      <c r="F237" s="368" t="s">
        <v>1852</v>
      </c>
      <c r="G237" s="368">
        <f>IF(H237*I237/100+0.000005 &lt;1, TRUNC(H237*I237/100+0.000005, 옵션!$E$13), TRUNC(H237*I237/100+0.000005, 옵션!$E$13))</f>
        <v>2.1000000000000001E-2</v>
      </c>
      <c r="H237" s="368">
        <f>옵션!$B$13</f>
        <v>100</v>
      </c>
      <c r="I237" s="368">
        <f>SUM(AF234:AF235)</f>
        <v>2.1000000000000001E-2</v>
      </c>
      <c r="J237" s="368"/>
      <c r="K237" s="354"/>
      <c r="L237" s="368"/>
      <c r="M237" s="368"/>
      <c r="N237" s="368"/>
      <c r="O237" s="368" t="str">
        <f>IF(I237*M237=0, "", I237*M237*(N237/100))</f>
        <v/>
      </c>
      <c r="P237" s="357"/>
      <c r="Q237" s="357">
        <f>TRUNC(P237*M237*N237/100)</f>
        <v>0</v>
      </c>
      <c r="R237" s="357"/>
      <c r="S237" s="368"/>
      <c r="T237" s="368"/>
    </row>
    <row r="238" spans="2:32" ht="21.95" customHeight="1">
      <c r="B238" s="344" t="s">
        <v>208</v>
      </c>
      <c r="D238" s="714" t="s">
        <v>3076</v>
      </c>
      <c r="E238" s="724"/>
      <c r="F238" s="724"/>
      <c r="G238" s="724"/>
      <c r="H238" s="724"/>
      <c r="I238" s="724"/>
      <c r="J238" s="724"/>
      <c r="K238" s="724"/>
      <c r="L238" s="724"/>
      <c r="M238" s="724"/>
      <c r="N238" s="724"/>
      <c r="O238" s="724"/>
      <c r="P238" s="724"/>
      <c r="Q238" s="724"/>
      <c r="R238" s="724"/>
      <c r="S238" s="724"/>
      <c r="T238" s="725"/>
    </row>
    <row r="239" spans="2:32" ht="21.95" customHeight="1">
      <c r="B239" s="344" t="s">
        <v>2987</v>
      </c>
      <c r="C239" s="344" t="s">
        <v>2141</v>
      </c>
      <c r="D239" s="354" t="s">
        <v>256</v>
      </c>
      <c r="E239" s="354" t="s">
        <v>258</v>
      </c>
      <c r="F239" s="368" t="s">
        <v>255</v>
      </c>
      <c r="G239" s="368">
        <v>1</v>
      </c>
      <c r="H239" s="368">
        <f>IF(I239&lt;&gt;0, G239-I239, "")</f>
        <v>0</v>
      </c>
      <c r="I239" s="368">
        <v>1</v>
      </c>
      <c r="J239" s="368"/>
      <c r="K239" s="354" t="s">
        <v>1968</v>
      </c>
      <c r="L239" s="368" t="s">
        <v>1969</v>
      </c>
      <c r="M239" s="368">
        <v>7.0000000000000001E-3</v>
      </c>
      <c r="N239" s="368">
        <v>150</v>
      </c>
      <c r="O239" s="368">
        <f>IF(I239*M239=0, "", I239*M239*(N239/100))</f>
        <v>1.0500000000000001E-2</v>
      </c>
      <c r="P239" s="357"/>
      <c r="Q239" s="357">
        <f>TRUNC(P239*M239*N239/100)</f>
        <v>0</v>
      </c>
      <c r="R239" s="357"/>
      <c r="S239" s="368" t="s">
        <v>3019</v>
      </c>
      <c r="T239" s="368"/>
      <c r="AD239" s="347">
        <f>O239</f>
        <v>1.0500000000000001E-2</v>
      </c>
    </row>
    <row r="240" spans="2:32" ht="21.95" customHeight="1">
      <c r="B240" s="344" t="s">
        <v>2987</v>
      </c>
      <c r="C240" s="344" t="s">
        <v>2141</v>
      </c>
      <c r="D240" s="354"/>
      <c r="E240" s="354"/>
      <c r="F240" s="368"/>
      <c r="G240" s="368">
        <v>1</v>
      </c>
      <c r="H240" s="368">
        <f>IF(I240&lt;&gt;0, G240-I240, "")</f>
        <v>0</v>
      </c>
      <c r="I240" s="368">
        <v>1</v>
      </c>
      <c r="J240" s="368"/>
      <c r="K240" s="354" t="s">
        <v>1888</v>
      </c>
      <c r="L240" s="368" t="s">
        <v>1889</v>
      </c>
      <c r="M240" s="368">
        <v>1.7999999999999999E-2</v>
      </c>
      <c r="N240" s="368">
        <v>150</v>
      </c>
      <c r="O240" s="368">
        <f>IF(I240*M240=0, "", I240*M240*(N240/100))</f>
        <v>2.6999999999999996E-2</v>
      </c>
      <c r="P240" s="357"/>
      <c r="Q240" s="357">
        <f>TRUNC(P240*M240*N240/100)</f>
        <v>0</v>
      </c>
      <c r="R240" s="357"/>
      <c r="S240" s="368" t="s">
        <v>3019</v>
      </c>
      <c r="T240" s="368"/>
      <c r="AF240" s="347">
        <f>O240</f>
        <v>2.6999999999999996E-2</v>
      </c>
    </row>
    <row r="241" spans="2:32" ht="21.95" customHeight="1">
      <c r="B241" s="344" t="s">
        <v>2987</v>
      </c>
      <c r="C241" s="344" t="s">
        <v>1968</v>
      </c>
      <c r="D241" s="354" t="s">
        <v>1664</v>
      </c>
      <c r="E241" s="354" t="s">
        <v>1969</v>
      </c>
      <c r="F241" s="368" t="s">
        <v>1852</v>
      </c>
      <c r="G241" s="368">
        <f>IF(H241*I241/100+0.000005 &lt;1, TRUNC(H241*I241/100+0.000005, 옵션!$E$13), TRUNC(H241*I241/100+0.000005, 옵션!$E$13))</f>
        <v>1.0500000000000001E-2</v>
      </c>
      <c r="H241" s="368">
        <f>옵션!$B$13</f>
        <v>100</v>
      </c>
      <c r="I241" s="368">
        <f>SUM(AD239:AD240)</f>
        <v>1.0500000000000001E-2</v>
      </c>
      <c r="J241" s="368"/>
      <c r="K241" s="354"/>
      <c r="L241" s="368"/>
      <c r="M241" s="368"/>
      <c r="N241" s="368"/>
      <c r="O241" s="368" t="str">
        <f>IF(I241*M241=0, "", I241*M241*(N241/100))</f>
        <v/>
      </c>
      <c r="P241" s="357"/>
      <c r="Q241" s="357">
        <f>TRUNC(P241*M241*N241/100)</f>
        <v>0</v>
      </c>
      <c r="R241" s="357"/>
      <c r="S241" s="368"/>
      <c r="T241" s="368"/>
      <c r="Z241" s="347" t="s">
        <v>2989</v>
      </c>
      <c r="AD241" s="347">
        <f>SUM(AD239:AD240)</f>
        <v>1.0500000000000001E-2</v>
      </c>
      <c r="AF241" s="347">
        <f>SUM(AF239:AF240)</f>
        <v>2.6999999999999996E-2</v>
      </c>
    </row>
    <row r="242" spans="2:32" ht="21.95" customHeight="1">
      <c r="B242" s="344" t="s">
        <v>2987</v>
      </c>
      <c r="C242" s="344" t="s">
        <v>1888</v>
      </c>
      <c r="D242" s="354" t="s">
        <v>1664</v>
      </c>
      <c r="E242" s="354" t="s">
        <v>1889</v>
      </c>
      <c r="F242" s="368" t="s">
        <v>1852</v>
      </c>
      <c r="G242" s="368">
        <f>IF(H242*I242/100+0.000005 &lt;1, TRUNC(H242*I242/100+0.000005, 옵션!$E$13), TRUNC(H242*I242/100+0.000005, 옵션!$E$13))</f>
        <v>2.7E-2</v>
      </c>
      <c r="H242" s="368">
        <f>옵션!$B$13</f>
        <v>100</v>
      </c>
      <c r="I242" s="368">
        <f>SUM(AF239:AF240)</f>
        <v>2.6999999999999996E-2</v>
      </c>
      <c r="J242" s="368"/>
      <c r="K242" s="354"/>
      <c r="L242" s="368"/>
      <c r="M242" s="368"/>
      <c r="N242" s="368"/>
      <c r="O242" s="368" t="str">
        <f>IF(I242*M242=0, "", I242*M242*(N242/100))</f>
        <v/>
      </c>
      <c r="P242" s="357"/>
      <c r="Q242" s="357">
        <f>TRUNC(P242*M242*N242/100)</f>
        <v>0</v>
      </c>
      <c r="R242" s="357"/>
      <c r="S242" s="368"/>
      <c r="T242" s="368"/>
    </row>
    <row r="243" spans="2:32" ht="21.95" customHeight="1">
      <c r="B243" s="344" t="s">
        <v>208</v>
      </c>
      <c r="D243" s="714" t="s">
        <v>3077</v>
      </c>
      <c r="E243" s="724"/>
      <c r="F243" s="724"/>
      <c r="G243" s="724"/>
      <c r="H243" s="724"/>
      <c r="I243" s="724"/>
      <c r="J243" s="724"/>
      <c r="K243" s="724"/>
      <c r="L243" s="724"/>
      <c r="M243" s="724"/>
      <c r="N243" s="724"/>
      <c r="O243" s="724"/>
      <c r="P243" s="724"/>
      <c r="Q243" s="724"/>
      <c r="R243" s="724"/>
      <c r="S243" s="724"/>
      <c r="T243" s="725"/>
    </row>
    <row r="244" spans="2:32" ht="21.95" customHeight="1">
      <c r="B244" s="344" t="s">
        <v>2987</v>
      </c>
      <c r="C244" s="344" t="s">
        <v>1024</v>
      </c>
      <c r="D244" s="354" t="s">
        <v>465</v>
      </c>
      <c r="E244" s="354" t="s">
        <v>466</v>
      </c>
      <c r="F244" s="368" t="s">
        <v>294</v>
      </c>
      <c r="G244" s="368">
        <v>1</v>
      </c>
      <c r="H244" s="368">
        <f>IF(I244&lt;&gt;0, G244-I244, "")</f>
        <v>0</v>
      </c>
      <c r="I244" s="368">
        <v>1</v>
      </c>
      <c r="J244" s="368"/>
      <c r="K244" s="354" t="s">
        <v>1850</v>
      </c>
      <c r="L244" s="368" t="s">
        <v>1851</v>
      </c>
      <c r="M244" s="368">
        <v>0.26300000000000001</v>
      </c>
      <c r="N244" s="368">
        <v>90</v>
      </c>
      <c r="O244" s="368">
        <f>IF(I244*M244=0, "", I244*M244*(N244/100))</f>
        <v>0.23670000000000002</v>
      </c>
      <c r="P244" s="357"/>
      <c r="Q244" s="357">
        <f>TRUNC(P244*M244*N244/100)</f>
        <v>0</v>
      </c>
      <c r="R244" s="357"/>
      <c r="S244" s="368" t="s">
        <v>3078</v>
      </c>
      <c r="T244" s="368" t="s">
        <v>3079</v>
      </c>
      <c r="AA244" s="347">
        <f>O244</f>
        <v>0.23670000000000002</v>
      </c>
    </row>
    <row r="245" spans="2:32" ht="21.95" customHeight="1">
      <c r="B245" s="344" t="s">
        <v>2987</v>
      </c>
      <c r="C245" s="344" t="s">
        <v>1850</v>
      </c>
      <c r="D245" s="354" t="s">
        <v>1664</v>
      </c>
      <c r="E245" s="354" t="s">
        <v>1851</v>
      </c>
      <c r="F245" s="368" t="s">
        <v>1852</v>
      </c>
      <c r="G245" s="368">
        <f>IF(H245*I245/100+0.000005 &lt;1, TRUNC(H245*I245/100+0.000005, 옵션!$E$13), TRUNC(H245*I245/100+0.000005, 옵션!$E$13))</f>
        <v>0.23669999999999999</v>
      </c>
      <c r="H245" s="368">
        <f>옵션!$B$13</f>
        <v>100</v>
      </c>
      <c r="I245" s="368">
        <f>SUM(AA244:AA244)</f>
        <v>0.23670000000000002</v>
      </c>
      <c r="J245" s="368"/>
      <c r="K245" s="354"/>
      <c r="L245" s="368"/>
      <c r="M245" s="368"/>
      <c r="N245" s="368"/>
      <c r="O245" s="368" t="str">
        <f>IF(I245*M245=0, "", I245*M245*(N245/100))</f>
        <v/>
      </c>
      <c r="P245" s="357"/>
      <c r="Q245" s="357">
        <f>TRUNC(P245*M245*N245/100)</f>
        <v>0</v>
      </c>
      <c r="R245" s="357"/>
      <c r="S245" s="368"/>
      <c r="T245" s="368"/>
      <c r="Z245" s="347" t="s">
        <v>2989</v>
      </c>
      <c r="AA245" s="347">
        <f>SUM(AA244:AA244)</f>
        <v>0.23670000000000002</v>
      </c>
    </row>
    <row r="246" spans="2:32" ht="21.95" customHeight="1">
      <c r="B246" s="344" t="s">
        <v>208</v>
      </c>
      <c r="D246" s="714" t="s">
        <v>3080</v>
      </c>
      <c r="E246" s="724"/>
      <c r="F246" s="724"/>
      <c r="G246" s="724"/>
      <c r="H246" s="724"/>
      <c r="I246" s="724"/>
      <c r="J246" s="724"/>
      <c r="K246" s="724"/>
      <c r="L246" s="724"/>
      <c r="M246" s="724"/>
      <c r="N246" s="724"/>
      <c r="O246" s="724"/>
      <c r="P246" s="724"/>
      <c r="Q246" s="724"/>
      <c r="R246" s="724"/>
      <c r="S246" s="724"/>
      <c r="T246" s="725"/>
    </row>
    <row r="247" spans="2:32" ht="21.95" customHeight="1">
      <c r="B247" s="344" t="s">
        <v>2987</v>
      </c>
      <c r="C247" s="344" t="s">
        <v>1026</v>
      </c>
      <c r="D247" s="354" t="s">
        <v>467</v>
      </c>
      <c r="E247" s="354" t="s">
        <v>468</v>
      </c>
      <c r="F247" s="368" t="s">
        <v>294</v>
      </c>
      <c r="G247" s="368">
        <v>1</v>
      </c>
      <c r="H247" s="368">
        <f>IF(I247&lt;&gt;0, G247-I247, "")</f>
        <v>0</v>
      </c>
      <c r="I247" s="368">
        <v>1</v>
      </c>
      <c r="J247" s="368"/>
      <c r="K247" s="354" t="s">
        <v>1850</v>
      </c>
      <c r="L247" s="368" t="s">
        <v>1851</v>
      </c>
      <c r="M247" s="368">
        <v>0.221</v>
      </c>
      <c r="N247" s="368">
        <v>90</v>
      </c>
      <c r="O247" s="368">
        <f>IF(I247*M247=0, "", I247*M247*(N247/100))</f>
        <v>0.19889999999999999</v>
      </c>
      <c r="P247" s="357"/>
      <c r="Q247" s="357">
        <f>TRUNC(P247*M247*N247/100)</f>
        <v>0</v>
      </c>
      <c r="R247" s="357"/>
      <c r="S247" s="368" t="s">
        <v>3078</v>
      </c>
      <c r="T247" s="368" t="s">
        <v>3079</v>
      </c>
      <c r="AA247" s="347">
        <f>O247</f>
        <v>0.19889999999999999</v>
      </c>
    </row>
    <row r="248" spans="2:32" ht="21.95" customHeight="1">
      <c r="B248" s="344" t="s">
        <v>2987</v>
      </c>
      <c r="C248" s="344" t="s">
        <v>1850</v>
      </c>
      <c r="D248" s="354" t="s">
        <v>1664</v>
      </c>
      <c r="E248" s="354" t="s">
        <v>1851</v>
      </c>
      <c r="F248" s="368" t="s">
        <v>1852</v>
      </c>
      <c r="G248" s="368">
        <f>IF(H248*I248/100+0.000005 &lt;1, TRUNC(H248*I248/100+0.000005, 옵션!$E$13), TRUNC(H248*I248/100+0.000005, 옵션!$E$13))</f>
        <v>0.19889999999999999</v>
      </c>
      <c r="H248" s="368">
        <f>옵션!$B$13</f>
        <v>100</v>
      </c>
      <c r="I248" s="368">
        <f>SUM(AA247:AA247)</f>
        <v>0.19889999999999999</v>
      </c>
      <c r="J248" s="368"/>
      <c r="K248" s="354"/>
      <c r="L248" s="368"/>
      <c r="M248" s="368"/>
      <c r="N248" s="368"/>
      <c r="O248" s="368" t="str">
        <f>IF(I248*M248=0, "", I248*M248*(N248/100))</f>
        <v/>
      </c>
      <c r="P248" s="357"/>
      <c r="Q248" s="357">
        <f>TRUNC(P248*M248*N248/100)</f>
        <v>0</v>
      </c>
      <c r="R248" s="357"/>
      <c r="S248" s="368"/>
      <c r="T248" s="368"/>
      <c r="Z248" s="347" t="s">
        <v>2989</v>
      </c>
      <c r="AA248" s="347">
        <f>SUM(AA247:AA247)</f>
        <v>0.19889999999999999</v>
      </c>
    </row>
    <row r="249" spans="2:32" ht="21.95" customHeight="1">
      <c r="B249" s="344" t="s">
        <v>208</v>
      </c>
      <c r="D249" s="714" t="s">
        <v>3081</v>
      </c>
      <c r="E249" s="724"/>
      <c r="F249" s="724"/>
      <c r="G249" s="724"/>
      <c r="H249" s="724"/>
      <c r="I249" s="724"/>
      <c r="J249" s="724"/>
      <c r="K249" s="724"/>
      <c r="L249" s="724"/>
      <c r="M249" s="724"/>
      <c r="N249" s="724"/>
      <c r="O249" s="724"/>
      <c r="P249" s="724"/>
      <c r="Q249" s="724"/>
      <c r="R249" s="724"/>
      <c r="S249" s="724"/>
      <c r="T249" s="725"/>
    </row>
    <row r="250" spans="2:32" ht="21.95" customHeight="1">
      <c r="B250" s="344" t="s">
        <v>2987</v>
      </c>
      <c r="C250" s="344" t="s">
        <v>1028</v>
      </c>
      <c r="D250" s="354" t="s">
        <v>469</v>
      </c>
      <c r="E250" s="354" t="s">
        <v>470</v>
      </c>
      <c r="F250" s="368" t="s">
        <v>294</v>
      </c>
      <c r="G250" s="368">
        <v>1</v>
      </c>
      <c r="H250" s="368">
        <f>IF(I250&lt;&gt;0, G250-I250, "")</f>
        <v>0</v>
      </c>
      <c r="I250" s="368">
        <v>1</v>
      </c>
      <c r="J250" s="368"/>
      <c r="K250" s="354" t="s">
        <v>1850</v>
      </c>
      <c r="L250" s="368" t="s">
        <v>1851</v>
      </c>
      <c r="M250" s="368">
        <v>0.26900000000000002</v>
      </c>
      <c r="N250" s="368">
        <v>100</v>
      </c>
      <c r="O250" s="368">
        <f>IF(I250*M250=0, "", I250*M250*(N250/100))</f>
        <v>0.26900000000000002</v>
      </c>
      <c r="P250" s="357"/>
      <c r="Q250" s="357">
        <f>TRUNC(P250*M250*N250/100)</f>
        <v>0</v>
      </c>
      <c r="R250" s="357"/>
      <c r="S250" s="368" t="s">
        <v>3082</v>
      </c>
      <c r="T250" s="368" t="s">
        <v>3079</v>
      </c>
      <c r="AA250" s="347">
        <f>O250</f>
        <v>0.26900000000000002</v>
      </c>
    </row>
    <row r="251" spans="2:32" ht="21.95" customHeight="1">
      <c r="B251" s="344" t="s">
        <v>2987</v>
      </c>
      <c r="C251" s="344" t="s">
        <v>1850</v>
      </c>
      <c r="D251" s="354" t="s">
        <v>1664</v>
      </c>
      <c r="E251" s="354" t="s">
        <v>1851</v>
      </c>
      <c r="F251" s="368" t="s">
        <v>1852</v>
      </c>
      <c r="G251" s="368">
        <f>IF(H251*I251/100+0.000005 &lt;1, TRUNC(H251*I251/100+0.000005, 옵션!$E$13), TRUNC(H251*I251/100+0.000005, 옵션!$E$13))</f>
        <v>0.26900000000000002</v>
      </c>
      <c r="H251" s="368">
        <f>옵션!$B$13</f>
        <v>100</v>
      </c>
      <c r="I251" s="368">
        <f>SUM(AA250:AA250)</f>
        <v>0.26900000000000002</v>
      </c>
      <c r="J251" s="368"/>
      <c r="K251" s="354"/>
      <c r="L251" s="368"/>
      <c r="M251" s="368"/>
      <c r="N251" s="368"/>
      <c r="O251" s="368" t="str">
        <f>IF(I251*M251=0, "", I251*M251*(N251/100))</f>
        <v/>
      </c>
      <c r="P251" s="357"/>
      <c r="Q251" s="357">
        <f>TRUNC(P251*M251*N251/100)</f>
        <v>0</v>
      </c>
      <c r="R251" s="357"/>
      <c r="S251" s="368"/>
      <c r="T251" s="368"/>
      <c r="Z251" s="347" t="s">
        <v>2989</v>
      </c>
      <c r="AA251" s="347">
        <f>SUM(AA250:AA250)</f>
        <v>0.26900000000000002</v>
      </c>
    </row>
    <row r="252" spans="2:32" ht="21.95" customHeight="1">
      <c r="B252" s="344" t="s">
        <v>208</v>
      </c>
      <c r="D252" s="714" t="s">
        <v>3083</v>
      </c>
      <c r="E252" s="724"/>
      <c r="F252" s="724"/>
      <c r="G252" s="724"/>
      <c r="H252" s="724"/>
      <c r="I252" s="724"/>
      <c r="J252" s="724"/>
      <c r="K252" s="724"/>
      <c r="L252" s="724"/>
      <c r="M252" s="724"/>
      <c r="N252" s="724"/>
      <c r="O252" s="724"/>
      <c r="P252" s="724"/>
      <c r="Q252" s="724"/>
      <c r="R252" s="724"/>
      <c r="S252" s="724"/>
      <c r="T252" s="725"/>
    </row>
    <row r="253" spans="2:32" ht="21.95" customHeight="1">
      <c r="B253" s="344" t="s">
        <v>2987</v>
      </c>
      <c r="C253" s="344" t="s">
        <v>1030</v>
      </c>
      <c r="D253" s="354" t="s">
        <v>471</v>
      </c>
      <c r="E253" s="354" t="s">
        <v>472</v>
      </c>
      <c r="F253" s="368" t="s">
        <v>294</v>
      </c>
      <c r="G253" s="368">
        <v>1</v>
      </c>
      <c r="H253" s="368">
        <f>IF(I253&lt;&gt;0, G253-I253, "")</f>
        <v>0</v>
      </c>
      <c r="I253" s="368">
        <v>1</v>
      </c>
      <c r="J253" s="368"/>
      <c r="K253" s="354" t="s">
        <v>1850</v>
      </c>
      <c r="L253" s="368" t="s">
        <v>1851</v>
      </c>
      <c r="M253" s="368">
        <v>0.15</v>
      </c>
      <c r="N253" s="368">
        <v>100</v>
      </c>
      <c r="O253" s="368">
        <f>IF(I253*M253=0, "", I253*M253*(N253/100))</f>
        <v>0.15</v>
      </c>
      <c r="P253" s="357"/>
      <c r="Q253" s="357">
        <f>TRUNC(P253*M253*N253/100)</f>
        <v>0</v>
      </c>
      <c r="R253" s="357"/>
      <c r="S253" s="368" t="s">
        <v>3084</v>
      </c>
      <c r="T253" s="368" t="s">
        <v>3079</v>
      </c>
      <c r="AA253" s="347">
        <f>O253</f>
        <v>0.15</v>
      </c>
    </row>
    <row r="254" spans="2:32" ht="21.95" customHeight="1">
      <c r="B254" s="344" t="s">
        <v>2987</v>
      </c>
      <c r="C254" s="344" t="s">
        <v>1850</v>
      </c>
      <c r="D254" s="354" t="s">
        <v>1664</v>
      </c>
      <c r="E254" s="354" t="s">
        <v>1851</v>
      </c>
      <c r="F254" s="368" t="s">
        <v>1852</v>
      </c>
      <c r="G254" s="368">
        <f>IF(H254*I254/100+0.000005 &lt;1, TRUNC(H254*I254/100+0.000005, 옵션!$E$13), TRUNC(H254*I254/100+0.000005, 옵션!$E$13))</f>
        <v>0.15</v>
      </c>
      <c r="H254" s="368">
        <f>옵션!$B$13</f>
        <v>100</v>
      </c>
      <c r="I254" s="368">
        <f>SUM(AA253:AA253)</f>
        <v>0.15</v>
      </c>
      <c r="J254" s="368"/>
      <c r="K254" s="354"/>
      <c r="L254" s="368"/>
      <c r="M254" s="368"/>
      <c r="N254" s="368"/>
      <c r="O254" s="368" t="str">
        <f>IF(I254*M254=0, "", I254*M254*(N254/100))</f>
        <v/>
      </c>
      <c r="P254" s="357"/>
      <c r="Q254" s="357">
        <f>TRUNC(P254*M254*N254/100)</f>
        <v>0</v>
      </c>
      <c r="R254" s="357"/>
      <c r="S254" s="368"/>
      <c r="T254" s="368"/>
      <c r="Z254" s="347" t="s">
        <v>2989</v>
      </c>
      <c r="AA254" s="347">
        <f>SUM(AA253:AA253)</f>
        <v>0.15</v>
      </c>
    </row>
    <row r="255" spans="2:32" ht="21.95" customHeight="1">
      <c r="B255" s="344" t="s">
        <v>208</v>
      </c>
      <c r="D255" s="714" t="s">
        <v>3085</v>
      </c>
      <c r="E255" s="724"/>
      <c r="F255" s="724"/>
      <c r="G255" s="724"/>
      <c r="H255" s="724"/>
      <c r="I255" s="724"/>
      <c r="J255" s="724"/>
      <c r="K255" s="724"/>
      <c r="L255" s="724"/>
      <c r="M255" s="724"/>
      <c r="N255" s="724"/>
      <c r="O255" s="724"/>
      <c r="P255" s="724"/>
      <c r="Q255" s="724"/>
      <c r="R255" s="724"/>
      <c r="S255" s="724"/>
      <c r="T255" s="725"/>
    </row>
    <row r="256" spans="2:32" ht="21.95" customHeight="1">
      <c r="B256" s="344" t="s">
        <v>2987</v>
      </c>
      <c r="C256" s="344" t="s">
        <v>1032</v>
      </c>
      <c r="D256" s="354" t="s">
        <v>473</v>
      </c>
      <c r="E256" s="354" t="s">
        <v>474</v>
      </c>
      <c r="F256" s="368" t="s">
        <v>294</v>
      </c>
      <c r="G256" s="368">
        <v>1</v>
      </c>
      <c r="H256" s="368">
        <f>IF(I256&lt;&gt;0, G256-I256, "")</f>
        <v>0</v>
      </c>
      <c r="I256" s="368">
        <v>1</v>
      </c>
      <c r="J256" s="368"/>
      <c r="K256" s="354" t="s">
        <v>1850</v>
      </c>
      <c r="L256" s="368" t="s">
        <v>1851</v>
      </c>
      <c r="M256" s="368">
        <v>0.155</v>
      </c>
      <c r="N256" s="368">
        <v>90</v>
      </c>
      <c r="O256" s="368">
        <f>IF(I256*M256=0, "", I256*M256*(N256/100))</f>
        <v>0.13950000000000001</v>
      </c>
      <c r="P256" s="357"/>
      <c r="Q256" s="357">
        <f>TRUNC(P256*M256*N256/100)</f>
        <v>0</v>
      </c>
      <c r="R256" s="357"/>
      <c r="S256" s="368" t="s">
        <v>3078</v>
      </c>
      <c r="T256" s="368" t="s">
        <v>3079</v>
      </c>
      <c r="AA256" s="347">
        <f>O256</f>
        <v>0.13950000000000001</v>
      </c>
    </row>
    <row r="257" spans="2:27" ht="21.95" customHeight="1">
      <c r="B257" s="344" t="s">
        <v>2987</v>
      </c>
      <c r="C257" s="344" t="s">
        <v>1850</v>
      </c>
      <c r="D257" s="354" t="s">
        <v>1664</v>
      </c>
      <c r="E257" s="354" t="s">
        <v>1851</v>
      </c>
      <c r="F257" s="368" t="s">
        <v>1852</v>
      </c>
      <c r="G257" s="368">
        <f>IF(H257*I257/100+0.000005 &lt;1, TRUNC(H257*I257/100+0.000005, 옵션!$E$13), TRUNC(H257*I257/100+0.000005, 옵션!$E$13))</f>
        <v>0.13950000000000001</v>
      </c>
      <c r="H257" s="368">
        <f>옵션!$B$13</f>
        <v>100</v>
      </c>
      <c r="I257" s="368">
        <f>SUM(AA256:AA256)</f>
        <v>0.13950000000000001</v>
      </c>
      <c r="J257" s="368"/>
      <c r="K257" s="354"/>
      <c r="L257" s="368"/>
      <c r="M257" s="368"/>
      <c r="N257" s="368"/>
      <c r="O257" s="368" t="str">
        <f>IF(I257*M257=0, "", I257*M257*(N257/100))</f>
        <v/>
      </c>
      <c r="P257" s="357"/>
      <c r="Q257" s="357">
        <f>TRUNC(P257*M257*N257/100)</f>
        <v>0</v>
      </c>
      <c r="R257" s="357"/>
      <c r="S257" s="368"/>
      <c r="T257" s="368"/>
      <c r="Z257" s="347" t="s">
        <v>2989</v>
      </c>
      <c r="AA257" s="347">
        <f>SUM(AA256:AA256)</f>
        <v>0.13950000000000001</v>
      </c>
    </row>
    <row r="258" spans="2:27" ht="21.95" customHeight="1">
      <c r="B258" s="344" t="s">
        <v>208</v>
      </c>
      <c r="D258" s="714" t="s">
        <v>3086</v>
      </c>
      <c r="E258" s="724"/>
      <c r="F258" s="724"/>
      <c r="G258" s="724"/>
      <c r="H258" s="724"/>
      <c r="I258" s="724"/>
      <c r="J258" s="724"/>
      <c r="K258" s="724"/>
      <c r="L258" s="724"/>
      <c r="M258" s="724"/>
      <c r="N258" s="724"/>
      <c r="O258" s="724"/>
      <c r="P258" s="724"/>
      <c r="Q258" s="724"/>
      <c r="R258" s="724"/>
      <c r="S258" s="724"/>
      <c r="T258" s="725"/>
    </row>
    <row r="259" spans="2:27" ht="21.95" customHeight="1">
      <c r="B259" s="344" t="s">
        <v>2987</v>
      </c>
      <c r="C259" s="344" t="s">
        <v>1034</v>
      </c>
      <c r="D259" s="354" t="s">
        <v>475</v>
      </c>
      <c r="E259" s="354" t="s">
        <v>476</v>
      </c>
      <c r="F259" s="368" t="s">
        <v>294</v>
      </c>
      <c r="G259" s="368">
        <v>1</v>
      </c>
      <c r="H259" s="368">
        <f>IF(I259&lt;&gt;0, G259-I259, "")</f>
        <v>0</v>
      </c>
      <c r="I259" s="368">
        <v>1</v>
      </c>
      <c r="J259" s="368"/>
      <c r="K259" s="354" t="s">
        <v>1850</v>
      </c>
      <c r="L259" s="368" t="s">
        <v>1851</v>
      </c>
      <c r="M259" s="368">
        <v>0.11700000000000001</v>
      </c>
      <c r="N259" s="368">
        <v>90</v>
      </c>
      <c r="O259" s="368">
        <f>IF(I259*M259=0, "", I259*M259*(N259/100))</f>
        <v>0.1053</v>
      </c>
      <c r="P259" s="357"/>
      <c r="Q259" s="357">
        <f>TRUNC(P259*M259*N259/100)</f>
        <v>0</v>
      </c>
      <c r="R259" s="357"/>
      <c r="S259" s="368" t="s">
        <v>3078</v>
      </c>
      <c r="T259" s="368" t="s">
        <v>3079</v>
      </c>
      <c r="AA259" s="347">
        <f>O259</f>
        <v>0.1053</v>
      </c>
    </row>
    <row r="260" spans="2:27" ht="21.95" customHeight="1">
      <c r="B260" s="344" t="s">
        <v>2987</v>
      </c>
      <c r="C260" s="344" t="s">
        <v>1850</v>
      </c>
      <c r="D260" s="354" t="s">
        <v>1664</v>
      </c>
      <c r="E260" s="354" t="s">
        <v>1851</v>
      </c>
      <c r="F260" s="368" t="s">
        <v>1852</v>
      </c>
      <c r="G260" s="368">
        <f>IF(H260*I260/100+0.000005 &lt;1, TRUNC(H260*I260/100+0.000005, 옵션!$E$13), TRUNC(H260*I260/100+0.000005, 옵션!$E$13))</f>
        <v>0.1053</v>
      </c>
      <c r="H260" s="368">
        <f>옵션!$B$13</f>
        <v>100</v>
      </c>
      <c r="I260" s="368">
        <f>SUM(AA259:AA259)</f>
        <v>0.1053</v>
      </c>
      <c r="J260" s="368"/>
      <c r="K260" s="354"/>
      <c r="L260" s="368"/>
      <c r="M260" s="368"/>
      <c r="N260" s="368"/>
      <c r="O260" s="368" t="str">
        <f>IF(I260*M260=0, "", I260*M260*(N260/100))</f>
        <v/>
      </c>
      <c r="P260" s="357"/>
      <c r="Q260" s="357">
        <f>TRUNC(P260*M260*N260/100)</f>
        <v>0</v>
      </c>
      <c r="R260" s="357"/>
      <c r="S260" s="368"/>
      <c r="T260" s="368"/>
      <c r="Z260" s="347" t="s">
        <v>2989</v>
      </c>
      <c r="AA260" s="347">
        <f>SUM(AA259:AA259)</f>
        <v>0.1053</v>
      </c>
    </row>
    <row r="261" spans="2:27" ht="21.95" customHeight="1">
      <c r="B261" s="344" t="s">
        <v>208</v>
      </c>
      <c r="D261" s="714" t="s">
        <v>3087</v>
      </c>
      <c r="E261" s="724"/>
      <c r="F261" s="724"/>
      <c r="G261" s="724"/>
      <c r="H261" s="724"/>
      <c r="I261" s="724"/>
      <c r="J261" s="724"/>
      <c r="K261" s="724"/>
      <c r="L261" s="724"/>
      <c r="M261" s="724"/>
      <c r="N261" s="724"/>
      <c r="O261" s="724"/>
      <c r="P261" s="724"/>
      <c r="Q261" s="724"/>
      <c r="R261" s="724"/>
      <c r="S261" s="724"/>
      <c r="T261" s="725"/>
    </row>
    <row r="262" spans="2:27" ht="21.95" customHeight="1">
      <c r="B262" s="344" t="s">
        <v>2987</v>
      </c>
      <c r="C262" s="344" t="s">
        <v>1036</v>
      </c>
      <c r="D262" s="354" t="s">
        <v>292</v>
      </c>
      <c r="E262" s="354" t="s">
        <v>293</v>
      </c>
      <c r="F262" s="368" t="s">
        <v>294</v>
      </c>
      <c r="G262" s="368">
        <v>1</v>
      </c>
      <c r="H262" s="368">
        <f>IF(I262&lt;&gt;0, G262-I262, "")</f>
        <v>0</v>
      </c>
      <c r="I262" s="368">
        <v>1</v>
      </c>
      <c r="J262" s="368"/>
      <c r="K262" s="354" t="s">
        <v>1850</v>
      </c>
      <c r="L262" s="368" t="s">
        <v>1851</v>
      </c>
      <c r="M262" s="368">
        <v>0.183</v>
      </c>
      <c r="N262" s="368">
        <v>100</v>
      </c>
      <c r="O262" s="368">
        <f>IF(I262*M262=0, "", I262*M262*(N262/100))</f>
        <v>0.183</v>
      </c>
      <c r="P262" s="357"/>
      <c r="Q262" s="357">
        <f>TRUNC(P262*M262*N262/100)</f>
        <v>0</v>
      </c>
      <c r="R262" s="357"/>
      <c r="S262" s="368" t="s">
        <v>3088</v>
      </c>
      <c r="T262" s="368" t="s">
        <v>3079</v>
      </c>
      <c r="AA262" s="347">
        <f>O262</f>
        <v>0.183</v>
      </c>
    </row>
    <row r="263" spans="2:27" ht="21.95" customHeight="1">
      <c r="B263" s="344" t="s">
        <v>2987</v>
      </c>
      <c r="C263" s="344" t="s">
        <v>1850</v>
      </c>
      <c r="D263" s="354" t="s">
        <v>1664</v>
      </c>
      <c r="E263" s="354" t="s">
        <v>1851</v>
      </c>
      <c r="F263" s="368" t="s">
        <v>1852</v>
      </c>
      <c r="G263" s="368">
        <f>IF(H263*I263/100+0.000005 &lt;1, TRUNC(H263*I263/100+0.000005, 옵션!$E$13), TRUNC(H263*I263/100+0.000005, 옵션!$E$13))</f>
        <v>0.183</v>
      </c>
      <c r="H263" s="368">
        <f>옵션!$B$13</f>
        <v>100</v>
      </c>
      <c r="I263" s="368">
        <f>SUM(AA262:AA262)</f>
        <v>0.183</v>
      </c>
      <c r="J263" s="368"/>
      <c r="K263" s="354"/>
      <c r="L263" s="368"/>
      <c r="M263" s="368"/>
      <c r="N263" s="368"/>
      <c r="O263" s="368" t="str">
        <f>IF(I263*M263=0, "", I263*M263*(N263/100))</f>
        <v/>
      </c>
      <c r="P263" s="357"/>
      <c r="Q263" s="357">
        <f>TRUNC(P263*M263*N263/100)</f>
        <v>0</v>
      </c>
      <c r="R263" s="357"/>
      <c r="S263" s="368"/>
      <c r="T263" s="368"/>
      <c r="Z263" s="347" t="s">
        <v>2989</v>
      </c>
      <c r="AA263" s="347">
        <f>SUM(AA262:AA262)</f>
        <v>0.183</v>
      </c>
    </row>
    <row r="264" spans="2:27" ht="21.95" customHeight="1">
      <c r="B264" s="344" t="s">
        <v>208</v>
      </c>
      <c r="D264" s="714" t="s">
        <v>3089</v>
      </c>
      <c r="E264" s="724"/>
      <c r="F264" s="724"/>
      <c r="G264" s="724"/>
      <c r="H264" s="724"/>
      <c r="I264" s="724"/>
      <c r="J264" s="724"/>
      <c r="K264" s="724"/>
      <c r="L264" s="724"/>
      <c r="M264" s="724"/>
      <c r="N264" s="724"/>
      <c r="O264" s="724"/>
      <c r="P264" s="724"/>
      <c r="Q264" s="724"/>
      <c r="R264" s="724"/>
      <c r="S264" s="724"/>
      <c r="T264" s="725"/>
    </row>
    <row r="265" spans="2:27" ht="21.95" customHeight="1">
      <c r="B265" s="344" t="s">
        <v>2987</v>
      </c>
      <c r="C265" s="344" t="s">
        <v>1038</v>
      </c>
      <c r="D265" s="354" t="s">
        <v>295</v>
      </c>
      <c r="E265" s="354" t="s">
        <v>296</v>
      </c>
      <c r="F265" s="368" t="s">
        <v>294</v>
      </c>
      <c r="G265" s="368">
        <v>1</v>
      </c>
      <c r="H265" s="368">
        <f>IF(I265&lt;&gt;0, G265-I265, "")</f>
        <v>0</v>
      </c>
      <c r="I265" s="368">
        <v>1</v>
      </c>
      <c r="J265" s="368"/>
      <c r="K265" s="354" t="s">
        <v>1850</v>
      </c>
      <c r="L265" s="368" t="s">
        <v>1851</v>
      </c>
      <c r="M265" s="368">
        <v>0.17549999999999999</v>
      </c>
      <c r="N265" s="368">
        <v>90</v>
      </c>
      <c r="O265" s="368">
        <f>IF(I265*M265=0, "", I265*M265*(N265/100))</f>
        <v>0.15795000000000001</v>
      </c>
      <c r="P265" s="357"/>
      <c r="Q265" s="357">
        <f>TRUNC(P265*M265*N265/100)</f>
        <v>0</v>
      </c>
      <c r="R265" s="357"/>
      <c r="S265" s="368" t="s">
        <v>3078</v>
      </c>
      <c r="T265" s="368" t="s">
        <v>3079</v>
      </c>
      <c r="AA265" s="347">
        <f>O265</f>
        <v>0.15795000000000001</v>
      </c>
    </row>
    <row r="266" spans="2:27" ht="21.95" customHeight="1">
      <c r="B266" s="344" t="s">
        <v>2987</v>
      </c>
      <c r="C266" s="344" t="s">
        <v>1850</v>
      </c>
      <c r="D266" s="354" t="s">
        <v>1664</v>
      </c>
      <c r="E266" s="354" t="s">
        <v>1851</v>
      </c>
      <c r="F266" s="368" t="s">
        <v>1852</v>
      </c>
      <c r="G266" s="368">
        <f>IF(H266*I266/100+0.000005 &lt;1, TRUNC(H266*I266/100+0.000005, 옵션!$E$13), TRUNC(H266*I266/100+0.000005, 옵션!$E$13))</f>
        <v>0.15795000000000001</v>
      </c>
      <c r="H266" s="368">
        <f>옵션!$B$13</f>
        <v>100</v>
      </c>
      <c r="I266" s="368">
        <f>SUM(AA265:AA265)</f>
        <v>0.15795000000000001</v>
      </c>
      <c r="J266" s="368"/>
      <c r="K266" s="354"/>
      <c r="L266" s="368"/>
      <c r="M266" s="368"/>
      <c r="N266" s="368"/>
      <c r="O266" s="368" t="str">
        <f>IF(I266*M266=0, "", I266*M266*(N266/100))</f>
        <v/>
      </c>
      <c r="P266" s="357"/>
      <c r="Q266" s="357">
        <f>TRUNC(P266*M266*N266/100)</f>
        <v>0</v>
      </c>
      <c r="R266" s="357"/>
      <c r="S266" s="368"/>
      <c r="T266" s="368"/>
      <c r="Z266" s="347" t="s">
        <v>2989</v>
      </c>
      <c r="AA266" s="347">
        <f>SUM(AA265:AA265)</f>
        <v>0.15795000000000001</v>
      </c>
    </row>
    <row r="267" spans="2:27" ht="21.95" customHeight="1">
      <c r="B267" s="344" t="s">
        <v>208</v>
      </c>
      <c r="D267" s="714" t="s">
        <v>3090</v>
      </c>
      <c r="E267" s="724"/>
      <c r="F267" s="724"/>
      <c r="G267" s="724"/>
      <c r="H267" s="724"/>
      <c r="I267" s="724"/>
      <c r="J267" s="724"/>
      <c r="K267" s="724"/>
      <c r="L267" s="724"/>
      <c r="M267" s="724"/>
      <c r="N267" s="724"/>
      <c r="O267" s="724"/>
      <c r="P267" s="724"/>
      <c r="Q267" s="724"/>
      <c r="R267" s="724"/>
      <c r="S267" s="724"/>
      <c r="T267" s="725"/>
    </row>
    <row r="268" spans="2:27" ht="21.95" customHeight="1">
      <c r="B268" s="344" t="s">
        <v>2987</v>
      </c>
      <c r="C268" s="344" t="s">
        <v>1013</v>
      </c>
      <c r="D268" s="354" t="s">
        <v>418</v>
      </c>
      <c r="E268" s="354" t="s">
        <v>419</v>
      </c>
      <c r="F268" s="368" t="s">
        <v>321</v>
      </c>
      <c r="G268" s="368">
        <v>1</v>
      </c>
      <c r="H268" s="368">
        <f>IF(I268&lt;&gt;0, G268-I268, "")</f>
        <v>0</v>
      </c>
      <c r="I268" s="368">
        <v>1</v>
      </c>
      <c r="J268" s="368"/>
      <c r="K268" s="354" t="s">
        <v>1850</v>
      </c>
      <c r="L268" s="368" t="s">
        <v>1851</v>
      </c>
      <c r="M268" s="368">
        <v>0.66</v>
      </c>
      <c r="N268" s="368">
        <v>100</v>
      </c>
      <c r="O268" s="368">
        <f>IF(I268*M268=0, "", I268*M268*(N268/100))</f>
        <v>0.66</v>
      </c>
      <c r="P268" s="357"/>
      <c r="Q268" s="357">
        <f>TRUNC(P268*M268*N268/100)</f>
        <v>0</v>
      </c>
      <c r="R268" s="357"/>
      <c r="S268" s="368" t="s">
        <v>3035</v>
      </c>
      <c r="T268" s="368" t="s">
        <v>3079</v>
      </c>
      <c r="AA268" s="347">
        <f>O268</f>
        <v>0.66</v>
      </c>
    </row>
    <row r="269" spans="2:27" ht="21.95" customHeight="1">
      <c r="B269" s="344" t="s">
        <v>2987</v>
      </c>
      <c r="C269" s="344" t="s">
        <v>1850</v>
      </c>
      <c r="D269" s="354" t="s">
        <v>1664</v>
      </c>
      <c r="E269" s="354" t="s">
        <v>1851</v>
      </c>
      <c r="F269" s="368" t="s">
        <v>1852</v>
      </c>
      <c r="G269" s="368">
        <f>IF(H269*I269/100+0.000005 &lt;1, TRUNC(H269*I269/100+0.000005, 옵션!$E$13), TRUNC(H269*I269/100+0.000005, 옵션!$E$13))</f>
        <v>0.66</v>
      </c>
      <c r="H269" s="368">
        <f>옵션!$B$13</f>
        <v>100</v>
      </c>
      <c r="I269" s="368">
        <f>SUM(AA268:AA268)</f>
        <v>0.66</v>
      </c>
      <c r="J269" s="368"/>
      <c r="K269" s="354"/>
      <c r="L269" s="368"/>
      <c r="M269" s="368"/>
      <c r="N269" s="368"/>
      <c r="O269" s="368" t="str">
        <f>IF(I269*M269=0, "", I269*M269*(N269/100))</f>
        <v/>
      </c>
      <c r="P269" s="357"/>
      <c r="Q269" s="357">
        <f>TRUNC(P269*M269*N269/100)</f>
        <v>0</v>
      </c>
      <c r="R269" s="357"/>
      <c r="S269" s="368"/>
      <c r="T269" s="368"/>
      <c r="Z269" s="347" t="s">
        <v>2989</v>
      </c>
      <c r="AA269" s="347">
        <f>SUM(AA268:AA268)</f>
        <v>0.66</v>
      </c>
    </row>
    <row r="270" spans="2:27" ht="21.95" customHeight="1">
      <c r="B270" s="344" t="s">
        <v>208</v>
      </c>
      <c r="D270" s="714" t="s">
        <v>3091</v>
      </c>
      <c r="E270" s="724"/>
      <c r="F270" s="724"/>
      <c r="G270" s="724"/>
      <c r="H270" s="724"/>
      <c r="I270" s="724"/>
      <c r="J270" s="724"/>
      <c r="K270" s="724"/>
      <c r="L270" s="724"/>
      <c r="M270" s="724"/>
      <c r="N270" s="724"/>
      <c r="O270" s="724"/>
      <c r="P270" s="724"/>
      <c r="Q270" s="724"/>
      <c r="R270" s="724"/>
      <c r="S270" s="724"/>
      <c r="T270" s="725"/>
    </row>
    <row r="271" spans="2:27" ht="21.95" customHeight="1">
      <c r="B271" s="344" t="s">
        <v>2987</v>
      </c>
      <c r="C271" s="344" t="s">
        <v>1015</v>
      </c>
      <c r="D271" s="354" t="s">
        <v>418</v>
      </c>
      <c r="E271" s="354" t="s">
        <v>420</v>
      </c>
      <c r="F271" s="368" t="s">
        <v>321</v>
      </c>
      <c r="G271" s="368">
        <v>1</v>
      </c>
      <c r="H271" s="368">
        <f>IF(I271&lt;&gt;0, G271-I271, "")</f>
        <v>0</v>
      </c>
      <c r="I271" s="368">
        <v>1</v>
      </c>
      <c r="J271" s="368"/>
      <c r="K271" s="354" t="s">
        <v>1850</v>
      </c>
      <c r="L271" s="368" t="s">
        <v>1851</v>
      </c>
      <c r="M271" s="368">
        <v>0.66</v>
      </c>
      <c r="N271" s="368">
        <v>100</v>
      </c>
      <c r="O271" s="368">
        <f>IF(I271*M271=0, "", I271*M271*(N271/100))</f>
        <v>0.66</v>
      </c>
      <c r="P271" s="357"/>
      <c r="Q271" s="357">
        <f>TRUNC(P271*M271*N271/100)</f>
        <v>0</v>
      </c>
      <c r="R271" s="357"/>
      <c r="S271" s="368" t="s">
        <v>3035</v>
      </c>
      <c r="T271" s="368" t="s">
        <v>3079</v>
      </c>
      <c r="AA271" s="347">
        <f>O271</f>
        <v>0.66</v>
      </c>
    </row>
    <row r="272" spans="2:27" ht="21.95" customHeight="1">
      <c r="B272" s="344" t="s">
        <v>2987</v>
      </c>
      <c r="C272" s="344" t="s">
        <v>1850</v>
      </c>
      <c r="D272" s="354" t="s">
        <v>1664</v>
      </c>
      <c r="E272" s="354" t="s">
        <v>1851</v>
      </c>
      <c r="F272" s="368" t="s">
        <v>1852</v>
      </c>
      <c r="G272" s="368">
        <f>IF(H272*I272/100+0.000005 &lt;1, TRUNC(H272*I272/100+0.000005, 옵션!$E$13), TRUNC(H272*I272/100+0.000005, 옵션!$E$13))</f>
        <v>0.66</v>
      </c>
      <c r="H272" s="368">
        <f>옵션!$B$13</f>
        <v>100</v>
      </c>
      <c r="I272" s="368">
        <f>SUM(AA271:AA271)</f>
        <v>0.66</v>
      </c>
      <c r="J272" s="368"/>
      <c r="K272" s="354"/>
      <c r="L272" s="368"/>
      <c r="M272" s="368"/>
      <c r="N272" s="368"/>
      <c r="O272" s="368" t="str">
        <f>IF(I272*M272=0, "", I272*M272*(N272/100))</f>
        <v/>
      </c>
      <c r="P272" s="357"/>
      <c r="Q272" s="357">
        <f>TRUNC(P272*M272*N272/100)</f>
        <v>0</v>
      </c>
      <c r="R272" s="357"/>
      <c r="S272" s="368"/>
      <c r="T272" s="368"/>
      <c r="Z272" s="347" t="s">
        <v>2989</v>
      </c>
      <c r="AA272" s="347">
        <f>SUM(AA271:AA271)</f>
        <v>0.66</v>
      </c>
    </row>
    <row r="273" spans="2:32" ht="21.95" customHeight="1">
      <c r="B273" s="344" t="s">
        <v>208</v>
      </c>
      <c r="D273" s="714" t="s">
        <v>3092</v>
      </c>
      <c r="E273" s="724"/>
      <c r="F273" s="724"/>
      <c r="G273" s="724"/>
      <c r="H273" s="724"/>
      <c r="I273" s="724"/>
      <c r="J273" s="724"/>
      <c r="K273" s="724"/>
      <c r="L273" s="724"/>
      <c r="M273" s="724"/>
      <c r="N273" s="724"/>
      <c r="O273" s="724"/>
      <c r="P273" s="724"/>
      <c r="Q273" s="724"/>
      <c r="R273" s="724"/>
      <c r="S273" s="724"/>
      <c r="T273" s="725"/>
    </row>
    <row r="274" spans="2:32" ht="21.95" customHeight="1">
      <c r="B274" s="344" t="s">
        <v>2987</v>
      </c>
      <c r="C274" s="344" t="s">
        <v>1017</v>
      </c>
      <c r="D274" s="354" t="s">
        <v>418</v>
      </c>
      <c r="E274" s="354" t="s">
        <v>421</v>
      </c>
      <c r="F274" s="368" t="s">
        <v>321</v>
      </c>
      <c r="G274" s="368">
        <v>1</v>
      </c>
      <c r="H274" s="368">
        <f>IF(I274&lt;&gt;0, G274-I274, "")</f>
        <v>0</v>
      </c>
      <c r="I274" s="368">
        <v>1</v>
      </c>
      <c r="J274" s="368"/>
      <c r="K274" s="354" t="s">
        <v>1850</v>
      </c>
      <c r="L274" s="368" t="s">
        <v>1851</v>
      </c>
      <c r="M274" s="368">
        <v>0.66</v>
      </c>
      <c r="N274" s="368">
        <v>100</v>
      </c>
      <c r="O274" s="368">
        <f>IF(I274*M274=0, "", I274*M274*(N274/100))</f>
        <v>0.66</v>
      </c>
      <c r="P274" s="357"/>
      <c r="Q274" s="357">
        <f>TRUNC(P274*M274*N274/100)</f>
        <v>0</v>
      </c>
      <c r="R274" s="357"/>
      <c r="S274" s="368" t="s">
        <v>3035</v>
      </c>
      <c r="T274" s="368" t="s">
        <v>3079</v>
      </c>
      <c r="AA274" s="347">
        <f>O274</f>
        <v>0.66</v>
      </c>
    </row>
    <row r="275" spans="2:32" ht="21.95" customHeight="1">
      <c r="B275" s="344" t="s">
        <v>2987</v>
      </c>
      <c r="C275" s="344" t="s">
        <v>1850</v>
      </c>
      <c r="D275" s="354" t="s">
        <v>1664</v>
      </c>
      <c r="E275" s="354" t="s">
        <v>1851</v>
      </c>
      <c r="F275" s="368" t="s">
        <v>1852</v>
      </c>
      <c r="G275" s="368">
        <f>IF(H275*I275/100+0.000005 &lt;1, TRUNC(H275*I275/100+0.000005, 옵션!$E$13), TRUNC(H275*I275/100+0.000005, 옵션!$E$13))</f>
        <v>0.66</v>
      </c>
      <c r="H275" s="368">
        <f>옵션!$B$13</f>
        <v>100</v>
      </c>
      <c r="I275" s="368">
        <f>SUM(AA274:AA274)</f>
        <v>0.66</v>
      </c>
      <c r="J275" s="368"/>
      <c r="K275" s="354"/>
      <c r="L275" s="368"/>
      <c r="M275" s="368"/>
      <c r="N275" s="368"/>
      <c r="O275" s="368" t="str">
        <f>IF(I275*M275=0, "", I275*M275*(N275/100))</f>
        <v/>
      </c>
      <c r="P275" s="357"/>
      <c r="Q275" s="357">
        <f>TRUNC(P275*M275*N275/100)</f>
        <v>0</v>
      </c>
      <c r="R275" s="357"/>
      <c r="S275" s="368"/>
      <c r="T275" s="368"/>
      <c r="Z275" s="347" t="s">
        <v>2989</v>
      </c>
      <c r="AA275" s="347">
        <f>SUM(AA274:AA274)</f>
        <v>0.66</v>
      </c>
    </row>
    <row r="276" spans="2:32" ht="21.95" customHeight="1">
      <c r="B276" s="344" t="s">
        <v>208</v>
      </c>
      <c r="D276" s="714" t="s">
        <v>3093</v>
      </c>
      <c r="E276" s="724"/>
      <c r="F276" s="724"/>
      <c r="G276" s="724"/>
      <c r="H276" s="724"/>
      <c r="I276" s="724"/>
      <c r="J276" s="724"/>
      <c r="K276" s="724"/>
      <c r="L276" s="724"/>
      <c r="M276" s="724"/>
      <c r="N276" s="724"/>
      <c r="O276" s="724"/>
      <c r="P276" s="724"/>
      <c r="Q276" s="724"/>
      <c r="R276" s="724"/>
      <c r="S276" s="724"/>
      <c r="T276" s="725"/>
    </row>
    <row r="277" spans="2:32" ht="21.95" customHeight="1">
      <c r="B277" s="344" t="s">
        <v>2987</v>
      </c>
      <c r="C277" s="344" t="s">
        <v>2168</v>
      </c>
      <c r="D277" s="354" t="s">
        <v>270</v>
      </c>
      <c r="E277" s="354" t="s">
        <v>353</v>
      </c>
      <c r="F277" s="368" t="s">
        <v>255</v>
      </c>
      <c r="G277" s="368">
        <v>1</v>
      </c>
      <c r="H277" s="368">
        <f>IF(I277&lt;&gt;0, G277-I277, "")</f>
        <v>0</v>
      </c>
      <c r="I277" s="368">
        <v>1</v>
      </c>
      <c r="J277" s="368"/>
      <c r="K277" s="354" t="s">
        <v>1991</v>
      </c>
      <c r="L277" s="368" t="s">
        <v>1992</v>
      </c>
      <c r="M277" s="368">
        <v>4.62E-3</v>
      </c>
      <c r="N277" s="368">
        <v>260</v>
      </c>
      <c r="O277" s="368">
        <f>IF(I277*M277=0, "", I277*M277*(N277/100))</f>
        <v>1.2012E-2</v>
      </c>
      <c r="P277" s="357"/>
      <c r="Q277" s="357">
        <f>TRUNC(P277*M277*N277/100)</f>
        <v>0</v>
      </c>
      <c r="R277" s="357"/>
      <c r="S277" s="368" t="s">
        <v>3069</v>
      </c>
      <c r="T277" s="368"/>
      <c r="AB277" s="347">
        <f>O277</f>
        <v>1.2012E-2</v>
      </c>
    </row>
    <row r="278" spans="2:32" ht="21.95" customHeight="1">
      <c r="B278" s="344" t="s">
        <v>2987</v>
      </c>
      <c r="C278" s="344" t="s">
        <v>2168</v>
      </c>
      <c r="D278" s="354"/>
      <c r="E278" s="354"/>
      <c r="F278" s="368"/>
      <c r="G278" s="368">
        <v>1</v>
      </c>
      <c r="H278" s="368">
        <f>IF(I278&lt;&gt;0, G278-I278, "")</f>
        <v>0</v>
      </c>
      <c r="I278" s="368">
        <v>1</v>
      </c>
      <c r="J278" s="368"/>
      <c r="K278" s="354" t="s">
        <v>1888</v>
      </c>
      <c r="L278" s="368" t="s">
        <v>1889</v>
      </c>
      <c r="M278" s="368">
        <v>4.62E-3</v>
      </c>
      <c r="N278" s="368">
        <v>260</v>
      </c>
      <c r="O278" s="368">
        <f>IF(I278*M278=0, "", I278*M278*(N278/100))</f>
        <v>1.2012E-2</v>
      </c>
      <c r="P278" s="357"/>
      <c r="Q278" s="357">
        <f>TRUNC(P278*M278*N278/100)</f>
        <v>0</v>
      </c>
      <c r="R278" s="357"/>
      <c r="S278" s="368" t="s">
        <v>3069</v>
      </c>
      <c r="T278" s="368"/>
      <c r="AF278" s="347">
        <f>O278</f>
        <v>1.2012E-2</v>
      </c>
    </row>
    <row r="279" spans="2:32" ht="21.95" customHeight="1">
      <c r="B279" s="344" t="s">
        <v>2987</v>
      </c>
      <c r="C279" s="344" t="s">
        <v>1991</v>
      </c>
      <c r="D279" s="354" t="s">
        <v>1664</v>
      </c>
      <c r="E279" s="354" t="s">
        <v>1992</v>
      </c>
      <c r="F279" s="368" t="s">
        <v>1852</v>
      </c>
      <c r="G279" s="368">
        <f>IF(H279*I279/100+0.000005 &lt;1, TRUNC(H279*I279/100+0.000005, 옵션!$E$13), TRUNC(H279*I279/100+0.000005, 옵션!$E$13))</f>
        <v>1.201E-2</v>
      </c>
      <c r="H279" s="368">
        <f>옵션!$B$13</f>
        <v>100</v>
      </c>
      <c r="I279" s="368">
        <f>SUM(AB277:AB278)</f>
        <v>1.2012E-2</v>
      </c>
      <c r="J279" s="368"/>
      <c r="K279" s="354"/>
      <c r="L279" s="368"/>
      <c r="M279" s="368"/>
      <c r="N279" s="368"/>
      <c r="O279" s="368" t="str">
        <f>IF(I279*M279=0, "", I279*M279*(N279/100))</f>
        <v/>
      </c>
      <c r="P279" s="357"/>
      <c r="Q279" s="357">
        <f>TRUNC(P279*M279*N279/100)</f>
        <v>0</v>
      </c>
      <c r="R279" s="357"/>
      <c r="S279" s="368"/>
      <c r="T279" s="368"/>
      <c r="Z279" s="347" t="s">
        <v>2989</v>
      </c>
      <c r="AB279" s="347">
        <f>SUM(AB277:AB278)</f>
        <v>1.2012E-2</v>
      </c>
      <c r="AF279" s="347">
        <f>SUM(AF277:AF278)</f>
        <v>1.2012E-2</v>
      </c>
    </row>
    <row r="280" spans="2:32" ht="21.95" customHeight="1">
      <c r="B280" s="344" t="s">
        <v>2987</v>
      </c>
      <c r="C280" s="344" t="s">
        <v>1888</v>
      </c>
      <c r="D280" s="354" t="s">
        <v>1664</v>
      </c>
      <c r="E280" s="354" t="s">
        <v>1889</v>
      </c>
      <c r="F280" s="368" t="s">
        <v>1852</v>
      </c>
      <c r="G280" s="368">
        <f>IF(H280*I280/100+0.000005 &lt;1, TRUNC(H280*I280/100+0.000005, 옵션!$E$13), TRUNC(H280*I280/100+0.000005, 옵션!$E$13))</f>
        <v>1.201E-2</v>
      </c>
      <c r="H280" s="368">
        <f>옵션!$B$13</f>
        <v>100</v>
      </c>
      <c r="I280" s="368">
        <f>SUM(AF277:AF278)</f>
        <v>1.2012E-2</v>
      </c>
      <c r="J280" s="368"/>
      <c r="K280" s="354"/>
      <c r="L280" s="368"/>
      <c r="M280" s="368"/>
      <c r="N280" s="368"/>
      <c r="O280" s="368" t="str">
        <f>IF(I280*M280=0, "", I280*M280*(N280/100))</f>
        <v/>
      </c>
      <c r="P280" s="357"/>
      <c r="Q280" s="357">
        <f>TRUNC(P280*M280*N280/100)</f>
        <v>0</v>
      </c>
      <c r="R280" s="357"/>
      <c r="S280" s="368"/>
      <c r="T280" s="368"/>
    </row>
    <row r="281" spans="2:32" ht="21.95" customHeight="1">
      <c r="B281" s="344" t="s">
        <v>208</v>
      </c>
      <c r="D281" s="714" t="s">
        <v>3094</v>
      </c>
      <c r="E281" s="724"/>
      <c r="F281" s="724"/>
      <c r="G281" s="724"/>
      <c r="H281" s="724"/>
      <c r="I281" s="724"/>
      <c r="J281" s="724"/>
      <c r="K281" s="724"/>
      <c r="L281" s="724"/>
      <c r="M281" s="724"/>
      <c r="N281" s="724"/>
      <c r="O281" s="724"/>
      <c r="P281" s="724"/>
      <c r="Q281" s="724"/>
      <c r="R281" s="724"/>
      <c r="S281" s="724"/>
      <c r="T281" s="725"/>
    </row>
    <row r="282" spans="2:32" ht="21.95" customHeight="1">
      <c r="B282" s="344" t="s">
        <v>2987</v>
      </c>
      <c r="C282" s="344" t="s">
        <v>2171</v>
      </c>
      <c r="D282" s="354" t="s">
        <v>256</v>
      </c>
      <c r="E282" s="354" t="s">
        <v>259</v>
      </c>
      <c r="F282" s="368" t="s">
        <v>255</v>
      </c>
      <c r="G282" s="368">
        <v>1</v>
      </c>
      <c r="H282" s="368">
        <f>IF(I282&lt;&gt;0, G282-I282, "")</f>
        <v>0</v>
      </c>
      <c r="I282" s="368">
        <v>1</v>
      </c>
      <c r="J282" s="368"/>
      <c r="K282" s="354" t="s">
        <v>1968</v>
      </c>
      <c r="L282" s="368" t="s">
        <v>1969</v>
      </c>
      <c r="M282" s="368">
        <v>8.9999999999999993E-3</v>
      </c>
      <c r="N282" s="368">
        <v>150</v>
      </c>
      <c r="O282" s="368">
        <f>IF(I282*M282=0, "", I282*M282*(N282/100))</f>
        <v>1.3499999999999998E-2</v>
      </c>
      <c r="P282" s="357"/>
      <c r="Q282" s="357">
        <f>TRUNC(P282*M282*N282/100)</f>
        <v>0</v>
      </c>
      <c r="R282" s="357"/>
      <c r="S282" s="368" t="s">
        <v>3019</v>
      </c>
      <c r="T282" s="368"/>
      <c r="AD282" s="347">
        <f>O282</f>
        <v>1.3499999999999998E-2</v>
      </c>
    </row>
    <row r="283" spans="2:32" ht="21.95" customHeight="1">
      <c r="B283" s="344" t="s">
        <v>2987</v>
      </c>
      <c r="C283" s="344" t="s">
        <v>2171</v>
      </c>
      <c r="D283" s="354"/>
      <c r="E283" s="354"/>
      <c r="F283" s="368"/>
      <c r="G283" s="368">
        <v>1</v>
      </c>
      <c r="H283" s="368">
        <f>IF(I283&lt;&gt;0, G283-I283, "")</f>
        <v>0</v>
      </c>
      <c r="I283" s="368">
        <v>1</v>
      </c>
      <c r="J283" s="368"/>
      <c r="K283" s="354" t="s">
        <v>1888</v>
      </c>
      <c r="L283" s="368" t="s">
        <v>1889</v>
      </c>
      <c r="M283" s="368">
        <v>2.1999999999999999E-2</v>
      </c>
      <c r="N283" s="368">
        <v>150</v>
      </c>
      <c r="O283" s="368">
        <f>IF(I283*M283=0, "", I283*M283*(N283/100))</f>
        <v>3.3000000000000002E-2</v>
      </c>
      <c r="P283" s="357"/>
      <c r="Q283" s="357">
        <f>TRUNC(P283*M283*N283/100)</f>
        <v>0</v>
      </c>
      <c r="R283" s="357"/>
      <c r="S283" s="368" t="s">
        <v>3019</v>
      </c>
      <c r="T283" s="368"/>
      <c r="AF283" s="347">
        <f>O283</f>
        <v>3.3000000000000002E-2</v>
      </c>
    </row>
    <row r="284" spans="2:32" ht="21.95" customHeight="1">
      <c r="B284" s="344" t="s">
        <v>2987</v>
      </c>
      <c r="C284" s="344" t="s">
        <v>1968</v>
      </c>
      <c r="D284" s="354" t="s">
        <v>1664</v>
      </c>
      <c r="E284" s="354" t="s">
        <v>1969</v>
      </c>
      <c r="F284" s="368" t="s">
        <v>1852</v>
      </c>
      <c r="G284" s="368">
        <f>IF(H284*I284/100+0.000005 &lt;1, TRUNC(H284*I284/100+0.000005, 옵션!$E$13), TRUNC(H284*I284/100+0.000005, 옵션!$E$13))</f>
        <v>1.35E-2</v>
      </c>
      <c r="H284" s="368">
        <f>옵션!$B$13</f>
        <v>100</v>
      </c>
      <c r="I284" s="368">
        <f>SUM(AD282:AD283)</f>
        <v>1.3499999999999998E-2</v>
      </c>
      <c r="J284" s="368"/>
      <c r="K284" s="354"/>
      <c r="L284" s="368"/>
      <c r="M284" s="368"/>
      <c r="N284" s="368"/>
      <c r="O284" s="368" t="str">
        <f>IF(I284*M284=0, "", I284*M284*(N284/100))</f>
        <v/>
      </c>
      <c r="P284" s="357"/>
      <c r="Q284" s="357">
        <f>TRUNC(P284*M284*N284/100)</f>
        <v>0</v>
      </c>
      <c r="R284" s="357"/>
      <c r="S284" s="368"/>
      <c r="T284" s="368"/>
      <c r="Z284" s="347" t="s">
        <v>2989</v>
      </c>
      <c r="AD284" s="347">
        <f>SUM(AD282:AD283)</f>
        <v>1.3499999999999998E-2</v>
      </c>
      <c r="AF284" s="347">
        <f>SUM(AF282:AF283)</f>
        <v>3.3000000000000002E-2</v>
      </c>
    </row>
    <row r="285" spans="2:32" ht="21.95" customHeight="1">
      <c r="B285" s="344" t="s">
        <v>2987</v>
      </c>
      <c r="C285" s="344" t="s">
        <v>1888</v>
      </c>
      <c r="D285" s="354" t="s">
        <v>1664</v>
      </c>
      <c r="E285" s="354" t="s">
        <v>1889</v>
      </c>
      <c r="F285" s="368" t="s">
        <v>1852</v>
      </c>
      <c r="G285" s="368">
        <f>IF(H285*I285/100+0.000005 &lt;1, TRUNC(H285*I285/100+0.000005, 옵션!$E$13), TRUNC(H285*I285/100+0.000005, 옵션!$E$13))</f>
        <v>3.3000000000000002E-2</v>
      </c>
      <c r="H285" s="368">
        <f>옵션!$B$13</f>
        <v>100</v>
      </c>
      <c r="I285" s="368">
        <f>SUM(AF282:AF283)</f>
        <v>3.3000000000000002E-2</v>
      </c>
      <c r="J285" s="368"/>
      <c r="K285" s="354"/>
      <c r="L285" s="368"/>
      <c r="M285" s="368"/>
      <c r="N285" s="368"/>
      <c r="O285" s="368" t="str">
        <f>IF(I285*M285=0, "", I285*M285*(N285/100))</f>
        <v/>
      </c>
      <c r="P285" s="357"/>
      <c r="Q285" s="357">
        <f>TRUNC(P285*M285*N285/100)</f>
        <v>0</v>
      </c>
      <c r="R285" s="357"/>
      <c r="S285" s="368"/>
      <c r="T285" s="368"/>
    </row>
    <row r="286" spans="2:32" ht="21.95" customHeight="1">
      <c r="B286" s="344" t="s">
        <v>208</v>
      </c>
      <c r="D286" s="714" t="s">
        <v>3095</v>
      </c>
      <c r="E286" s="724"/>
      <c r="F286" s="724"/>
      <c r="G286" s="724"/>
      <c r="H286" s="724"/>
      <c r="I286" s="724"/>
      <c r="J286" s="724"/>
      <c r="K286" s="724"/>
      <c r="L286" s="724"/>
      <c r="M286" s="724"/>
      <c r="N286" s="724"/>
      <c r="O286" s="724"/>
      <c r="P286" s="724"/>
      <c r="Q286" s="724"/>
      <c r="R286" s="724"/>
      <c r="S286" s="724"/>
      <c r="T286" s="725"/>
    </row>
    <row r="287" spans="2:32" ht="21.95" customHeight="1">
      <c r="B287" s="344" t="s">
        <v>2987</v>
      </c>
      <c r="C287" s="344" t="s">
        <v>2175</v>
      </c>
      <c r="D287" s="354" t="s">
        <v>270</v>
      </c>
      <c r="E287" s="354" t="s">
        <v>274</v>
      </c>
      <c r="F287" s="368" t="s">
        <v>255</v>
      </c>
      <c r="G287" s="368">
        <v>1</v>
      </c>
      <c r="H287" s="368">
        <f>IF(I287&lt;&gt;0, G287-I287, "")</f>
        <v>0</v>
      </c>
      <c r="I287" s="368">
        <v>1</v>
      </c>
      <c r="J287" s="368"/>
      <c r="K287" s="354" t="s">
        <v>1991</v>
      </c>
      <c r="L287" s="368" t="s">
        <v>1992</v>
      </c>
      <c r="M287" s="368">
        <v>4.62E-3</v>
      </c>
      <c r="N287" s="368">
        <v>159.6</v>
      </c>
      <c r="O287" s="368">
        <f>IF(I287*M287=0, "", I287*M287*(N287/100))</f>
        <v>7.3735199999999997E-3</v>
      </c>
      <c r="P287" s="357"/>
      <c r="Q287" s="357">
        <f>TRUNC(P287*M287*N287/100)</f>
        <v>0</v>
      </c>
      <c r="R287" s="357"/>
      <c r="S287" s="368" t="s">
        <v>3069</v>
      </c>
      <c r="T287" s="368"/>
      <c r="AB287" s="347">
        <f>O287</f>
        <v>7.3735199999999997E-3</v>
      </c>
    </row>
    <row r="288" spans="2:32" ht="21.95" customHeight="1">
      <c r="B288" s="344" t="s">
        <v>2987</v>
      </c>
      <c r="C288" s="344" t="s">
        <v>2175</v>
      </c>
      <c r="D288" s="354"/>
      <c r="E288" s="354"/>
      <c r="F288" s="368"/>
      <c r="G288" s="368">
        <v>1</v>
      </c>
      <c r="H288" s="368">
        <f>IF(I288&lt;&gt;0, G288-I288, "")</f>
        <v>0</v>
      </c>
      <c r="I288" s="368">
        <v>1</v>
      </c>
      <c r="J288" s="368"/>
      <c r="K288" s="354" t="s">
        <v>1888</v>
      </c>
      <c r="L288" s="368" t="s">
        <v>1889</v>
      </c>
      <c r="M288" s="368">
        <v>4.62E-3</v>
      </c>
      <c r="N288" s="368">
        <v>159.6</v>
      </c>
      <c r="O288" s="368">
        <f>IF(I288*M288=0, "", I288*M288*(N288/100))</f>
        <v>7.3735199999999997E-3</v>
      </c>
      <c r="P288" s="357"/>
      <c r="Q288" s="357">
        <f>TRUNC(P288*M288*N288/100)</f>
        <v>0</v>
      </c>
      <c r="R288" s="357"/>
      <c r="S288" s="368" t="s">
        <v>3069</v>
      </c>
      <c r="T288" s="368"/>
      <c r="AF288" s="347">
        <f>O288</f>
        <v>7.3735199999999997E-3</v>
      </c>
    </row>
    <row r="289" spans="2:32" ht="21.95" customHeight="1">
      <c r="B289" s="344" t="s">
        <v>2987</v>
      </c>
      <c r="C289" s="344" t="s">
        <v>1991</v>
      </c>
      <c r="D289" s="354" t="s">
        <v>1664</v>
      </c>
      <c r="E289" s="354" t="s">
        <v>1992</v>
      </c>
      <c r="F289" s="368" t="s">
        <v>1852</v>
      </c>
      <c r="G289" s="368">
        <f>IF(H289*I289/100+0.000005 &lt;1, TRUNC(H289*I289/100+0.000005, 옵션!$E$13), TRUNC(H289*I289/100+0.000005, 옵션!$E$13))</f>
        <v>7.3699999999999998E-3</v>
      </c>
      <c r="H289" s="368">
        <f>옵션!$B$13</f>
        <v>100</v>
      </c>
      <c r="I289" s="368">
        <f>SUM(AB287:AB288)</f>
        <v>7.3735199999999997E-3</v>
      </c>
      <c r="J289" s="368"/>
      <c r="K289" s="354"/>
      <c r="L289" s="368"/>
      <c r="M289" s="368"/>
      <c r="N289" s="368"/>
      <c r="O289" s="368" t="str">
        <f>IF(I289*M289=0, "", I289*M289*(N289/100))</f>
        <v/>
      </c>
      <c r="P289" s="357"/>
      <c r="Q289" s="357">
        <f>TRUNC(P289*M289*N289/100)</f>
        <v>0</v>
      </c>
      <c r="R289" s="357"/>
      <c r="S289" s="368"/>
      <c r="T289" s="368"/>
      <c r="Z289" s="347" t="s">
        <v>2989</v>
      </c>
      <c r="AB289" s="347">
        <f>SUM(AB287:AB288)</f>
        <v>7.3735199999999997E-3</v>
      </c>
      <c r="AF289" s="347">
        <f>SUM(AF287:AF288)</f>
        <v>7.3735199999999997E-3</v>
      </c>
    </row>
    <row r="290" spans="2:32" ht="21.95" customHeight="1">
      <c r="B290" s="344" t="s">
        <v>2987</v>
      </c>
      <c r="C290" s="344" t="s">
        <v>1888</v>
      </c>
      <c r="D290" s="354" t="s">
        <v>1664</v>
      </c>
      <c r="E290" s="354" t="s">
        <v>1889</v>
      </c>
      <c r="F290" s="368" t="s">
        <v>1852</v>
      </c>
      <c r="G290" s="368">
        <f>IF(H290*I290/100+0.000005 &lt;1, TRUNC(H290*I290/100+0.000005, 옵션!$E$13), TRUNC(H290*I290/100+0.000005, 옵션!$E$13))</f>
        <v>7.3699999999999998E-3</v>
      </c>
      <c r="H290" s="368">
        <f>옵션!$B$13</f>
        <v>100</v>
      </c>
      <c r="I290" s="368">
        <f>SUM(AF287:AF288)</f>
        <v>7.3735199999999997E-3</v>
      </c>
      <c r="J290" s="368"/>
      <c r="K290" s="354"/>
      <c r="L290" s="368"/>
      <c r="M290" s="368"/>
      <c r="N290" s="368"/>
      <c r="O290" s="368" t="str">
        <f>IF(I290*M290=0, "", I290*M290*(N290/100))</f>
        <v/>
      </c>
      <c r="P290" s="357"/>
      <c r="Q290" s="357">
        <f>TRUNC(P290*M290*N290/100)</f>
        <v>0</v>
      </c>
      <c r="R290" s="357"/>
      <c r="S290" s="368"/>
      <c r="T290" s="368"/>
    </row>
    <row r="291" spans="2:32" ht="21.95" customHeight="1">
      <c r="B291" s="344" t="s">
        <v>208</v>
      </c>
      <c r="D291" s="714" t="s">
        <v>3096</v>
      </c>
      <c r="E291" s="724"/>
      <c r="F291" s="724"/>
      <c r="G291" s="724"/>
      <c r="H291" s="724"/>
      <c r="I291" s="724"/>
      <c r="J291" s="724"/>
      <c r="K291" s="724"/>
      <c r="L291" s="724"/>
      <c r="M291" s="724"/>
      <c r="N291" s="724"/>
      <c r="O291" s="724"/>
      <c r="P291" s="724"/>
      <c r="Q291" s="724"/>
      <c r="R291" s="724"/>
      <c r="S291" s="724"/>
      <c r="T291" s="725"/>
    </row>
    <row r="292" spans="2:32" ht="21.95" customHeight="1">
      <c r="B292" s="344" t="s">
        <v>2987</v>
      </c>
      <c r="C292" s="344" t="s">
        <v>2178</v>
      </c>
      <c r="D292" s="354" t="s">
        <v>270</v>
      </c>
      <c r="E292" s="354" t="s">
        <v>275</v>
      </c>
      <c r="F292" s="368" t="s">
        <v>255</v>
      </c>
      <c r="G292" s="368">
        <v>1</v>
      </c>
      <c r="H292" s="368">
        <f>IF(I292&lt;&gt;0, G292-I292, "")</f>
        <v>0</v>
      </c>
      <c r="I292" s="368">
        <v>1</v>
      </c>
      <c r="J292" s="368"/>
      <c r="K292" s="354" t="s">
        <v>1991</v>
      </c>
      <c r="L292" s="368" t="s">
        <v>1992</v>
      </c>
      <c r="M292" s="368">
        <v>4.62E-3</v>
      </c>
      <c r="N292" s="368">
        <v>157.69999999999999</v>
      </c>
      <c r="O292" s="368">
        <f>IF(I292*M292=0, "", I292*M292*(N292/100))</f>
        <v>7.2857399999999998E-3</v>
      </c>
      <c r="P292" s="357"/>
      <c r="Q292" s="357">
        <f>TRUNC(P292*M292*N292/100)</f>
        <v>0</v>
      </c>
      <c r="R292" s="357"/>
      <c r="S292" s="368" t="s">
        <v>3069</v>
      </c>
      <c r="T292" s="368"/>
      <c r="AB292" s="347">
        <f>O292</f>
        <v>7.2857399999999998E-3</v>
      </c>
    </row>
    <row r="293" spans="2:32" ht="21.95" customHeight="1">
      <c r="B293" s="344" t="s">
        <v>2987</v>
      </c>
      <c r="C293" s="344" t="s">
        <v>2178</v>
      </c>
      <c r="D293" s="354"/>
      <c r="E293" s="354"/>
      <c r="F293" s="368"/>
      <c r="G293" s="368">
        <v>1</v>
      </c>
      <c r="H293" s="368">
        <f>IF(I293&lt;&gt;0, G293-I293, "")</f>
        <v>0</v>
      </c>
      <c r="I293" s="368">
        <v>1</v>
      </c>
      <c r="J293" s="368"/>
      <c r="K293" s="354" t="s">
        <v>1888</v>
      </c>
      <c r="L293" s="368" t="s">
        <v>1889</v>
      </c>
      <c r="M293" s="368">
        <v>4.62E-3</v>
      </c>
      <c r="N293" s="368">
        <v>157.69999999999999</v>
      </c>
      <c r="O293" s="368">
        <f>IF(I293*M293=0, "", I293*M293*(N293/100))</f>
        <v>7.2857399999999998E-3</v>
      </c>
      <c r="P293" s="357"/>
      <c r="Q293" s="357">
        <f>TRUNC(P293*M293*N293/100)</f>
        <v>0</v>
      </c>
      <c r="R293" s="357"/>
      <c r="S293" s="368" t="s">
        <v>3069</v>
      </c>
      <c r="T293" s="368"/>
      <c r="AF293" s="347">
        <f>O293</f>
        <v>7.2857399999999998E-3</v>
      </c>
    </row>
    <row r="294" spans="2:32" ht="21.95" customHeight="1">
      <c r="B294" s="344" t="s">
        <v>2987</v>
      </c>
      <c r="C294" s="344" t="s">
        <v>1991</v>
      </c>
      <c r="D294" s="354" t="s">
        <v>1664</v>
      </c>
      <c r="E294" s="354" t="s">
        <v>1992</v>
      </c>
      <c r="F294" s="368" t="s">
        <v>1852</v>
      </c>
      <c r="G294" s="368">
        <f>IF(H294*I294/100+0.0000005 &lt;1, TRUNC(H294*I294/100+0.0000005, 옵션!$E$13), TRUNC(H294*I294/100+0.0000005, 옵션!$E$13))</f>
        <v>7.28E-3</v>
      </c>
      <c r="H294" s="368">
        <f>옵션!$B$13</f>
        <v>100</v>
      </c>
      <c r="I294" s="368">
        <f>SUM(AB292:AB293)</f>
        <v>7.2857399999999998E-3</v>
      </c>
      <c r="J294" s="368"/>
      <c r="K294" s="354"/>
      <c r="L294" s="368"/>
      <c r="M294" s="368"/>
      <c r="N294" s="368"/>
      <c r="O294" s="368" t="str">
        <f>IF(I294*M294=0, "", I294*M294*(N294/100))</f>
        <v/>
      </c>
      <c r="P294" s="357"/>
      <c r="Q294" s="357">
        <f>TRUNC(P294*M294*N294/100)</f>
        <v>0</v>
      </c>
      <c r="R294" s="357"/>
      <c r="S294" s="368"/>
      <c r="T294" s="368"/>
      <c r="Z294" s="347" t="s">
        <v>2989</v>
      </c>
      <c r="AB294" s="347">
        <f>SUM(AB292:AB293)</f>
        <v>7.2857399999999998E-3</v>
      </c>
      <c r="AF294" s="347">
        <f>SUM(AF292:AF293)</f>
        <v>7.2857399999999998E-3</v>
      </c>
    </row>
    <row r="295" spans="2:32" ht="21.95" customHeight="1">
      <c r="B295" s="344" t="s">
        <v>2987</v>
      </c>
      <c r="C295" s="344" t="s">
        <v>1888</v>
      </c>
      <c r="D295" s="354" t="s">
        <v>1664</v>
      </c>
      <c r="E295" s="354" t="s">
        <v>1889</v>
      </c>
      <c r="F295" s="368" t="s">
        <v>1852</v>
      </c>
      <c r="G295" s="368">
        <f>IF(H295*I295/100+0.0000005 &lt;1, TRUNC(H295*I295/100+0.0000005, 옵션!$E$13), TRUNC(H295*I295/100+0.0000005, 옵션!$E$13))</f>
        <v>7.28E-3</v>
      </c>
      <c r="H295" s="368">
        <f>옵션!$B$13</f>
        <v>100</v>
      </c>
      <c r="I295" s="368">
        <f>SUM(AF292:AF293)</f>
        <v>7.2857399999999998E-3</v>
      </c>
      <c r="J295" s="368"/>
      <c r="K295" s="354"/>
      <c r="L295" s="368"/>
      <c r="M295" s="368"/>
      <c r="N295" s="368"/>
      <c r="O295" s="368" t="str">
        <f>IF(I295*M295=0, "", I295*M295*(N295/100))</f>
        <v/>
      </c>
      <c r="P295" s="357"/>
      <c r="Q295" s="357">
        <f>TRUNC(P295*M295*N295/100)</f>
        <v>0</v>
      </c>
      <c r="R295" s="357"/>
      <c r="S295" s="368"/>
      <c r="T295" s="368"/>
    </row>
    <row r="296" spans="2:32" ht="21.95" customHeight="1">
      <c r="B296" s="344" t="s">
        <v>208</v>
      </c>
      <c r="D296" s="714" t="s">
        <v>3097</v>
      </c>
      <c r="E296" s="724"/>
      <c r="F296" s="724"/>
      <c r="G296" s="724"/>
      <c r="H296" s="724"/>
      <c r="I296" s="724"/>
      <c r="J296" s="724"/>
      <c r="K296" s="724"/>
      <c r="L296" s="724"/>
      <c r="M296" s="724"/>
      <c r="N296" s="724"/>
      <c r="O296" s="724"/>
      <c r="P296" s="724"/>
      <c r="Q296" s="724"/>
      <c r="R296" s="724"/>
      <c r="S296" s="724"/>
      <c r="T296" s="725"/>
    </row>
    <row r="297" spans="2:32" ht="21.95" customHeight="1">
      <c r="B297" s="344" t="s">
        <v>2987</v>
      </c>
      <c r="C297" s="344" t="s">
        <v>2181</v>
      </c>
      <c r="D297" s="354" t="s">
        <v>270</v>
      </c>
      <c r="E297" s="354" t="s">
        <v>538</v>
      </c>
      <c r="F297" s="368" t="s">
        <v>255</v>
      </c>
      <c r="G297" s="368">
        <v>1</v>
      </c>
      <c r="H297" s="368">
        <f>IF(I297&lt;&gt;0, G297-I297, "")</f>
        <v>0</v>
      </c>
      <c r="I297" s="368">
        <v>1</v>
      </c>
      <c r="J297" s="368"/>
      <c r="K297" s="354" t="s">
        <v>1991</v>
      </c>
      <c r="L297" s="368" t="s">
        <v>1992</v>
      </c>
      <c r="M297" s="368">
        <v>4.62E-3</v>
      </c>
      <c r="N297" s="368">
        <v>100</v>
      </c>
      <c r="O297" s="368">
        <f>IF(I297*M297=0, "", I297*M297*(N297/100))</f>
        <v>4.62E-3</v>
      </c>
      <c r="P297" s="357"/>
      <c r="Q297" s="357">
        <f>TRUNC(P297*M297*N297/100)</f>
        <v>0</v>
      </c>
      <c r="R297" s="357"/>
      <c r="S297" s="368" t="s">
        <v>3069</v>
      </c>
      <c r="T297" s="368"/>
      <c r="AB297" s="347">
        <f>O297</f>
        <v>4.62E-3</v>
      </c>
    </row>
    <row r="298" spans="2:32" ht="21.95" customHeight="1">
      <c r="B298" s="344" t="s">
        <v>2987</v>
      </c>
      <c r="C298" s="344" t="s">
        <v>2181</v>
      </c>
      <c r="D298" s="354"/>
      <c r="E298" s="354"/>
      <c r="F298" s="368"/>
      <c r="G298" s="368">
        <v>1</v>
      </c>
      <c r="H298" s="368">
        <f>IF(I298&lt;&gt;0, G298-I298, "")</f>
        <v>0</v>
      </c>
      <c r="I298" s="368">
        <v>1</v>
      </c>
      <c r="J298" s="368"/>
      <c r="K298" s="354" t="s">
        <v>1888</v>
      </c>
      <c r="L298" s="368" t="s">
        <v>1889</v>
      </c>
      <c r="M298" s="368">
        <v>4.62E-3</v>
      </c>
      <c r="N298" s="368">
        <v>100</v>
      </c>
      <c r="O298" s="368">
        <f>IF(I298*M298=0, "", I298*M298*(N298/100))</f>
        <v>4.62E-3</v>
      </c>
      <c r="P298" s="357"/>
      <c r="Q298" s="357">
        <f>TRUNC(P298*M298*N298/100)</f>
        <v>0</v>
      </c>
      <c r="R298" s="357"/>
      <c r="S298" s="368" t="s">
        <v>3069</v>
      </c>
      <c r="T298" s="368"/>
      <c r="AF298" s="347">
        <f>O298</f>
        <v>4.62E-3</v>
      </c>
    </row>
    <row r="299" spans="2:32" ht="21.95" customHeight="1">
      <c r="B299" s="344" t="s">
        <v>2987</v>
      </c>
      <c r="C299" s="344" t="s">
        <v>1991</v>
      </c>
      <c r="D299" s="354" t="s">
        <v>1664</v>
      </c>
      <c r="E299" s="354" t="s">
        <v>1992</v>
      </c>
      <c r="F299" s="368" t="s">
        <v>1852</v>
      </c>
      <c r="G299" s="368">
        <f>IF(H299*I299/100+0.000005 &lt;1, TRUNC(H299*I299/100+0.000005, 옵션!$E$13), TRUNC(H299*I299/100+0.000005, 옵션!$E$13))</f>
        <v>4.62E-3</v>
      </c>
      <c r="H299" s="368">
        <f>옵션!$B$13</f>
        <v>100</v>
      </c>
      <c r="I299" s="368">
        <f>SUM(AB297:AB298)</f>
        <v>4.62E-3</v>
      </c>
      <c r="J299" s="368"/>
      <c r="K299" s="354"/>
      <c r="L299" s="368"/>
      <c r="M299" s="368"/>
      <c r="N299" s="368"/>
      <c r="O299" s="368" t="str">
        <f>IF(I299*M299=0, "", I299*M299*(N299/100))</f>
        <v/>
      </c>
      <c r="P299" s="357"/>
      <c r="Q299" s="357">
        <f>TRUNC(P299*M299*N299/100)</f>
        <v>0</v>
      </c>
      <c r="R299" s="357"/>
      <c r="S299" s="368"/>
      <c r="T299" s="368"/>
      <c r="Z299" s="347" t="s">
        <v>2989</v>
      </c>
      <c r="AB299" s="347">
        <f>SUM(AB297:AB298)</f>
        <v>4.62E-3</v>
      </c>
      <c r="AF299" s="347">
        <f>SUM(AF297:AF298)</f>
        <v>4.62E-3</v>
      </c>
    </row>
    <row r="300" spans="2:32" ht="21.95" customHeight="1">
      <c r="B300" s="344" t="s">
        <v>2987</v>
      </c>
      <c r="C300" s="344" t="s">
        <v>1888</v>
      </c>
      <c r="D300" s="354" t="s">
        <v>1664</v>
      </c>
      <c r="E300" s="354" t="s">
        <v>1889</v>
      </c>
      <c r="F300" s="368" t="s">
        <v>1852</v>
      </c>
      <c r="G300" s="368">
        <f>IF(H300*I300/100+0.000005 &lt;1, TRUNC(H300*I300/100+0.000005, 옵션!$E$13), TRUNC(H300*I300/100+0.000005, 옵션!$E$13))</f>
        <v>4.62E-3</v>
      </c>
      <c r="H300" s="368">
        <f>옵션!$B$13</f>
        <v>100</v>
      </c>
      <c r="I300" s="368">
        <f>SUM(AF297:AF298)</f>
        <v>4.62E-3</v>
      </c>
      <c r="J300" s="368"/>
      <c r="K300" s="354"/>
      <c r="L300" s="368"/>
      <c r="M300" s="368"/>
      <c r="N300" s="368"/>
      <c r="O300" s="368" t="str">
        <f>IF(I300*M300=0, "", I300*M300*(N300/100))</f>
        <v/>
      </c>
      <c r="P300" s="357"/>
      <c r="Q300" s="357">
        <f>TRUNC(P300*M300*N300/100)</f>
        <v>0</v>
      </c>
      <c r="R300" s="357"/>
      <c r="S300" s="368"/>
      <c r="T300" s="368"/>
    </row>
    <row r="301" spans="2:32" ht="21.95" customHeight="1">
      <c r="B301" s="344" t="s">
        <v>208</v>
      </c>
      <c r="D301" s="714" t="s">
        <v>3098</v>
      </c>
      <c r="E301" s="724"/>
      <c r="F301" s="724"/>
      <c r="G301" s="724"/>
      <c r="H301" s="724"/>
      <c r="I301" s="724"/>
      <c r="J301" s="724"/>
      <c r="K301" s="724"/>
      <c r="L301" s="724"/>
      <c r="M301" s="724"/>
      <c r="N301" s="724"/>
      <c r="O301" s="724"/>
      <c r="P301" s="724"/>
      <c r="Q301" s="724"/>
      <c r="R301" s="724"/>
      <c r="S301" s="724"/>
      <c r="T301" s="725"/>
    </row>
    <row r="302" spans="2:32" ht="21.95" customHeight="1">
      <c r="B302" s="344" t="s">
        <v>2987</v>
      </c>
      <c r="C302" s="344" t="s">
        <v>2184</v>
      </c>
      <c r="D302" s="354" t="s">
        <v>270</v>
      </c>
      <c r="E302" s="354" t="s">
        <v>539</v>
      </c>
      <c r="F302" s="368" t="s">
        <v>255</v>
      </c>
      <c r="G302" s="368">
        <v>1</v>
      </c>
      <c r="H302" s="368">
        <f>IF(I302&lt;&gt;0, G302-I302, "")</f>
        <v>0</v>
      </c>
      <c r="I302" s="368">
        <v>1</v>
      </c>
      <c r="J302" s="368"/>
      <c r="K302" s="354" t="s">
        <v>1991</v>
      </c>
      <c r="L302" s="368" t="s">
        <v>1992</v>
      </c>
      <c r="M302" s="368">
        <v>6.5799999999999999E-3</v>
      </c>
      <c r="N302" s="368">
        <v>260</v>
      </c>
      <c r="O302" s="368">
        <f>IF(I302*M302=0, "", I302*M302*(N302/100))</f>
        <v>1.7108000000000002E-2</v>
      </c>
      <c r="P302" s="357"/>
      <c r="Q302" s="357">
        <f>TRUNC(P302*M302*N302/100)</f>
        <v>0</v>
      </c>
      <c r="R302" s="357"/>
      <c r="S302" s="368" t="s">
        <v>3069</v>
      </c>
      <c r="T302" s="368"/>
      <c r="AB302" s="347">
        <f>O302</f>
        <v>1.7108000000000002E-2</v>
      </c>
    </row>
    <row r="303" spans="2:32" ht="21.95" customHeight="1">
      <c r="B303" s="344" t="s">
        <v>2987</v>
      </c>
      <c r="C303" s="344" t="s">
        <v>2184</v>
      </c>
      <c r="D303" s="354"/>
      <c r="E303" s="354"/>
      <c r="F303" s="368"/>
      <c r="G303" s="368">
        <v>1</v>
      </c>
      <c r="H303" s="368">
        <f>IF(I303&lt;&gt;0, G303-I303, "")</f>
        <v>0</v>
      </c>
      <c r="I303" s="368">
        <v>1</v>
      </c>
      <c r="J303" s="368"/>
      <c r="K303" s="354" t="s">
        <v>1888</v>
      </c>
      <c r="L303" s="368" t="s">
        <v>1889</v>
      </c>
      <c r="M303" s="368">
        <v>6.5799999999999999E-3</v>
      </c>
      <c r="N303" s="368">
        <v>260</v>
      </c>
      <c r="O303" s="368">
        <f>IF(I303*M303=0, "", I303*M303*(N303/100))</f>
        <v>1.7108000000000002E-2</v>
      </c>
      <c r="P303" s="357"/>
      <c r="Q303" s="357">
        <f>TRUNC(P303*M303*N303/100)</f>
        <v>0</v>
      </c>
      <c r="R303" s="357"/>
      <c r="S303" s="368" t="s">
        <v>3069</v>
      </c>
      <c r="T303" s="368"/>
      <c r="AF303" s="347">
        <f>O303</f>
        <v>1.7108000000000002E-2</v>
      </c>
    </row>
    <row r="304" spans="2:32" ht="21.95" customHeight="1">
      <c r="B304" s="344" t="s">
        <v>2987</v>
      </c>
      <c r="C304" s="344" t="s">
        <v>1991</v>
      </c>
      <c r="D304" s="354" t="s">
        <v>1664</v>
      </c>
      <c r="E304" s="354" t="s">
        <v>1992</v>
      </c>
      <c r="F304" s="368" t="s">
        <v>1852</v>
      </c>
      <c r="G304" s="368">
        <f>IF(H304*I304/100+0.0000005 &lt;1, TRUNC(H304*I304/100+0.0000005, 옵션!$E$13), TRUNC(H304*I304/100+0.0000005, 옵션!$E$13))</f>
        <v>1.7100000000000001E-2</v>
      </c>
      <c r="H304" s="368">
        <f>옵션!$B$13</f>
        <v>100</v>
      </c>
      <c r="I304" s="368">
        <f>SUM(AB302:AB303)</f>
        <v>1.7108000000000002E-2</v>
      </c>
      <c r="J304" s="368"/>
      <c r="K304" s="354"/>
      <c r="L304" s="368"/>
      <c r="M304" s="368"/>
      <c r="N304" s="368"/>
      <c r="O304" s="368" t="str">
        <f>IF(I304*M304=0, "", I304*M304*(N304/100))</f>
        <v/>
      </c>
      <c r="P304" s="357"/>
      <c r="Q304" s="357">
        <f>TRUNC(P304*M304*N304/100)</f>
        <v>0</v>
      </c>
      <c r="R304" s="357"/>
      <c r="S304" s="368"/>
      <c r="T304" s="368"/>
      <c r="Z304" s="347" t="s">
        <v>2989</v>
      </c>
      <c r="AB304" s="347">
        <f>SUM(AB302:AB303)</f>
        <v>1.7108000000000002E-2</v>
      </c>
      <c r="AF304" s="347">
        <f>SUM(AF302:AF303)</f>
        <v>1.7108000000000002E-2</v>
      </c>
    </row>
    <row r="305" spans="2:32" ht="21.95" customHeight="1">
      <c r="B305" s="344" t="s">
        <v>2987</v>
      </c>
      <c r="C305" s="344" t="s">
        <v>1888</v>
      </c>
      <c r="D305" s="354" t="s">
        <v>1664</v>
      </c>
      <c r="E305" s="354" t="s">
        <v>1889</v>
      </c>
      <c r="F305" s="368" t="s">
        <v>1852</v>
      </c>
      <c r="G305" s="368">
        <f>IF(H305*I305/100+0.0000005 &lt;1, TRUNC(H305*I305/100+0.0000005, 옵션!$E$13), TRUNC(H305*I305/100+0.0000005, 옵션!$E$13))</f>
        <v>1.7100000000000001E-2</v>
      </c>
      <c r="H305" s="368">
        <f>옵션!$B$13</f>
        <v>100</v>
      </c>
      <c r="I305" s="368">
        <f>SUM(AF302:AF303)</f>
        <v>1.7108000000000002E-2</v>
      </c>
      <c r="J305" s="368"/>
      <c r="K305" s="354"/>
      <c r="L305" s="368"/>
      <c r="M305" s="368"/>
      <c r="N305" s="368"/>
      <c r="O305" s="368" t="str">
        <f>IF(I305*M305=0, "", I305*M305*(N305/100))</f>
        <v/>
      </c>
      <c r="P305" s="357"/>
      <c r="Q305" s="357">
        <f>TRUNC(P305*M305*N305/100)</f>
        <v>0</v>
      </c>
      <c r="R305" s="357"/>
      <c r="S305" s="368"/>
      <c r="T305" s="368"/>
    </row>
    <row r="306" spans="2:32" ht="21.95" customHeight="1">
      <c r="B306" s="344" t="s">
        <v>208</v>
      </c>
      <c r="D306" s="714" t="s">
        <v>3099</v>
      </c>
      <c r="E306" s="724"/>
      <c r="F306" s="724"/>
      <c r="G306" s="724"/>
      <c r="H306" s="724"/>
      <c r="I306" s="724"/>
      <c r="J306" s="724"/>
      <c r="K306" s="724"/>
      <c r="L306" s="724"/>
      <c r="M306" s="724"/>
      <c r="N306" s="724"/>
      <c r="O306" s="724"/>
      <c r="P306" s="724"/>
      <c r="Q306" s="724"/>
      <c r="R306" s="724"/>
      <c r="S306" s="724"/>
      <c r="T306" s="725"/>
    </row>
    <row r="307" spans="2:32" ht="21.95" customHeight="1">
      <c r="B307" s="344" t="s">
        <v>2987</v>
      </c>
      <c r="C307" s="344" t="s">
        <v>2187</v>
      </c>
      <c r="D307" s="354" t="s">
        <v>256</v>
      </c>
      <c r="E307" s="354" t="s">
        <v>534</v>
      </c>
      <c r="F307" s="368" t="s">
        <v>255</v>
      </c>
      <c r="G307" s="368">
        <v>1</v>
      </c>
      <c r="H307" s="368">
        <f>IF(I307&lt;&gt;0, G307-I307, "")</f>
        <v>0</v>
      </c>
      <c r="I307" s="368">
        <v>1</v>
      </c>
      <c r="J307" s="368"/>
      <c r="K307" s="354" t="s">
        <v>1968</v>
      </c>
      <c r="L307" s="368" t="s">
        <v>1969</v>
      </c>
      <c r="M307" s="368">
        <v>6.0000000000000001E-3</v>
      </c>
      <c r="N307" s="368">
        <v>85</v>
      </c>
      <c r="O307" s="368">
        <f>IF(I307*M307=0, "", I307*M307*(N307/100))</f>
        <v>5.1000000000000004E-3</v>
      </c>
      <c r="P307" s="357"/>
      <c r="Q307" s="357">
        <f>TRUNC(P307*M307*N307/100)</f>
        <v>0</v>
      </c>
      <c r="R307" s="357"/>
      <c r="S307" s="368" t="s">
        <v>3019</v>
      </c>
      <c r="T307" s="368"/>
      <c r="AD307" s="347">
        <f>O307</f>
        <v>5.1000000000000004E-3</v>
      </c>
    </row>
    <row r="308" spans="2:32" ht="21.95" customHeight="1">
      <c r="B308" s="344" t="s">
        <v>2987</v>
      </c>
      <c r="C308" s="344" t="s">
        <v>2187</v>
      </c>
      <c r="D308" s="354"/>
      <c r="E308" s="354"/>
      <c r="F308" s="368"/>
      <c r="G308" s="368">
        <v>1</v>
      </c>
      <c r="H308" s="368">
        <f>IF(I308&lt;&gt;0, G308-I308, "")</f>
        <v>0</v>
      </c>
      <c r="I308" s="368">
        <v>1</v>
      </c>
      <c r="J308" s="368"/>
      <c r="K308" s="354" t="s">
        <v>1888</v>
      </c>
      <c r="L308" s="368" t="s">
        <v>1889</v>
      </c>
      <c r="M308" s="368">
        <v>1.4E-2</v>
      </c>
      <c r="N308" s="368">
        <v>85</v>
      </c>
      <c r="O308" s="368">
        <f>IF(I308*M308=0, "", I308*M308*(N308/100))</f>
        <v>1.1899999999999999E-2</v>
      </c>
      <c r="P308" s="357"/>
      <c r="Q308" s="357">
        <f>TRUNC(P308*M308*N308/100)</f>
        <v>0</v>
      </c>
      <c r="R308" s="357"/>
      <c r="S308" s="368" t="s">
        <v>3019</v>
      </c>
      <c r="T308" s="368"/>
      <c r="AF308" s="347">
        <f>O308</f>
        <v>1.1899999999999999E-2</v>
      </c>
    </row>
    <row r="309" spans="2:32" ht="21.95" customHeight="1">
      <c r="B309" s="344" t="s">
        <v>2987</v>
      </c>
      <c r="C309" s="344" t="s">
        <v>1968</v>
      </c>
      <c r="D309" s="354" t="s">
        <v>1664</v>
      </c>
      <c r="E309" s="354" t="s">
        <v>1969</v>
      </c>
      <c r="F309" s="368" t="s">
        <v>1852</v>
      </c>
      <c r="G309" s="368">
        <f>IF(H309*I309/100+0.000005 &lt;1, TRUNC(H309*I309/100+0.000005, 옵션!$E$13), TRUNC(H309*I309/100+0.000005, 옵션!$E$13))</f>
        <v>5.1000000000000004E-3</v>
      </c>
      <c r="H309" s="368">
        <f>옵션!$B$13</f>
        <v>100</v>
      </c>
      <c r="I309" s="368">
        <f>SUM(AD307:AD308)</f>
        <v>5.1000000000000004E-3</v>
      </c>
      <c r="J309" s="368"/>
      <c r="K309" s="354"/>
      <c r="L309" s="368"/>
      <c r="M309" s="368"/>
      <c r="N309" s="368"/>
      <c r="O309" s="368" t="str">
        <f>IF(I309*M309=0, "", I309*M309*(N309/100))</f>
        <v/>
      </c>
      <c r="P309" s="357"/>
      <c r="Q309" s="357">
        <f>TRUNC(P309*M309*N309/100)</f>
        <v>0</v>
      </c>
      <c r="R309" s="357"/>
      <c r="S309" s="368"/>
      <c r="T309" s="368"/>
      <c r="Z309" s="347" t="s">
        <v>2989</v>
      </c>
      <c r="AD309" s="347">
        <f>SUM(AD307:AD308)</f>
        <v>5.1000000000000004E-3</v>
      </c>
      <c r="AF309" s="347">
        <f>SUM(AF307:AF308)</f>
        <v>1.1899999999999999E-2</v>
      </c>
    </row>
    <row r="310" spans="2:32" ht="21.95" customHeight="1">
      <c r="B310" s="344" t="s">
        <v>2987</v>
      </c>
      <c r="C310" s="344" t="s">
        <v>1888</v>
      </c>
      <c r="D310" s="354" t="s">
        <v>1664</v>
      </c>
      <c r="E310" s="354" t="s">
        <v>1889</v>
      </c>
      <c r="F310" s="368" t="s">
        <v>1852</v>
      </c>
      <c r="G310" s="368">
        <f>IF(H310*I310/100+0.000005 &lt;1, TRUNC(H310*I310/100+0.000005, 옵션!$E$13), TRUNC(H310*I310/100+0.000005, 옵션!$E$13))</f>
        <v>1.1900000000000001E-2</v>
      </c>
      <c r="H310" s="368">
        <f>옵션!$B$13</f>
        <v>100</v>
      </c>
      <c r="I310" s="368">
        <f>SUM(AF307:AF308)</f>
        <v>1.1899999999999999E-2</v>
      </c>
      <c r="J310" s="368"/>
      <c r="K310" s="354"/>
      <c r="L310" s="368"/>
      <c r="M310" s="368"/>
      <c r="N310" s="368"/>
      <c r="O310" s="368" t="str">
        <f>IF(I310*M310=0, "", I310*M310*(N310/100))</f>
        <v/>
      </c>
      <c r="P310" s="357"/>
      <c r="Q310" s="357">
        <f>TRUNC(P310*M310*N310/100)</f>
        <v>0</v>
      </c>
      <c r="R310" s="357"/>
      <c r="S310" s="368"/>
      <c r="T310" s="368"/>
    </row>
    <row r="311" spans="2:32" ht="21.95" customHeight="1">
      <c r="B311" s="344" t="s">
        <v>208</v>
      </c>
      <c r="D311" s="714" t="s">
        <v>3100</v>
      </c>
      <c r="E311" s="724"/>
      <c r="F311" s="724"/>
      <c r="G311" s="724"/>
      <c r="H311" s="724"/>
      <c r="I311" s="724"/>
      <c r="J311" s="724"/>
      <c r="K311" s="724"/>
      <c r="L311" s="724"/>
      <c r="M311" s="724"/>
      <c r="N311" s="724"/>
      <c r="O311" s="724"/>
      <c r="P311" s="724"/>
      <c r="Q311" s="724"/>
      <c r="R311" s="724"/>
      <c r="S311" s="724"/>
      <c r="T311" s="725"/>
    </row>
    <row r="312" spans="2:32" ht="21.95" customHeight="1">
      <c r="B312" s="344" t="s">
        <v>2987</v>
      </c>
      <c r="C312" s="344" t="s">
        <v>2190</v>
      </c>
      <c r="D312" s="354" t="s">
        <v>256</v>
      </c>
      <c r="E312" s="354" t="s">
        <v>535</v>
      </c>
      <c r="F312" s="368" t="s">
        <v>255</v>
      </c>
      <c r="G312" s="368">
        <v>1</v>
      </c>
      <c r="H312" s="368">
        <f>IF(I312&lt;&gt;0, G312-I312, "")</f>
        <v>0</v>
      </c>
      <c r="I312" s="368">
        <v>1</v>
      </c>
      <c r="J312" s="368"/>
      <c r="K312" s="354" t="s">
        <v>1968</v>
      </c>
      <c r="L312" s="368" t="s">
        <v>1969</v>
      </c>
      <c r="M312" s="368">
        <v>8.9999999999999993E-3</v>
      </c>
      <c r="N312" s="368">
        <v>85</v>
      </c>
      <c r="O312" s="368">
        <f>IF(I312*M312=0, "", I312*M312*(N312/100))</f>
        <v>7.6499999999999988E-3</v>
      </c>
      <c r="P312" s="357"/>
      <c r="Q312" s="357">
        <f>TRUNC(P312*M312*N312/100)</f>
        <v>0</v>
      </c>
      <c r="R312" s="357"/>
      <c r="S312" s="368" t="s">
        <v>3019</v>
      </c>
      <c r="T312" s="368"/>
      <c r="AD312" s="347">
        <f>O312</f>
        <v>7.6499999999999988E-3</v>
      </c>
    </row>
    <row r="313" spans="2:32" ht="21.95" customHeight="1">
      <c r="B313" s="344" t="s">
        <v>2987</v>
      </c>
      <c r="C313" s="344" t="s">
        <v>2190</v>
      </c>
      <c r="D313" s="354"/>
      <c r="E313" s="354"/>
      <c r="F313" s="368"/>
      <c r="G313" s="368">
        <v>1</v>
      </c>
      <c r="H313" s="368">
        <f>IF(I313&lt;&gt;0, G313-I313, "")</f>
        <v>0</v>
      </c>
      <c r="I313" s="368">
        <v>1</v>
      </c>
      <c r="J313" s="368"/>
      <c r="K313" s="354" t="s">
        <v>1888</v>
      </c>
      <c r="L313" s="368" t="s">
        <v>1889</v>
      </c>
      <c r="M313" s="368">
        <v>2.1999999999999999E-2</v>
      </c>
      <c r="N313" s="368">
        <v>85</v>
      </c>
      <c r="O313" s="368">
        <f>IF(I313*M313=0, "", I313*M313*(N313/100))</f>
        <v>1.8699999999999998E-2</v>
      </c>
      <c r="P313" s="357"/>
      <c r="Q313" s="357">
        <f>TRUNC(P313*M313*N313/100)</f>
        <v>0</v>
      </c>
      <c r="R313" s="357"/>
      <c r="S313" s="368" t="s">
        <v>3019</v>
      </c>
      <c r="T313" s="368"/>
      <c r="AF313" s="347">
        <f>O313</f>
        <v>1.8699999999999998E-2</v>
      </c>
    </row>
    <row r="314" spans="2:32" ht="21.95" customHeight="1">
      <c r="B314" s="344" t="s">
        <v>2987</v>
      </c>
      <c r="C314" s="344" t="s">
        <v>1968</v>
      </c>
      <c r="D314" s="354" t="s">
        <v>1664</v>
      </c>
      <c r="E314" s="354" t="s">
        <v>1969</v>
      </c>
      <c r="F314" s="368" t="s">
        <v>1852</v>
      </c>
      <c r="G314" s="368">
        <f>IF(H314*I314/100+0.000005 &lt;1, TRUNC(H314*I314/100+0.000005, 옵션!$E$13), TRUNC(H314*I314/100+0.000005, 옵션!$E$13))</f>
        <v>7.6499999999999997E-3</v>
      </c>
      <c r="H314" s="368">
        <f>옵션!$B$13</f>
        <v>100</v>
      </c>
      <c r="I314" s="368">
        <f>SUM(AD312:AD313)</f>
        <v>7.6499999999999988E-3</v>
      </c>
      <c r="J314" s="368"/>
      <c r="K314" s="354"/>
      <c r="L314" s="368"/>
      <c r="M314" s="368"/>
      <c r="N314" s="368"/>
      <c r="O314" s="368" t="str">
        <f>IF(I314*M314=0, "", I314*M314*(N314/100))</f>
        <v/>
      </c>
      <c r="P314" s="357"/>
      <c r="Q314" s="357">
        <f>TRUNC(P314*M314*N314/100)</f>
        <v>0</v>
      </c>
      <c r="R314" s="357"/>
      <c r="S314" s="368"/>
      <c r="T314" s="368"/>
      <c r="Z314" s="347" t="s">
        <v>2989</v>
      </c>
      <c r="AD314" s="347">
        <f>SUM(AD312:AD313)</f>
        <v>7.6499999999999988E-3</v>
      </c>
      <c r="AF314" s="347">
        <f>SUM(AF312:AF313)</f>
        <v>1.8699999999999998E-2</v>
      </c>
    </row>
    <row r="315" spans="2:32" ht="21.95" customHeight="1">
      <c r="B315" s="344" t="s">
        <v>2987</v>
      </c>
      <c r="C315" s="344" t="s">
        <v>1888</v>
      </c>
      <c r="D315" s="354" t="s">
        <v>1664</v>
      </c>
      <c r="E315" s="354" t="s">
        <v>1889</v>
      </c>
      <c r="F315" s="368" t="s">
        <v>1852</v>
      </c>
      <c r="G315" s="368">
        <f>IF(H315*I315/100+0.000005 &lt;1, TRUNC(H315*I315/100+0.000005, 옵션!$E$13), TRUNC(H315*I315/100+0.000005, 옵션!$E$13))</f>
        <v>1.8700000000000001E-2</v>
      </c>
      <c r="H315" s="368">
        <f>옵션!$B$13</f>
        <v>100</v>
      </c>
      <c r="I315" s="368">
        <f>SUM(AF312:AF313)</f>
        <v>1.8699999999999998E-2</v>
      </c>
      <c r="J315" s="368"/>
      <c r="K315" s="354"/>
      <c r="L315" s="368"/>
      <c r="M315" s="368"/>
      <c r="N315" s="368"/>
      <c r="O315" s="368" t="str">
        <f>IF(I315*M315=0, "", I315*M315*(N315/100))</f>
        <v/>
      </c>
      <c r="P315" s="357"/>
      <c r="Q315" s="357">
        <f>TRUNC(P315*M315*N315/100)</f>
        <v>0</v>
      </c>
      <c r="R315" s="357"/>
      <c r="S315" s="368"/>
      <c r="T315" s="368"/>
    </row>
    <row r="316" spans="2:32" ht="21.95" customHeight="1">
      <c r="B316" s="344" t="s">
        <v>208</v>
      </c>
      <c r="D316" s="714" t="s">
        <v>3101</v>
      </c>
      <c r="E316" s="724"/>
      <c r="F316" s="724"/>
      <c r="G316" s="724"/>
      <c r="H316" s="724"/>
      <c r="I316" s="724"/>
      <c r="J316" s="724"/>
      <c r="K316" s="724"/>
      <c r="L316" s="724"/>
      <c r="M316" s="724"/>
      <c r="N316" s="724"/>
      <c r="O316" s="724"/>
      <c r="P316" s="724"/>
      <c r="Q316" s="724"/>
      <c r="R316" s="724"/>
      <c r="S316" s="724"/>
      <c r="T316" s="725"/>
    </row>
    <row r="317" spans="2:32" ht="21.95" customHeight="1">
      <c r="B317" s="344" t="s">
        <v>2987</v>
      </c>
      <c r="C317" s="344" t="s">
        <v>2193</v>
      </c>
      <c r="D317" s="354" t="s">
        <v>540</v>
      </c>
      <c r="E317" s="354" t="s">
        <v>541</v>
      </c>
      <c r="F317" s="368" t="s">
        <v>255</v>
      </c>
      <c r="G317" s="368">
        <v>1</v>
      </c>
      <c r="H317" s="368">
        <f>IF(I317&lt;&gt;0, G317-I317, "")</f>
        <v>0</v>
      </c>
      <c r="I317" s="368">
        <v>1</v>
      </c>
      <c r="J317" s="368"/>
      <c r="K317" s="354" t="s">
        <v>2194</v>
      </c>
      <c r="L317" s="368" t="s">
        <v>2195</v>
      </c>
      <c r="M317" s="368">
        <v>5.0000000000000001E-3</v>
      </c>
      <c r="N317" s="368">
        <v>100</v>
      </c>
      <c r="O317" s="368">
        <f>IF(I317*M317=0, "", I317*M317*(N317/100))</f>
        <v>5.0000000000000001E-3</v>
      </c>
      <c r="P317" s="357"/>
      <c r="Q317" s="357">
        <f>TRUNC(P317*M317*N317/100)</f>
        <v>0</v>
      </c>
      <c r="R317" s="357"/>
      <c r="S317" s="368" t="s">
        <v>3102</v>
      </c>
      <c r="T317" s="368"/>
      <c r="AE317" s="347">
        <f>O317</f>
        <v>5.0000000000000001E-3</v>
      </c>
    </row>
    <row r="318" spans="2:32" ht="21.95" customHeight="1">
      <c r="B318" s="344" t="s">
        <v>2987</v>
      </c>
      <c r="C318" s="344" t="s">
        <v>2194</v>
      </c>
      <c r="D318" s="354" t="s">
        <v>1664</v>
      </c>
      <c r="E318" s="354" t="s">
        <v>2195</v>
      </c>
      <c r="F318" s="368" t="s">
        <v>1852</v>
      </c>
      <c r="G318" s="368">
        <f>IF(H318*I318/100+0.000005 &lt;1, TRUNC(H318*I318/100+0.000005, 옵션!$E$13), TRUNC(H318*I318/100+0.000005, 옵션!$E$13))</f>
        <v>5.0000000000000001E-3</v>
      </c>
      <c r="H318" s="368">
        <f>옵션!$B$13</f>
        <v>100</v>
      </c>
      <c r="I318" s="368">
        <f>SUM(AE317:AE317)</f>
        <v>5.0000000000000001E-3</v>
      </c>
      <c r="J318" s="368"/>
      <c r="K318" s="354"/>
      <c r="L318" s="368"/>
      <c r="M318" s="368"/>
      <c r="N318" s="368"/>
      <c r="O318" s="368" t="str">
        <f>IF(I318*M318=0, "", I318*M318*(N318/100))</f>
        <v/>
      </c>
      <c r="P318" s="357"/>
      <c r="Q318" s="357">
        <f>TRUNC(P318*M318*N318/100)</f>
        <v>0</v>
      </c>
      <c r="R318" s="357"/>
      <c r="S318" s="368"/>
      <c r="T318" s="368"/>
      <c r="Z318" s="347" t="s">
        <v>2989</v>
      </c>
      <c r="AE318" s="347">
        <f>SUM(AE317:AE317)</f>
        <v>5.0000000000000001E-3</v>
      </c>
    </row>
    <row r="319" spans="2:32" ht="21.95" customHeight="1">
      <c r="D319" s="354"/>
      <c r="E319" s="354"/>
      <c r="F319" s="368"/>
      <c r="G319" s="368"/>
      <c r="H319" s="368"/>
      <c r="I319" s="368"/>
      <c r="J319" s="368"/>
      <c r="K319" s="354"/>
      <c r="L319" s="368"/>
      <c r="M319" s="368"/>
      <c r="N319" s="368"/>
      <c r="O319" s="368"/>
      <c r="P319" s="357"/>
      <c r="Q319" s="357"/>
      <c r="R319" s="357"/>
      <c r="S319" s="368"/>
      <c r="T319" s="368"/>
    </row>
    <row r="320" spans="2:32" ht="21.95" customHeight="1">
      <c r="D320" s="354"/>
      <c r="E320" s="354"/>
      <c r="F320" s="368"/>
      <c r="G320" s="368"/>
      <c r="H320" s="368"/>
      <c r="I320" s="368"/>
      <c r="J320" s="368"/>
      <c r="K320" s="354"/>
      <c r="L320" s="368"/>
      <c r="M320" s="368"/>
      <c r="N320" s="368"/>
      <c r="O320" s="368"/>
      <c r="P320" s="357"/>
      <c r="Q320" s="357"/>
      <c r="R320" s="357"/>
      <c r="S320" s="368"/>
      <c r="T320" s="368"/>
    </row>
    <row r="321" spans="4:20" ht="21.95" customHeight="1">
      <c r="D321" s="354"/>
      <c r="E321" s="354"/>
      <c r="F321" s="368"/>
      <c r="G321" s="368"/>
      <c r="H321" s="368"/>
      <c r="I321" s="368"/>
      <c r="J321" s="368"/>
      <c r="K321" s="354"/>
      <c r="L321" s="368"/>
      <c r="M321" s="368"/>
      <c r="N321" s="368"/>
      <c r="O321" s="368"/>
      <c r="P321" s="357"/>
      <c r="Q321" s="357"/>
      <c r="R321" s="357"/>
      <c r="S321" s="368"/>
      <c r="T321" s="368"/>
    </row>
    <row r="322" spans="4:20" ht="21.95" customHeight="1">
      <c r="D322" s="354"/>
      <c r="E322" s="354"/>
      <c r="F322" s="368"/>
      <c r="G322" s="368"/>
      <c r="H322" s="368"/>
      <c r="I322" s="368"/>
      <c r="J322" s="368"/>
      <c r="K322" s="354"/>
      <c r="L322" s="368"/>
      <c r="M322" s="368"/>
      <c r="N322" s="368"/>
      <c r="O322" s="368"/>
      <c r="P322" s="357"/>
      <c r="Q322" s="357"/>
      <c r="R322" s="357"/>
      <c r="S322" s="368"/>
      <c r="T322" s="368"/>
    </row>
    <row r="323" spans="4:20" ht="21.95" customHeight="1">
      <c r="D323" s="354"/>
      <c r="E323" s="354"/>
      <c r="F323" s="368"/>
      <c r="G323" s="368"/>
      <c r="H323" s="368"/>
      <c r="I323" s="368"/>
      <c r="J323" s="368"/>
      <c r="K323" s="354"/>
      <c r="L323" s="368"/>
      <c r="M323" s="368"/>
      <c r="N323" s="368"/>
      <c r="O323" s="368"/>
      <c r="P323" s="357"/>
      <c r="Q323" s="357"/>
      <c r="R323" s="357"/>
      <c r="S323" s="368"/>
      <c r="T323" s="368"/>
    </row>
    <row r="324" spans="4:20" ht="21.95" customHeight="1">
      <c r="D324" s="354"/>
      <c r="E324" s="354"/>
      <c r="F324" s="368"/>
      <c r="G324" s="368"/>
      <c r="H324" s="368"/>
      <c r="I324" s="368"/>
      <c r="J324" s="368"/>
      <c r="K324" s="354"/>
      <c r="L324" s="368"/>
      <c r="M324" s="368"/>
      <c r="N324" s="368"/>
      <c r="O324" s="368"/>
      <c r="P324" s="357"/>
      <c r="Q324" s="357"/>
      <c r="R324" s="357"/>
      <c r="S324" s="368"/>
      <c r="T324" s="368"/>
    </row>
    <row r="325" spans="4:20" ht="21.95" customHeight="1">
      <c r="D325" s="354"/>
      <c r="E325" s="354"/>
      <c r="F325" s="368"/>
      <c r="G325" s="368"/>
      <c r="H325" s="368"/>
      <c r="I325" s="368"/>
      <c r="J325" s="368"/>
      <c r="K325" s="354"/>
      <c r="L325" s="368"/>
      <c r="M325" s="368"/>
      <c r="N325" s="368"/>
      <c r="O325" s="368"/>
      <c r="P325" s="357"/>
      <c r="Q325" s="357"/>
      <c r="R325" s="357"/>
      <c r="S325" s="368"/>
      <c r="T325" s="368"/>
    </row>
    <row r="326" spans="4:20" ht="21.95" customHeight="1">
      <c r="D326" s="354"/>
      <c r="E326" s="354"/>
      <c r="F326" s="368"/>
      <c r="G326" s="368"/>
      <c r="H326" s="368"/>
      <c r="I326" s="368"/>
      <c r="J326" s="368"/>
      <c r="K326" s="354"/>
      <c r="L326" s="368"/>
      <c r="M326" s="368"/>
      <c r="N326" s="368"/>
      <c r="O326" s="368"/>
      <c r="P326" s="357"/>
      <c r="Q326" s="357"/>
      <c r="R326" s="357"/>
      <c r="S326" s="368"/>
      <c r="T326" s="368"/>
    </row>
    <row r="327" spans="4:20" ht="21.95" customHeight="1">
      <c r="D327" s="354"/>
      <c r="E327" s="354"/>
      <c r="F327" s="368"/>
      <c r="G327" s="368"/>
      <c r="H327" s="368"/>
      <c r="I327" s="368"/>
      <c r="J327" s="368"/>
      <c r="K327" s="354"/>
      <c r="L327" s="368"/>
      <c r="M327" s="368"/>
      <c r="N327" s="368"/>
      <c r="O327" s="368"/>
      <c r="P327" s="357"/>
      <c r="Q327" s="357"/>
      <c r="R327" s="357"/>
      <c r="S327" s="368"/>
      <c r="T327" s="368"/>
    </row>
    <row r="328" spans="4:20" ht="21.95" customHeight="1">
      <c r="D328" s="354"/>
      <c r="E328" s="354"/>
      <c r="F328" s="368"/>
      <c r="G328" s="368"/>
      <c r="H328" s="368"/>
      <c r="I328" s="368"/>
      <c r="J328" s="368"/>
      <c r="K328" s="354"/>
      <c r="L328" s="368"/>
      <c r="M328" s="368"/>
      <c r="N328" s="368"/>
      <c r="O328" s="368"/>
      <c r="P328" s="357"/>
      <c r="Q328" s="357"/>
      <c r="R328" s="357"/>
      <c r="S328" s="368"/>
      <c r="T328" s="368"/>
    </row>
    <row r="329" spans="4:20" ht="21.95" customHeight="1">
      <c r="D329" s="354"/>
      <c r="E329" s="354"/>
      <c r="F329" s="368"/>
      <c r="G329" s="368"/>
      <c r="H329" s="368"/>
      <c r="I329" s="368"/>
      <c r="J329" s="368"/>
      <c r="K329" s="354"/>
      <c r="L329" s="368"/>
      <c r="M329" s="368"/>
      <c r="N329" s="368"/>
      <c r="O329" s="368"/>
      <c r="P329" s="357"/>
      <c r="Q329" s="357"/>
      <c r="R329" s="357"/>
      <c r="S329" s="368"/>
      <c r="T329" s="368"/>
    </row>
    <row r="330" spans="4:20" ht="21.95" customHeight="1">
      <c r="D330" s="354"/>
      <c r="E330" s="354"/>
      <c r="F330" s="368"/>
      <c r="G330" s="368"/>
      <c r="H330" s="368"/>
      <c r="I330" s="368"/>
      <c r="J330" s="368"/>
      <c r="K330" s="354"/>
      <c r="L330" s="368"/>
      <c r="M330" s="368"/>
      <c r="N330" s="368"/>
      <c r="O330" s="368"/>
      <c r="P330" s="357"/>
      <c r="Q330" s="357"/>
      <c r="R330" s="357"/>
      <c r="S330" s="368"/>
      <c r="T330" s="368"/>
    </row>
    <row r="331" spans="4:20" ht="21.95" customHeight="1">
      <c r="D331" s="354"/>
      <c r="E331" s="354"/>
      <c r="F331" s="368"/>
      <c r="G331" s="368"/>
      <c r="H331" s="368"/>
      <c r="I331" s="368"/>
      <c r="J331" s="368"/>
      <c r="K331" s="354"/>
      <c r="L331" s="368"/>
      <c r="M331" s="368"/>
      <c r="N331" s="368"/>
      <c r="O331" s="368"/>
      <c r="P331" s="357"/>
      <c r="Q331" s="357"/>
      <c r="R331" s="357"/>
      <c r="S331" s="368"/>
      <c r="T331" s="368"/>
    </row>
    <row r="332" spans="4:20" ht="21.95" customHeight="1">
      <c r="D332" s="354"/>
      <c r="E332" s="354"/>
      <c r="F332" s="368"/>
      <c r="G332" s="368"/>
      <c r="H332" s="368"/>
      <c r="I332" s="368"/>
      <c r="J332" s="368"/>
      <c r="K332" s="354"/>
      <c r="L332" s="368"/>
      <c r="M332" s="368"/>
      <c r="N332" s="368"/>
      <c r="O332" s="368"/>
      <c r="P332" s="357"/>
      <c r="Q332" s="357"/>
      <c r="R332" s="357"/>
      <c r="S332" s="368"/>
      <c r="T332" s="368"/>
    </row>
    <row r="333" spans="4:20" ht="21.95" customHeight="1">
      <c r="D333" s="354"/>
      <c r="E333" s="354"/>
      <c r="F333" s="368"/>
      <c r="G333" s="368"/>
      <c r="H333" s="368"/>
      <c r="I333" s="368"/>
      <c r="J333" s="368"/>
      <c r="K333" s="354"/>
      <c r="L333" s="368"/>
      <c r="M333" s="368"/>
      <c r="N333" s="368"/>
      <c r="O333" s="368"/>
      <c r="P333" s="357"/>
      <c r="Q333" s="357"/>
      <c r="R333" s="357"/>
      <c r="S333" s="368"/>
      <c r="T333" s="368"/>
    </row>
    <row r="334" spans="4:20" ht="21.95" customHeight="1">
      <c r="D334" s="354"/>
      <c r="E334" s="354"/>
      <c r="F334" s="368"/>
      <c r="G334" s="368"/>
      <c r="H334" s="368"/>
      <c r="I334" s="368"/>
      <c r="J334" s="368"/>
      <c r="K334" s="354"/>
      <c r="L334" s="368"/>
      <c r="M334" s="368"/>
      <c r="N334" s="368"/>
      <c r="O334" s="368"/>
      <c r="P334" s="357"/>
      <c r="Q334" s="357"/>
      <c r="R334" s="357"/>
      <c r="S334" s="368"/>
      <c r="T334" s="368"/>
    </row>
    <row r="335" spans="4:20" ht="21.95" customHeight="1">
      <c r="D335" s="354"/>
      <c r="E335" s="354"/>
      <c r="F335" s="368"/>
      <c r="G335" s="368"/>
      <c r="H335" s="368"/>
      <c r="I335" s="368"/>
      <c r="J335" s="368"/>
      <c r="K335" s="354"/>
      <c r="L335" s="368"/>
      <c r="M335" s="368"/>
      <c r="N335" s="368"/>
      <c r="O335" s="368"/>
      <c r="P335" s="357"/>
      <c r="Q335" s="357"/>
      <c r="R335" s="357"/>
      <c r="S335" s="368"/>
      <c r="T335" s="368"/>
    </row>
    <row r="336" spans="4:20" ht="21.95" customHeight="1">
      <c r="D336" s="354"/>
      <c r="E336" s="354"/>
      <c r="F336" s="368"/>
      <c r="G336" s="368"/>
      <c r="H336" s="368"/>
      <c r="I336" s="368"/>
      <c r="J336" s="368"/>
      <c r="K336" s="354"/>
      <c r="L336" s="368"/>
      <c r="M336" s="368"/>
      <c r="N336" s="368"/>
      <c r="O336" s="368"/>
      <c r="P336" s="357"/>
      <c r="Q336" s="357"/>
      <c r="R336" s="357"/>
      <c r="S336" s="368"/>
      <c r="T336" s="368"/>
    </row>
    <row r="337" spans="4:20" ht="21.95" customHeight="1">
      <c r="D337" s="354"/>
      <c r="E337" s="354"/>
      <c r="F337" s="368"/>
      <c r="G337" s="368"/>
      <c r="H337" s="368"/>
      <c r="I337" s="368"/>
      <c r="J337" s="368"/>
      <c r="K337" s="354"/>
      <c r="L337" s="368"/>
      <c r="M337" s="368"/>
      <c r="N337" s="368"/>
      <c r="O337" s="368"/>
      <c r="P337" s="357"/>
      <c r="Q337" s="357"/>
      <c r="R337" s="357"/>
      <c r="S337" s="368"/>
      <c r="T337" s="368"/>
    </row>
    <row r="338" spans="4:20" ht="21.95" customHeight="1">
      <c r="D338" s="354"/>
      <c r="E338" s="354"/>
      <c r="F338" s="368"/>
      <c r="G338" s="368"/>
      <c r="H338" s="368"/>
      <c r="I338" s="368"/>
      <c r="J338" s="368"/>
      <c r="K338" s="354"/>
      <c r="L338" s="368"/>
      <c r="M338" s="368"/>
      <c r="N338" s="368"/>
      <c r="O338" s="368"/>
      <c r="P338" s="357"/>
      <c r="Q338" s="357"/>
      <c r="R338" s="357"/>
      <c r="S338" s="368"/>
      <c r="T338" s="368"/>
    </row>
    <row r="339" spans="4:20" ht="21.95" customHeight="1">
      <c r="D339" s="354"/>
      <c r="E339" s="354"/>
      <c r="F339" s="368"/>
      <c r="G339" s="368"/>
      <c r="H339" s="368"/>
      <c r="I339" s="368"/>
      <c r="J339" s="368"/>
      <c r="K339" s="354"/>
      <c r="L339" s="368"/>
      <c r="M339" s="368"/>
      <c r="N339" s="368"/>
      <c r="O339" s="368"/>
      <c r="P339" s="357"/>
      <c r="Q339" s="357"/>
      <c r="R339" s="357"/>
      <c r="S339" s="368"/>
      <c r="T339" s="368"/>
    </row>
    <row r="340" spans="4:20" ht="21.95" customHeight="1">
      <c r="D340" s="354"/>
      <c r="E340" s="354"/>
      <c r="F340" s="368"/>
      <c r="G340" s="368"/>
      <c r="H340" s="368"/>
      <c r="I340" s="368"/>
      <c r="J340" s="368"/>
      <c r="K340" s="354"/>
      <c r="L340" s="368"/>
      <c r="M340" s="368"/>
      <c r="N340" s="368"/>
      <c r="O340" s="368"/>
      <c r="P340" s="357"/>
      <c r="Q340" s="357"/>
      <c r="R340" s="357"/>
      <c r="S340" s="368"/>
      <c r="T340" s="368"/>
    </row>
    <row r="341" spans="4:20" ht="21.95" customHeight="1">
      <c r="D341" s="354"/>
      <c r="E341" s="354"/>
      <c r="F341" s="368"/>
      <c r="G341" s="368"/>
      <c r="H341" s="368"/>
      <c r="I341" s="368"/>
      <c r="J341" s="368"/>
      <c r="K341" s="354"/>
      <c r="L341" s="368"/>
      <c r="M341" s="368"/>
      <c r="N341" s="368"/>
      <c r="O341" s="368"/>
      <c r="P341" s="357"/>
      <c r="Q341" s="357"/>
      <c r="R341" s="357"/>
      <c r="S341" s="368"/>
      <c r="T341" s="368"/>
    </row>
  </sheetData>
  <mergeCells count="100">
    <mergeCell ref="D10:T10"/>
    <mergeCell ref="D1:O1"/>
    <mergeCell ref="A2:A3"/>
    <mergeCell ref="B2:B3"/>
    <mergeCell ref="C2:C3"/>
    <mergeCell ref="D2:D3"/>
    <mergeCell ref="E2:E3"/>
    <mergeCell ref="F2:F3"/>
    <mergeCell ref="G2:J2"/>
    <mergeCell ref="K2:K3"/>
    <mergeCell ref="L2:O2"/>
    <mergeCell ref="P2:R2"/>
    <mergeCell ref="S2:S3"/>
    <mergeCell ref="T2:T3"/>
    <mergeCell ref="D4:T4"/>
    <mergeCell ref="D7:T7"/>
    <mergeCell ref="D58:T58"/>
    <mergeCell ref="D13:T13"/>
    <mergeCell ref="D22:T22"/>
    <mergeCell ref="D27:T27"/>
    <mergeCell ref="D32:T32"/>
    <mergeCell ref="D35:T35"/>
    <mergeCell ref="D40:T40"/>
    <mergeCell ref="D43:T43"/>
    <mergeCell ref="D46:T46"/>
    <mergeCell ref="D49:T49"/>
    <mergeCell ref="D52:T52"/>
    <mergeCell ref="D55:T55"/>
    <mergeCell ref="D100:T100"/>
    <mergeCell ref="D61:T61"/>
    <mergeCell ref="D64:T64"/>
    <mergeCell ref="D67:T67"/>
    <mergeCell ref="D70:T70"/>
    <mergeCell ref="D73:T73"/>
    <mergeCell ref="D76:T76"/>
    <mergeCell ref="D81:T81"/>
    <mergeCell ref="D86:T86"/>
    <mergeCell ref="D89:T89"/>
    <mergeCell ref="D92:T92"/>
    <mergeCell ref="D95:T95"/>
    <mergeCell ref="D142:T142"/>
    <mergeCell ref="D105:T105"/>
    <mergeCell ref="D110:T110"/>
    <mergeCell ref="D115:T115"/>
    <mergeCell ref="D118:T118"/>
    <mergeCell ref="D121:T121"/>
    <mergeCell ref="D124:T124"/>
    <mergeCell ref="D127:T127"/>
    <mergeCell ref="D130:T130"/>
    <mergeCell ref="D133:T133"/>
    <mergeCell ref="D136:T136"/>
    <mergeCell ref="D139:T139"/>
    <mergeCell ref="D178:T178"/>
    <mergeCell ref="D145:T145"/>
    <mergeCell ref="D148:T148"/>
    <mergeCell ref="D151:T151"/>
    <mergeCell ref="D154:T154"/>
    <mergeCell ref="D157:T157"/>
    <mergeCell ref="D160:T160"/>
    <mergeCell ref="D163:T163"/>
    <mergeCell ref="D166:T166"/>
    <mergeCell ref="D169:T169"/>
    <mergeCell ref="D172:T172"/>
    <mergeCell ref="D175:T175"/>
    <mergeCell ref="D222:T222"/>
    <mergeCell ref="D181:T181"/>
    <mergeCell ref="D184:T184"/>
    <mergeCell ref="D187:T187"/>
    <mergeCell ref="D190:T190"/>
    <mergeCell ref="D193:T193"/>
    <mergeCell ref="D196:T196"/>
    <mergeCell ref="D201:T201"/>
    <mergeCell ref="D204:T204"/>
    <mergeCell ref="D207:T207"/>
    <mergeCell ref="D212:T212"/>
    <mergeCell ref="D217:T217"/>
    <mergeCell ref="D264:T264"/>
    <mergeCell ref="D225:T225"/>
    <mergeCell ref="D230:T230"/>
    <mergeCell ref="D233:T233"/>
    <mergeCell ref="D238:T238"/>
    <mergeCell ref="D243:T243"/>
    <mergeCell ref="D246:T246"/>
    <mergeCell ref="D249:T249"/>
    <mergeCell ref="D252:T252"/>
    <mergeCell ref="D255:T255"/>
    <mergeCell ref="D258:T258"/>
    <mergeCell ref="D261:T261"/>
    <mergeCell ref="D316:T316"/>
    <mergeCell ref="D267:T267"/>
    <mergeCell ref="D270:T270"/>
    <mergeCell ref="D273:T273"/>
    <mergeCell ref="D276:T276"/>
    <mergeCell ref="D281:T281"/>
    <mergeCell ref="D286:T286"/>
    <mergeCell ref="D291:T291"/>
    <mergeCell ref="D296:T296"/>
    <mergeCell ref="D301:T301"/>
    <mergeCell ref="D306:T306"/>
    <mergeCell ref="D311:T311"/>
  </mergeCells>
  <phoneticPr fontId="1" type="noConversion"/>
  <printOptions horizontalCentered="1" verticalCentered="1"/>
  <pageMargins left="0.74803149606299213" right="0.35433070866141736" top="0.59055118110236227" bottom="0.59055118110236227" header="0.51181102362204722" footer="0.47244094488188981"/>
  <pageSetup paperSize="9" scale="80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64C0E-5E55-47D2-A7A6-4937627933A7}">
  <dimension ref="A1:P227"/>
  <sheetViews>
    <sheetView showZeros="0" view="pageBreakPreview" topLeftCell="C1" zoomScaleNormal="100" zoomScaleSheetLayoutView="100" workbookViewId="0">
      <selection sqref="A1:H1"/>
    </sheetView>
  </sheetViews>
  <sheetFormatPr defaultRowHeight="13.5"/>
  <cols>
    <col min="1" max="1" width="7.5" style="372" hidden="1" customWidth="1"/>
    <col min="2" max="2" width="9.625" style="344" hidden="1" customWidth="1"/>
    <col min="3" max="3" width="18.875" style="344" customWidth="1"/>
    <col min="4" max="4" width="27.375" style="344" customWidth="1"/>
    <col min="5" max="5" width="28.5" style="344" customWidth="1"/>
    <col min="6" max="6" width="5.375" style="366" customWidth="1"/>
    <col min="7" max="7" width="12.625" style="347" customWidth="1"/>
    <col min="8" max="8" width="15.625" style="346" customWidth="1"/>
    <col min="9" max="9" width="13.125" style="346" customWidth="1"/>
    <col min="10" max="10" width="11.25" style="346" customWidth="1"/>
    <col min="11" max="11" width="7.875" style="346" customWidth="1"/>
    <col min="12" max="12" width="16.5" style="346" customWidth="1"/>
    <col min="13" max="13" width="13.875" style="347" customWidth="1"/>
    <col min="14" max="16384" width="9" style="347"/>
  </cols>
  <sheetData>
    <row r="1" spans="1:16" ht="21.6" customHeight="1">
      <c r="B1" s="344" t="s">
        <v>3103</v>
      </c>
      <c r="C1" s="729" t="s">
        <v>3104</v>
      </c>
      <c r="D1" s="729"/>
      <c r="E1" s="729"/>
      <c r="F1" s="729"/>
      <c r="G1" s="729"/>
      <c r="H1" s="729"/>
      <c r="K1" s="730"/>
      <c r="L1" s="730"/>
    </row>
    <row r="2" spans="1:16" s="373" customFormat="1" ht="21.6" customHeight="1">
      <c r="A2" s="352" t="s">
        <v>194</v>
      </c>
      <c r="B2" s="348" t="s">
        <v>196</v>
      </c>
      <c r="C2" s="707" t="s">
        <v>570</v>
      </c>
      <c r="D2" s="707" t="s">
        <v>571</v>
      </c>
      <c r="E2" s="707" t="s">
        <v>572</v>
      </c>
      <c r="F2" s="711" t="s">
        <v>199</v>
      </c>
      <c r="G2" s="711" t="s">
        <v>200</v>
      </c>
      <c r="H2" s="706" t="s">
        <v>201</v>
      </c>
      <c r="I2" s="706" t="s">
        <v>202</v>
      </c>
      <c r="J2" s="706" t="s">
        <v>203</v>
      </c>
      <c r="K2" s="706" t="s">
        <v>3105</v>
      </c>
      <c r="L2" s="706" t="s">
        <v>204</v>
      </c>
      <c r="M2" s="711" t="s">
        <v>576</v>
      </c>
      <c r="P2" s="374">
        <v>0.88543000000000005</v>
      </c>
    </row>
    <row r="3" spans="1:16" ht="21.6" customHeight="1">
      <c r="C3" s="731"/>
      <c r="D3" s="731"/>
      <c r="E3" s="731"/>
      <c r="F3" s="732"/>
      <c r="G3" s="728"/>
      <c r="H3" s="728"/>
      <c r="I3" s="728"/>
      <c r="J3" s="728"/>
      <c r="K3" s="728"/>
      <c r="L3" s="728"/>
      <c r="M3" s="728"/>
    </row>
    <row r="4" spans="1:16" ht="21.6" customHeight="1">
      <c r="B4" s="344" t="s">
        <v>3106</v>
      </c>
      <c r="C4" s="354" t="s">
        <v>1924</v>
      </c>
      <c r="D4" s="354" t="s">
        <v>394</v>
      </c>
      <c r="E4" s="354" t="s">
        <v>436</v>
      </c>
      <c r="F4" s="355" t="s">
        <v>255</v>
      </c>
      <c r="G4" s="368">
        <v>149</v>
      </c>
      <c r="H4" s="357">
        <f>ROUNDDOWN(단가조사!G4*옵션!$D$11, 0)*$P$2</f>
        <v>2106.43797</v>
      </c>
      <c r="I4" s="357"/>
      <c r="J4" s="357"/>
      <c r="K4" s="357"/>
      <c r="L4" s="357">
        <f t="shared" ref="L4:L67" si="0">SUM(H4,I4,J4)</f>
        <v>2106.43797</v>
      </c>
      <c r="M4" s="368"/>
    </row>
    <row r="5" spans="1:16" ht="21.6" customHeight="1">
      <c r="B5" s="344" t="s">
        <v>3107</v>
      </c>
      <c r="C5" s="354" t="s">
        <v>1930</v>
      </c>
      <c r="D5" s="354" t="s">
        <v>394</v>
      </c>
      <c r="E5" s="354" t="s">
        <v>393</v>
      </c>
      <c r="F5" s="355" t="s">
        <v>255</v>
      </c>
      <c r="G5" s="368">
        <v>26</v>
      </c>
      <c r="H5" s="357">
        <f>ROUNDDOWN(단가조사!G5*옵션!$D$11, 0)*$P$2</f>
        <v>3488.5942</v>
      </c>
      <c r="I5" s="357"/>
      <c r="J5" s="357"/>
      <c r="K5" s="357"/>
      <c r="L5" s="357">
        <f t="shared" si="0"/>
        <v>3488.5942</v>
      </c>
      <c r="M5" s="368"/>
    </row>
    <row r="6" spans="1:16" ht="21.6" customHeight="1">
      <c r="B6" s="344" t="s">
        <v>3108</v>
      </c>
      <c r="C6" s="354" t="s">
        <v>1933</v>
      </c>
      <c r="D6" s="354" t="s">
        <v>394</v>
      </c>
      <c r="E6" s="354" t="s">
        <v>395</v>
      </c>
      <c r="F6" s="355" t="s">
        <v>255</v>
      </c>
      <c r="G6" s="368">
        <v>2</v>
      </c>
      <c r="H6" s="357">
        <f>ROUNDDOWN(단가조사!G6*옵션!$D$11, 0)*$P$2</f>
        <v>13237.1785</v>
      </c>
      <c r="I6" s="357"/>
      <c r="J6" s="357"/>
      <c r="K6" s="357"/>
      <c r="L6" s="357">
        <f t="shared" si="0"/>
        <v>13237.1785</v>
      </c>
      <c r="M6" s="368"/>
    </row>
    <row r="7" spans="1:16" ht="21.6" customHeight="1">
      <c r="B7" s="344" t="s">
        <v>3106</v>
      </c>
      <c r="C7" s="354" t="s">
        <v>1936</v>
      </c>
      <c r="D7" s="354" t="s">
        <v>394</v>
      </c>
      <c r="E7" s="354" t="s">
        <v>436</v>
      </c>
      <c r="F7" s="355" t="s">
        <v>255</v>
      </c>
      <c r="G7" s="368">
        <v>487</v>
      </c>
      <c r="H7" s="357">
        <f>ROUNDDOWN(단가조사!G7*옵션!$D$11, 0)*$P$2</f>
        <v>2106.43797</v>
      </c>
      <c r="I7" s="357"/>
      <c r="J7" s="357"/>
      <c r="K7" s="357"/>
      <c r="L7" s="357">
        <f t="shared" si="0"/>
        <v>2106.43797</v>
      </c>
      <c r="M7" s="368"/>
    </row>
    <row r="8" spans="1:16" ht="21.6" customHeight="1">
      <c r="B8" s="344" t="s">
        <v>3109</v>
      </c>
      <c r="C8" s="354" t="s">
        <v>1939</v>
      </c>
      <c r="D8" s="354" t="s">
        <v>344</v>
      </c>
      <c r="E8" s="354" t="s">
        <v>532</v>
      </c>
      <c r="F8" s="355" t="s">
        <v>255</v>
      </c>
      <c r="G8" s="368">
        <v>26</v>
      </c>
      <c r="H8" s="357">
        <f>ROUNDDOWN(단가조사!G8*옵션!$D$11, 0)*$P$2</f>
        <v>227.55551000000003</v>
      </c>
      <c r="I8" s="357"/>
      <c r="J8" s="357"/>
      <c r="K8" s="357"/>
      <c r="L8" s="357">
        <f t="shared" si="0"/>
        <v>227.55551000000003</v>
      </c>
      <c r="M8" s="368"/>
    </row>
    <row r="9" spans="1:16" ht="21.6" customHeight="1">
      <c r="B9" s="344" t="s">
        <v>3110</v>
      </c>
      <c r="C9" s="354" t="s">
        <v>1942</v>
      </c>
      <c r="D9" s="354" t="s">
        <v>344</v>
      </c>
      <c r="E9" s="354" t="s">
        <v>533</v>
      </c>
      <c r="F9" s="355" t="s">
        <v>255</v>
      </c>
      <c r="G9" s="368">
        <v>7</v>
      </c>
      <c r="H9" s="357">
        <f>ROUNDDOWN(단가조사!G9*옵션!$D$11, 0)*$P$2</f>
        <v>536.57058000000006</v>
      </c>
      <c r="I9" s="357"/>
      <c r="J9" s="357"/>
      <c r="K9" s="357"/>
      <c r="L9" s="357">
        <f t="shared" si="0"/>
        <v>536.57058000000006</v>
      </c>
      <c r="M9" s="368"/>
    </row>
    <row r="10" spans="1:16" ht="21.6" customHeight="1">
      <c r="B10" s="344" t="s">
        <v>3111</v>
      </c>
      <c r="C10" s="354" t="s">
        <v>1945</v>
      </c>
      <c r="D10" s="354" t="s">
        <v>344</v>
      </c>
      <c r="E10" s="354" t="s">
        <v>345</v>
      </c>
      <c r="F10" s="355" t="s">
        <v>255</v>
      </c>
      <c r="G10" s="368">
        <v>22</v>
      </c>
      <c r="H10" s="357">
        <f>ROUNDDOWN(단가조사!G10*옵션!$D$11, 0)*$P$2</f>
        <v>676.46852000000001</v>
      </c>
      <c r="I10" s="357"/>
      <c r="J10" s="357"/>
      <c r="K10" s="357"/>
      <c r="L10" s="357">
        <f t="shared" si="0"/>
        <v>676.46852000000001</v>
      </c>
      <c r="M10" s="368"/>
    </row>
    <row r="11" spans="1:16" ht="21.6" customHeight="1">
      <c r="B11" s="344" t="s">
        <v>3112</v>
      </c>
      <c r="C11" s="354" t="s">
        <v>1948</v>
      </c>
      <c r="D11" s="354" t="s">
        <v>344</v>
      </c>
      <c r="E11" s="354" t="s">
        <v>396</v>
      </c>
      <c r="F11" s="355" t="s">
        <v>255</v>
      </c>
      <c r="G11" s="368">
        <v>11</v>
      </c>
      <c r="H11" s="357">
        <f>ROUNDDOWN(단가조사!G11*옵션!$D$11, 0)*$P$2</f>
        <v>827.87705000000005</v>
      </c>
      <c r="I11" s="357"/>
      <c r="J11" s="357"/>
      <c r="K11" s="357"/>
      <c r="L11" s="357">
        <f t="shared" si="0"/>
        <v>827.87705000000005</v>
      </c>
      <c r="M11" s="368"/>
    </row>
    <row r="12" spans="1:16" ht="21.6" customHeight="1">
      <c r="B12" s="344" t="s">
        <v>3113</v>
      </c>
      <c r="C12" s="354" t="s">
        <v>1951</v>
      </c>
      <c r="D12" s="354" t="s">
        <v>344</v>
      </c>
      <c r="E12" s="354" t="s">
        <v>254</v>
      </c>
      <c r="F12" s="355" t="s">
        <v>255</v>
      </c>
      <c r="G12" s="368">
        <v>21</v>
      </c>
      <c r="H12" s="357">
        <f>ROUNDDOWN(단가조사!G12*옵션!$D$11, 0)*$P$2</f>
        <v>1658.41039</v>
      </c>
      <c r="I12" s="357"/>
      <c r="J12" s="357"/>
      <c r="K12" s="357"/>
      <c r="L12" s="357">
        <f t="shared" si="0"/>
        <v>1658.41039</v>
      </c>
      <c r="M12" s="368"/>
    </row>
    <row r="13" spans="1:16" ht="21.6" customHeight="1">
      <c r="B13" s="344" t="s">
        <v>3114</v>
      </c>
      <c r="C13" s="354" t="s">
        <v>1954</v>
      </c>
      <c r="D13" s="354" t="s">
        <v>344</v>
      </c>
      <c r="E13" s="354" t="s">
        <v>397</v>
      </c>
      <c r="F13" s="355" t="s">
        <v>255</v>
      </c>
      <c r="G13" s="368">
        <v>14</v>
      </c>
      <c r="H13" s="357">
        <f>ROUNDDOWN(단가조사!G13*옵션!$D$11, 0)*$P$2</f>
        <v>3273.43471</v>
      </c>
      <c r="I13" s="357"/>
      <c r="J13" s="357"/>
      <c r="K13" s="357"/>
      <c r="L13" s="357">
        <f t="shared" si="0"/>
        <v>3273.43471</v>
      </c>
      <c r="M13" s="368"/>
    </row>
    <row r="14" spans="1:16" ht="21.6" customHeight="1">
      <c r="B14" s="344" t="s">
        <v>3115</v>
      </c>
      <c r="C14" s="354" t="s">
        <v>1957</v>
      </c>
      <c r="D14" s="354" t="s">
        <v>437</v>
      </c>
      <c r="E14" s="354" t="s">
        <v>1958</v>
      </c>
      <c r="F14" s="355" t="s">
        <v>255</v>
      </c>
      <c r="G14" s="368">
        <v>729</v>
      </c>
      <c r="H14" s="357">
        <f>ROUNDDOWN(단가조사!G14*옵션!$D$11, 0)*$P$2</f>
        <v>217.81578000000002</v>
      </c>
      <c r="I14" s="357"/>
      <c r="J14" s="357"/>
      <c r="K14" s="357"/>
      <c r="L14" s="357">
        <f t="shared" si="0"/>
        <v>217.81578000000002</v>
      </c>
      <c r="M14" s="368"/>
    </row>
    <row r="15" spans="1:16" ht="21.6" customHeight="1">
      <c r="B15" s="344" t="s">
        <v>3116</v>
      </c>
      <c r="C15" s="354" t="s">
        <v>1963</v>
      </c>
      <c r="D15" s="354" t="s">
        <v>437</v>
      </c>
      <c r="E15" s="354" t="s">
        <v>1964</v>
      </c>
      <c r="F15" s="355" t="s">
        <v>255</v>
      </c>
      <c r="G15" s="368">
        <v>20</v>
      </c>
      <c r="H15" s="357">
        <f>ROUNDDOWN(단가조사!G15*옵션!$D$11, 0)*$P$2</f>
        <v>270.05615</v>
      </c>
      <c r="I15" s="357"/>
      <c r="J15" s="357"/>
      <c r="K15" s="357"/>
      <c r="L15" s="357">
        <f t="shared" si="0"/>
        <v>270.05615</v>
      </c>
      <c r="M15" s="368"/>
    </row>
    <row r="16" spans="1:16" ht="21.6" customHeight="1">
      <c r="B16" s="344" t="s">
        <v>3117</v>
      </c>
      <c r="C16" s="354" t="s">
        <v>1967</v>
      </c>
      <c r="D16" s="354" t="s">
        <v>256</v>
      </c>
      <c r="E16" s="354" t="s">
        <v>346</v>
      </c>
      <c r="F16" s="355" t="s">
        <v>255</v>
      </c>
      <c r="G16" s="368">
        <v>409</v>
      </c>
      <c r="H16" s="357">
        <f>ROUNDDOWN(단가조사!G16*옵션!$D$11, 0)*$P$2</f>
        <v>270.05615</v>
      </c>
      <c r="I16" s="357"/>
      <c r="J16" s="357"/>
      <c r="K16" s="357"/>
      <c r="L16" s="357">
        <f t="shared" si="0"/>
        <v>270.05615</v>
      </c>
      <c r="M16" s="368"/>
    </row>
    <row r="17" spans="2:13" ht="21.6" customHeight="1">
      <c r="B17" s="344" t="s">
        <v>3118</v>
      </c>
      <c r="C17" s="354" t="s">
        <v>1972</v>
      </c>
      <c r="D17" s="354" t="s">
        <v>256</v>
      </c>
      <c r="E17" s="354" t="s">
        <v>347</v>
      </c>
      <c r="F17" s="355" t="s">
        <v>255</v>
      </c>
      <c r="G17" s="368">
        <v>125</v>
      </c>
      <c r="H17" s="357">
        <f>ROUNDDOWN(단가조사!G17*옵션!$D$11, 0)*$P$2</f>
        <v>2036.489</v>
      </c>
      <c r="I17" s="357"/>
      <c r="J17" s="357"/>
      <c r="K17" s="357"/>
      <c r="L17" s="357">
        <f t="shared" si="0"/>
        <v>2036.489</v>
      </c>
      <c r="M17" s="368"/>
    </row>
    <row r="18" spans="2:13" ht="21.6" customHeight="1">
      <c r="B18" s="344" t="s">
        <v>3119</v>
      </c>
      <c r="C18" s="354" t="s">
        <v>1975</v>
      </c>
      <c r="D18" s="354" t="s">
        <v>446</v>
      </c>
      <c r="E18" s="354" t="s">
        <v>447</v>
      </c>
      <c r="F18" s="355" t="s">
        <v>255</v>
      </c>
      <c r="G18" s="368">
        <v>33</v>
      </c>
      <c r="H18" s="357">
        <f>ROUNDDOWN(단가조사!G18*옵션!$D$11, 0)*$P$2</f>
        <v>318.75480000000005</v>
      </c>
      <c r="I18" s="357"/>
      <c r="J18" s="357"/>
      <c r="K18" s="357"/>
      <c r="L18" s="357">
        <f t="shared" si="0"/>
        <v>318.75480000000005</v>
      </c>
      <c r="M18" s="368"/>
    </row>
    <row r="19" spans="2:13" ht="21.6" customHeight="1">
      <c r="B19" s="344" t="s">
        <v>3120</v>
      </c>
      <c r="C19" s="354" t="s">
        <v>1978</v>
      </c>
      <c r="D19" s="354" t="s">
        <v>446</v>
      </c>
      <c r="E19" s="354" t="s">
        <v>523</v>
      </c>
      <c r="F19" s="355" t="s">
        <v>255</v>
      </c>
      <c r="G19" s="368">
        <v>3</v>
      </c>
      <c r="H19" s="357">
        <f>ROUNDDOWN(단가조사!G19*옵션!$D$11, 0)*$P$2</f>
        <v>714.54201</v>
      </c>
      <c r="I19" s="357"/>
      <c r="J19" s="357"/>
      <c r="K19" s="357"/>
      <c r="L19" s="357">
        <f t="shared" si="0"/>
        <v>714.54201</v>
      </c>
      <c r="M19" s="368"/>
    </row>
    <row r="20" spans="2:13" ht="21.6" customHeight="1">
      <c r="B20" s="344" t="s">
        <v>3121</v>
      </c>
      <c r="C20" s="354" t="s">
        <v>1981</v>
      </c>
      <c r="D20" s="354" t="s">
        <v>446</v>
      </c>
      <c r="E20" s="354" t="s">
        <v>524</v>
      </c>
      <c r="F20" s="355" t="s">
        <v>255</v>
      </c>
      <c r="G20" s="368">
        <v>24</v>
      </c>
      <c r="H20" s="357">
        <f>ROUNDDOWN(단가조사!G20*옵션!$D$11, 0)*$P$2</f>
        <v>1221.8934000000002</v>
      </c>
      <c r="I20" s="357"/>
      <c r="J20" s="357"/>
      <c r="K20" s="357"/>
      <c r="L20" s="357">
        <f t="shared" si="0"/>
        <v>1221.8934000000002</v>
      </c>
      <c r="M20" s="368"/>
    </row>
    <row r="21" spans="2:13" ht="21.6" customHeight="1">
      <c r="B21" s="344" t="s">
        <v>3122</v>
      </c>
      <c r="C21" s="354" t="s">
        <v>1984</v>
      </c>
      <c r="D21" s="354" t="s">
        <v>446</v>
      </c>
      <c r="E21" s="354" t="s">
        <v>525</v>
      </c>
      <c r="F21" s="355" t="s">
        <v>265</v>
      </c>
      <c r="G21" s="368">
        <v>4</v>
      </c>
      <c r="H21" s="357">
        <f>ROUNDDOWN(단가조사!G21*옵션!$D$11, 0)*$P$2</f>
        <v>708.34400000000005</v>
      </c>
      <c r="I21" s="357"/>
      <c r="J21" s="357"/>
      <c r="K21" s="357"/>
      <c r="L21" s="357">
        <f t="shared" si="0"/>
        <v>708.34400000000005</v>
      </c>
      <c r="M21" s="368"/>
    </row>
    <row r="22" spans="2:13" ht="21.6" customHeight="1">
      <c r="B22" s="344" t="s">
        <v>3123</v>
      </c>
      <c r="C22" s="354" t="s">
        <v>1987</v>
      </c>
      <c r="D22" s="354" t="s">
        <v>446</v>
      </c>
      <c r="E22" s="354" t="s">
        <v>526</v>
      </c>
      <c r="F22" s="355" t="s">
        <v>265</v>
      </c>
      <c r="G22" s="368">
        <v>24</v>
      </c>
      <c r="H22" s="357">
        <f>ROUNDDOWN(단가조사!G22*옵션!$D$11, 0)*$P$2</f>
        <v>1239.6020000000001</v>
      </c>
      <c r="I22" s="357"/>
      <c r="J22" s="357"/>
      <c r="K22" s="357"/>
      <c r="L22" s="357">
        <f t="shared" si="0"/>
        <v>1239.6020000000001</v>
      </c>
      <c r="M22" s="368"/>
    </row>
    <row r="23" spans="2:13" ht="21.6" customHeight="1">
      <c r="B23" s="344" t="s">
        <v>3124</v>
      </c>
      <c r="C23" s="354" t="s">
        <v>1990</v>
      </c>
      <c r="D23" s="354" t="s">
        <v>260</v>
      </c>
      <c r="E23" s="354" t="s">
        <v>348</v>
      </c>
      <c r="F23" s="355" t="s">
        <v>262</v>
      </c>
      <c r="G23" s="368">
        <v>8</v>
      </c>
      <c r="H23" s="357">
        <f>ROUNDDOWN(단가조사!G23*옵션!$D$11, 0)*$P$2</f>
        <v>9429.8294999999998</v>
      </c>
      <c r="I23" s="357"/>
      <c r="J23" s="357"/>
      <c r="K23" s="357"/>
      <c r="L23" s="357">
        <f t="shared" si="0"/>
        <v>9429.8294999999998</v>
      </c>
      <c r="M23" s="368"/>
    </row>
    <row r="24" spans="2:13" ht="21.6" customHeight="1">
      <c r="B24" s="344" t="s">
        <v>3125</v>
      </c>
      <c r="C24" s="354" t="s">
        <v>1995</v>
      </c>
      <c r="D24" s="354" t="s">
        <v>260</v>
      </c>
      <c r="E24" s="354" t="s">
        <v>261</v>
      </c>
      <c r="F24" s="355" t="s">
        <v>262</v>
      </c>
      <c r="G24" s="368">
        <v>5</v>
      </c>
      <c r="H24" s="357">
        <f>ROUNDDOWN(단가조사!G24*옵션!$D$11, 0)*$P$2</f>
        <v>14875.224</v>
      </c>
      <c r="I24" s="357"/>
      <c r="J24" s="357"/>
      <c r="K24" s="357"/>
      <c r="L24" s="357">
        <f t="shared" si="0"/>
        <v>14875.224</v>
      </c>
      <c r="M24" s="368"/>
    </row>
    <row r="25" spans="2:13" ht="21.6" customHeight="1">
      <c r="B25" s="344" t="s">
        <v>3126</v>
      </c>
      <c r="C25" s="354" t="s">
        <v>1998</v>
      </c>
      <c r="D25" s="354" t="s">
        <v>260</v>
      </c>
      <c r="E25" s="354" t="s">
        <v>398</v>
      </c>
      <c r="F25" s="355" t="s">
        <v>262</v>
      </c>
      <c r="G25" s="368">
        <v>1</v>
      </c>
      <c r="H25" s="357">
        <f>ROUNDDOWN(단가조사!G25*옵션!$D$11, 0)*$P$2</f>
        <v>17265.885000000002</v>
      </c>
      <c r="I25" s="357"/>
      <c r="J25" s="357"/>
      <c r="K25" s="357"/>
      <c r="L25" s="357">
        <f t="shared" si="0"/>
        <v>17265.885000000002</v>
      </c>
      <c r="M25" s="368"/>
    </row>
    <row r="26" spans="2:13" ht="21.6" customHeight="1">
      <c r="B26" s="344" t="s">
        <v>3127</v>
      </c>
      <c r="C26" s="354" t="s">
        <v>2001</v>
      </c>
      <c r="D26" s="354" t="s">
        <v>260</v>
      </c>
      <c r="E26" s="354" t="s">
        <v>349</v>
      </c>
      <c r="F26" s="355" t="s">
        <v>262</v>
      </c>
      <c r="G26" s="368">
        <v>1</v>
      </c>
      <c r="H26" s="357">
        <f>ROUNDDOWN(단가조사!G26*옵션!$D$11, 0)*$P$2</f>
        <v>27094.158000000003</v>
      </c>
      <c r="I26" s="357"/>
      <c r="J26" s="357"/>
      <c r="K26" s="357"/>
      <c r="L26" s="357">
        <f t="shared" si="0"/>
        <v>27094.158000000003</v>
      </c>
      <c r="M26" s="368"/>
    </row>
    <row r="27" spans="2:13" ht="21.6" customHeight="1">
      <c r="B27" s="344" t="s">
        <v>3128</v>
      </c>
      <c r="C27" s="354" t="s">
        <v>2006</v>
      </c>
      <c r="D27" s="354" t="s">
        <v>399</v>
      </c>
      <c r="E27" s="354" t="s">
        <v>400</v>
      </c>
      <c r="F27" s="355" t="s">
        <v>265</v>
      </c>
      <c r="G27" s="368">
        <v>3</v>
      </c>
      <c r="H27" s="357">
        <f>ROUNDDOWN(단가조사!G27*옵션!$D$11, 0)*$P$2</f>
        <v>3629.3775700000001</v>
      </c>
      <c r="I27" s="357"/>
      <c r="J27" s="357"/>
      <c r="K27" s="357"/>
      <c r="L27" s="357">
        <f t="shared" si="0"/>
        <v>3629.3775700000001</v>
      </c>
      <c r="M27" s="368"/>
    </row>
    <row r="28" spans="2:13" ht="21.6" customHeight="1">
      <c r="B28" s="344" t="s">
        <v>3129</v>
      </c>
      <c r="C28" s="354" t="s">
        <v>2009</v>
      </c>
      <c r="D28" s="354" t="s">
        <v>263</v>
      </c>
      <c r="E28" s="354" t="s">
        <v>536</v>
      </c>
      <c r="F28" s="355" t="s">
        <v>265</v>
      </c>
      <c r="G28" s="368">
        <v>1</v>
      </c>
      <c r="H28" s="357">
        <f>ROUNDDOWN(단가조사!G28*옵션!$D$11, 0)*$P$2</f>
        <v>687.97910999999999</v>
      </c>
      <c r="I28" s="357"/>
      <c r="J28" s="357"/>
      <c r="K28" s="357"/>
      <c r="L28" s="357">
        <f t="shared" si="0"/>
        <v>687.97910999999999</v>
      </c>
      <c r="M28" s="368"/>
    </row>
    <row r="29" spans="2:13" ht="21.6" customHeight="1">
      <c r="B29" s="344" t="s">
        <v>3130</v>
      </c>
      <c r="C29" s="354" t="s">
        <v>2012</v>
      </c>
      <c r="D29" s="354" t="s">
        <v>263</v>
      </c>
      <c r="E29" s="354" t="s">
        <v>350</v>
      </c>
      <c r="F29" s="355" t="s">
        <v>265</v>
      </c>
      <c r="G29" s="368">
        <v>2</v>
      </c>
      <c r="H29" s="357">
        <f>ROUNDDOWN(단가조사!G29*옵션!$D$11, 0)*$P$2</f>
        <v>808.39759000000004</v>
      </c>
      <c r="I29" s="357"/>
      <c r="J29" s="357"/>
      <c r="K29" s="357"/>
      <c r="L29" s="357">
        <f t="shared" si="0"/>
        <v>808.39759000000004</v>
      </c>
      <c r="M29" s="368"/>
    </row>
    <row r="30" spans="2:13" ht="21.6" customHeight="1">
      <c r="B30" s="344" t="s">
        <v>3131</v>
      </c>
      <c r="C30" s="354" t="s">
        <v>2015</v>
      </c>
      <c r="D30" s="354" t="s">
        <v>263</v>
      </c>
      <c r="E30" s="354" t="s">
        <v>264</v>
      </c>
      <c r="F30" s="355" t="s">
        <v>265</v>
      </c>
      <c r="G30" s="368">
        <v>3</v>
      </c>
      <c r="H30" s="357">
        <f>ROUNDDOWN(단가조사!G30*옵션!$D$11, 0)*$P$2</f>
        <v>3124.6824700000002</v>
      </c>
      <c r="I30" s="357"/>
      <c r="J30" s="357"/>
      <c r="K30" s="357"/>
      <c r="L30" s="357">
        <f t="shared" si="0"/>
        <v>3124.6824700000002</v>
      </c>
      <c r="M30" s="368"/>
    </row>
    <row r="31" spans="2:13" ht="21.6" customHeight="1">
      <c r="B31" s="344" t="s">
        <v>3132</v>
      </c>
      <c r="C31" s="354" t="s">
        <v>2018</v>
      </c>
      <c r="D31" s="354" t="s">
        <v>263</v>
      </c>
      <c r="E31" s="354" t="s">
        <v>401</v>
      </c>
      <c r="F31" s="355" t="s">
        <v>265</v>
      </c>
      <c r="G31" s="368">
        <v>3</v>
      </c>
      <c r="H31" s="357">
        <f>ROUNDDOWN(단가조사!G31*옵션!$D$11, 0)*$P$2</f>
        <v>6640.7250000000004</v>
      </c>
      <c r="I31" s="357"/>
      <c r="J31" s="357"/>
      <c r="K31" s="357"/>
      <c r="L31" s="357">
        <f t="shared" si="0"/>
        <v>6640.7250000000004</v>
      </c>
      <c r="M31" s="368"/>
    </row>
    <row r="32" spans="2:13" ht="21.6" customHeight="1">
      <c r="B32" s="344" t="s">
        <v>3133</v>
      </c>
      <c r="C32" s="354" t="s">
        <v>2021</v>
      </c>
      <c r="D32" s="354" t="s">
        <v>448</v>
      </c>
      <c r="E32" s="354" t="s">
        <v>449</v>
      </c>
      <c r="F32" s="355" t="s">
        <v>265</v>
      </c>
      <c r="G32" s="368">
        <v>45</v>
      </c>
      <c r="H32" s="357">
        <f>ROUNDDOWN(단가조사!G32*옵션!$D$11, 0)*$P$2</f>
        <v>494.06994000000003</v>
      </c>
      <c r="I32" s="357"/>
      <c r="J32" s="357"/>
      <c r="K32" s="357"/>
      <c r="L32" s="357">
        <f t="shared" si="0"/>
        <v>494.06994000000003</v>
      </c>
      <c r="M32" s="368"/>
    </row>
    <row r="33" spans="2:13" ht="21.6" customHeight="1">
      <c r="B33" s="344" t="s">
        <v>3134</v>
      </c>
      <c r="C33" s="354" t="s">
        <v>2024</v>
      </c>
      <c r="D33" s="354" t="s">
        <v>448</v>
      </c>
      <c r="E33" s="354" t="s">
        <v>450</v>
      </c>
      <c r="F33" s="355" t="s">
        <v>265</v>
      </c>
      <c r="G33" s="368">
        <v>13</v>
      </c>
      <c r="H33" s="357">
        <f>ROUNDDOWN(단가조사!G33*옵션!$D$11, 0)*$P$2</f>
        <v>718.08373000000006</v>
      </c>
      <c r="I33" s="357"/>
      <c r="J33" s="357"/>
      <c r="K33" s="357"/>
      <c r="L33" s="357">
        <f t="shared" si="0"/>
        <v>718.08373000000006</v>
      </c>
      <c r="M33" s="368"/>
    </row>
    <row r="34" spans="2:13" ht="21.6" customHeight="1">
      <c r="B34" s="344" t="s">
        <v>3135</v>
      </c>
      <c r="C34" s="354" t="s">
        <v>2027</v>
      </c>
      <c r="D34" s="354" t="s">
        <v>451</v>
      </c>
      <c r="E34" s="354" t="s">
        <v>452</v>
      </c>
      <c r="F34" s="355" t="s">
        <v>265</v>
      </c>
      <c r="G34" s="368">
        <v>28</v>
      </c>
      <c r="H34" s="357">
        <f>ROUNDDOWN(단가조사!G34*옵션!$D$11, 0)*$P$2</f>
        <v>516.20569</v>
      </c>
      <c r="I34" s="357"/>
      <c r="J34" s="357"/>
      <c r="K34" s="357"/>
      <c r="L34" s="357">
        <f t="shared" si="0"/>
        <v>516.20569</v>
      </c>
      <c r="M34" s="368"/>
    </row>
    <row r="35" spans="2:13" ht="21.6" customHeight="1">
      <c r="B35" s="344" t="s">
        <v>3136</v>
      </c>
      <c r="C35" s="354" t="s">
        <v>2030</v>
      </c>
      <c r="D35" s="354" t="s">
        <v>451</v>
      </c>
      <c r="E35" s="354" t="s">
        <v>453</v>
      </c>
      <c r="F35" s="355" t="s">
        <v>265</v>
      </c>
      <c r="G35" s="368">
        <v>43</v>
      </c>
      <c r="H35" s="357">
        <f>ROUNDDOWN(단가조사!G35*옵션!$D$11, 0)*$P$2</f>
        <v>535.68515000000002</v>
      </c>
      <c r="I35" s="357"/>
      <c r="J35" s="357"/>
      <c r="K35" s="357"/>
      <c r="L35" s="357">
        <f t="shared" si="0"/>
        <v>535.68515000000002</v>
      </c>
      <c r="M35" s="368"/>
    </row>
    <row r="36" spans="2:13" ht="21.6" customHeight="1">
      <c r="B36" s="344" t="s">
        <v>3137</v>
      </c>
      <c r="C36" s="354" t="s">
        <v>2033</v>
      </c>
      <c r="D36" s="354" t="s">
        <v>454</v>
      </c>
      <c r="E36" s="354" t="s">
        <v>455</v>
      </c>
      <c r="F36" s="355" t="s">
        <v>265</v>
      </c>
      <c r="G36" s="368">
        <v>45</v>
      </c>
      <c r="H36" s="357">
        <f>ROUNDDOWN(단가조사!G36*옵션!$D$11, 0)*$P$2</f>
        <v>249.69126000000003</v>
      </c>
      <c r="I36" s="357"/>
      <c r="J36" s="357"/>
      <c r="K36" s="357"/>
      <c r="L36" s="357">
        <f t="shared" si="0"/>
        <v>249.69126000000003</v>
      </c>
      <c r="M36" s="368"/>
    </row>
    <row r="37" spans="2:13" ht="21.6" customHeight="1">
      <c r="B37" s="344" t="s">
        <v>3138</v>
      </c>
      <c r="C37" s="354" t="s">
        <v>2036</v>
      </c>
      <c r="D37" s="354" t="s">
        <v>454</v>
      </c>
      <c r="E37" s="354" t="s">
        <v>456</v>
      </c>
      <c r="F37" s="355" t="s">
        <v>265</v>
      </c>
      <c r="G37" s="368">
        <v>13</v>
      </c>
      <c r="H37" s="357">
        <f>ROUNDDOWN(단가조사!G37*옵션!$D$11, 0)*$P$2</f>
        <v>253.23298000000003</v>
      </c>
      <c r="I37" s="357"/>
      <c r="J37" s="357"/>
      <c r="K37" s="357"/>
      <c r="L37" s="357">
        <f t="shared" si="0"/>
        <v>253.23298000000003</v>
      </c>
      <c r="M37" s="368"/>
    </row>
    <row r="38" spans="2:13" ht="21.6" customHeight="1">
      <c r="B38" s="344" t="s">
        <v>3139</v>
      </c>
      <c r="C38" s="354" t="s">
        <v>2039</v>
      </c>
      <c r="D38" s="354" t="s">
        <v>454</v>
      </c>
      <c r="E38" s="354" t="s">
        <v>457</v>
      </c>
      <c r="F38" s="355" t="s">
        <v>265</v>
      </c>
      <c r="G38" s="368">
        <v>43</v>
      </c>
      <c r="H38" s="357">
        <f>ROUNDDOWN(단가조사!G38*옵션!$D$11, 0)*$P$2</f>
        <v>250.57669000000001</v>
      </c>
      <c r="I38" s="357"/>
      <c r="J38" s="357"/>
      <c r="K38" s="357"/>
      <c r="L38" s="357">
        <f t="shared" si="0"/>
        <v>250.57669000000001</v>
      </c>
      <c r="M38" s="368"/>
    </row>
    <row r="39" spans="2:13" ht="21.6" customHeight="1">
      <c r="B39" s="344" t="s">
        <v>3140</v>
      </c>
      <c r="C39" s="354" t="s">
        <v>2042</v>
      </c>
      <c r="D39" s="354" t="s">
        <v>439</v>
      </c>
      <c r="E39" s="354" t="s">
        <v>440</v>
      </c>
      <c r="F39" s="355" t="s">
        <v>291</v>
      </c>
      <c r="G39" s="368">
        <v>43</v>
      </c>
      <c r="H39" s="357">
        <f>ROUNDDOWN(단가조사!G39*옵션!$D$11, 0)*$P$2</f>
        <v>1820.4440800000002</v>
      </c>
      <c r="I39" s="357"/>
      <c r="J39" s="357"/>
      <c r="K39" s="357"/>
      <c r="L39" s="357">
        <f t="shared" si="0"/>
        <v>1820.4440800000002</v>
      </c>
      <c r="M39" s="368"/>
    </row>
    <row r="40" spans="2:13" ht="21.6" customHeight="1">
      <c r="B40" s="344" t="s">
        <v>3141</v>
      </c>
      <c r="C40" s="354" t="s">
        <v>2045</v>
      </c>
      <c r="D40" s="354" t="s">
        <v>266</v>
      </c>
      <c r="E40" s="354" t="s">
        <v>351</v>
      </c>
      <c r="F40" s="355" t="s">
        <v>265</v>
      </c>
      <c r="G40" s="368">
        <v>13</v>
      </c>
      <c r="H40" s="357">
        <f>ROUNDDOWN(단가조사!G40*옵션!$D$11, 0)*$P$2</f>
        <v>2442.0159400000002</v>
      </c>
      <c r="I40" s="357"/>
      <c r="J40" s="357"/>
      <c r="K40" s="357"/>
      <c r="L40" s="357">
        <f t="shared" si="0"/>
        <v>2442.0159400000002</v>
      </c>
      <c r="M40" s="368"/>
    </row>
    <row r="41" spans="2:13" ht="21.6" customHeight="1">
      <c r="B41" s="344" t="s">
        <v>3142</v>
      </c>
      <c r="C41" s="354" t="s">
        <v>2048</v>
      </c>
      <c r="D41" s="354" t="s">
        <v>266</v>
      </c>
      <c r="E41" s="354" t="s">
        <v>402</v>
      </c>
      <c r="F41" s="355" t="s">
        <v>265</v>
      </c>
      <c r="G41" s="368">
        <v>2</v>
      </c>
      <c r="H41" s="357">
        <f>ROUNDDOWN(단가조사!G41*옵션!$D$11, 0)*$P$2</f>
        <v>6148.4259200000006</v>
      </c>
      <c r="I41" s="357"/>
      <c r="J41" s="357"/>
      <c r="K41" s="357"/>
      <c r="L41" s="357">
        <f t="shared" si="0"/>
        <v>6148.4259200000006</v>
      </c>
      <c r="M41" s="368"/>
    </row>
    <row r="42" spans="2:13" ht="21.6" customHeight="1">
      <c r="B42" s="344" t="s">
        <v>3143</v>
      </c>
      <c r="C42" s="354" t="s">
        <v>2051</v>
      </c>
      <c r="D42" s="354" t="s">
        <v>266</v>
      </c>
      <c r="E42" s="354" t="s">
        <v>403</v>
      </c>
      <c r="F42" s="355" t="s">
        <v>265</v>
      </c>
      <c r="G42" s="368">
        <v>2</v>
      </c>
      <c r="H42" s="357">
        <f>ROUNDDOWN(단가조사!G42*옵션!$D$11, 0)*$P$2</f>
        <v>8338.0943100000004</v>
      </c>
      <c r="I42" s="357"/>
      <c r="J42" s="357"/>
      <c r="K42" s="357"/>
      <c r="L42" s="357">
        <f t="shared" si="0"/>
        <v>8338.0943100000004</v>
      </c>
      <c r="M42" s="368"/>
    </row>
    <row r="43" spans="2:13" ht="21.6" customHeight="1">
      <c r="B43" s="344" t="s">
        <v>3144</v>
      </c>
      <c r="C43" s="354" t="s">
        <v>2054</v>
      </c>
      <c r="D43" s="354" t="s">
        <v>266</v>
      </c>
      <c r="E43" s="354" t="s">
        <v>267</v>
      </c>
      <c r="F43" s="355" t="s">
        <v>265</v>
      </c>
      <c r="G43" s="368">
        <v>2</v>
      </c>
      <c r="H43" s="357">
        <f>ROUNDDOWN(단가조사!G43*옵션!$D$11, 0)*$P$2</f>
        <v>19341.332920000001</v>
      </c>
      <c r="I43" s="357"/>
      <c r="J43" s="357"/>
      <c r="K43" s="357"/>
      <c r="L43" s="357">
        <f t="shared" si="0"/>
        <v>19341.332920000001</v>
      </c>
      <c r="M43" s="368"/>
    </row>
    <row r="44" spans="2:13" ht="21.6" customHeight="1">
      <c r="B44" s="344" t="s">
        <v>3145</v>
      </c>
      <c r="C44" s="354" t="s">
        <v>1836</v>
      </c>
      <c r="D44" s="354" t="s">
        <v>399</v>
      </c>
      <c r="E44" s="354" t="s">
        <v>1837</v>
      </c>
      <c r="F44" s="355" t="s">
        <v>265</v>
      </c>
      <c r="G44" s="368">
        <v>100</v>
      </c>
      <c r="H44" s="357">
        <f>ROUNDDOWN(단가조사!G44*옵션!$D$11, 0)*$P$2</f>
        <v>301.0462</v>
      </c>
      <c r="I44" s="357"/>
      <c r="J44" s="357"/>
      <c r="K44" s="357"/>
      <c r="L44" s="357">
        <f t="shared" si="0"/>
        <v>301.0462</v>
      </c>
      <c r="M44" s="368"/>
    </row>
    <row r="45" spans="2:13" ht="21.6" customHeight="1">
      <c r="B45" s="344" t="s">
        <v>3146</v>
      </c>
      <c r="C45" s="354" t="s">
        <v>1858</v>
      </c>
      <c r="D45" s="354" t="s">
        <v>399</v>
      </c>
      <c r="E45" s="354" t="s">
        <v>1859</v>
      </c>
      <c r="F45" s="355" t="s">
        <v>265</v>
      </c>
      <c r="G45" s="368">
        <v>17</v>
      </c>
      <c r="H45" s="357">
        <f>ROUNDDOWN(단가조사!G45*옵션!$D$11, 0)*$P$2</f>
        <v>334.69254000000001</v>
      </c>
      <c r="I45" s="357"/>
      <c r="J45" s="357"/>
      <c r="K45" s="357"/>
      <c r="L45" s="357">
        <f t="shared" si="0"/>
        <v>334.69254000000001</v>
      </c>
      <c r="M45" s="368"/>
    </row>
    <row r="46" spans="2:13" ht="21.6" customHeight="1">
      <c r="B46" s="344" t="s">
        <v>3147</v>
      </c>
      <c r="C46" s="354" t="s">
        <v>1862</v>
      </c>
      <c r="D46" s="354" t="s">
        <v>399</v>
      </c>
      <c r="E46" s="354" t="s">
        <v>1863</v>
      </c>
      <c r="F46" s="355" t="s">
        <v>265</v>
      </c>
      <c r="G46" s="368">
        <v>1</v>
      </c>
      <c r="H46" s="357">
        <f>ROUNDDOWN(단가조사!G46*옵션!$D$11, 0)*$P$2</f>
        <v>1120.9543800000001</v>
      </c>
      <c r="I46" s="357"/>
      <c r="J46" s="357"/>
      <c r="K46" s="357"/>
      <c r="L46" s="357">
        <f t="shared" si="0"/>
        <v>1120.9543800000001</v>
      </c>
      <c r="M46" s="368"/>
    </row>
    <row r="47" spans="2:13" ht="21.6" customHeight="1">
      <c r="B47" s="344" t="s">
        <v>3148</v>
      </c>
      <c r="C47" s="354" t="s">
        <v>1841</v>
      </c>
      <c r="D47" s="354" t="s">
        <v>1842</v>
      </c>
      <c r="E47" s="354" t="s">
        <v>1843</v>
      </c>
      <c r="F47" s="355" t="s">
        <v>265</v>
      </c>
      <c r="G47" s="368">
        <v>118</v>
      </c>
      <c r="H47" s="357">
        <f>ROUNDDOWN(단가조사!G47*옵션!$D$11, 0)*$P$2</f>
        <v>88.543000000000006</v>
      </c>
      <c r="I47" s="357"/>
      <c r="J47" s="357"/>
      <c r="K47" s="357"/>
      <c r="L47" s="357">
        <f t="shared" si="0"/>
        <v>88.543000000000006</v>
      </c>
      <c r="M47" s="368"/>
    </row>
    <row r="48" spans="2:13" ht="21.6" customHeight="1">
      <c r="B48" s="344" t="s">
        <v>3149</v>
      </c>
      <c r="C48" s="354" t="s">
        <v>1838</v>
      </c>
      <c r="D48" s="354" t="s">
        <v>1839</v>
      </c>
      <c r="E48" s="354" t="s">
        <v>1840</v>
      </c>
      <c r="F48" s="355" t="s">
        <v>265</v>
      </c>
      <c r="G48" s="368">
        <v>118</v>
      </c>
      <c r="H48" s="357">
        <f>ROUNDDOWN(단가조사!G48*옵션!$D$11, 0)*$P$2</f>
        <v>900.4823100000001</v>
      </c>
      <c r="I48" s="357"/>
      <c r="J48" s="357"/>
      <c r="K48" s="357"/>
      <c r="L48" s="357">
        <f t="shared" si="0"/>
        <v>900.4823100000001</v>
      </c>
      <c r="M48" s="368"/>
    </row>
    <row r="49" spans="2:13" ht="21.6" customHeight="1">
      <c r="B49" s="344" t="s">
        <v>3150</v>
      </c>
      <c r="C49" s="354" t="s">
        <v>2057</v>
      </c>
      <c r="D49" s="354" t="s">
        <v>441</v>
      </c>
      <c r="E49" s="354" t="s">
        <v>458</v>
      </c>
      <c r="F49" s="355" t="s">
        <v>255</v>
      </c>
      <c r="G49" s="368">
        <v>1943</v>
      </c>
      <c r="H49" s="357">
        <f>ROUNDDOWN(단가조사!G49*옵션!$D$11, 0)*$P$2</f>
        <v>401.98522000000003</v>
      </c>
      <c r="I49" s="357"/>
      <c r="J49" s="357"/>
      <c r="K49" s="357"/>
      <c r="L49" s="357">
        <f t="shared" si="0"/>
        <v>401.98522000000003</v>
      </c>
      <c r="M49" s="368"/>
    </row>
    <row r="50" spans="2:13" ht="21.6" customHeight="1">
      <c r="B50" s="344" t="s">
        <v>3151</v>
      </c>
      <c r="C50" s="354" t="s">
        <v>2060</v>
      </c>
      <c r="D50" s="354" t="s">
        <v>441</v>
      </c>
      <c r="E50" s="354" t="s">
        <v>442</v>
      </c>
      <c r="F50" s="355" t="s">
        <v>255</v>
      </c>
      <c r="G50" s="368">
        <v>2617</v>
      </c>
      <c r="H50" s="357">
        <f>ROUNDDOWN(단가조사!G50*옵션!$D$11, 0)*$P$2</f>
        <v>618.91557</v>
      </c>
      <c r="I50" s="357"/>
      <c r="J50" s="357"/>
      <c r="K50" s="357"/>
      <c r="L50" s="357">
        <f t="shared" si="0"/>
        <v>618.91557</v>
      </c>
      <c r="M50" s="368"/>
    </row>
    <row r="51" spans="2:13" ht="21.6" customHeight="1">
      <c r="B51" s="344" t="s">
        <v>3152</v>
      </c>
      <c r="C51" s="354" t="s">
        <v>2063</v>
      </c>
      <c r="D51" s="354" t="s">
        <v>268</v>
      </c>
      <c r="E51" s="354" t="s">
        <v>404</v>
      </c>
      <c r="F51" s="355" t="s">
        <v>255</v>
      </c>
      <c r="G51" s="368">
        <v>432</v>
      </c>
      <c r="H51" s="357">
        <f>ROUNDDOWN(단가조사!G51*옵션!$D$11, 0)*$P$2</f>
        <v>696.83341000000007</v>
      </c>
      <c r="I51" s="357"/>
      <c r="J51" s="357"/>
      <c r="K51" s="357"/>
      <c r="L51" s="357">
        <f t="shared" si="0"/>
        <v>696.83341000000007</v>
      </c>
      <c r="M51" s="368"/>
    </row>
    <row r="52" spans="2:13" ht="21.6" customHeight="1">
      <c r="B52" s="344" t="s">
        <v>3153</v>
      </c>
      <c r="C52" s="354" t="s">
        <v>1873</v>
      </c>
      <c r="D52" s="354" t="s">
        <v>268</v>
      </c>
      <c r="E52" s="354" t="s">
        <v>1874</v>
      </c>
      <c r="F52" s="355" t="s">
        <v>255</v>
      </c>
      <c r="G52" s="368">
        <v>10</v>
      </c>
      <c r="H52" s="357">
        <f>ROUNDDOWN(단가조사!G52*옵션!$D$11, 0)*$P$2</f>
        <v>4699.8624399999999</v>
      </c>
      <c r="I52" s="357"/>
      <c r="J52" s="357"/>
      <c r="K52" s="357"/>
      <c r="L52" s="357">
        <f t="shared" si="0"/>
        <v>4699.8624399999999</v>
      </c>
      <c r="M52" s="368"/>
    </row>
    <row r="53" spans="2:13" ht="21.6" customHeight="1">
      <c r="B53" s="344" t="s">
        <v>3154</v>
      </c>
      <c r="C53" s="354" t="s">
        <v>2066</v>
      </c>
      <c r="D53" s="354" t="s">
        <v>268</v>
      </c>
      <c r="E53" s="354" t="s">
        <v>405</v>
      </c>
      <c r="F53" s="355" t="s">
        <v>255</v>
      </c>
      <c r="G53" s="368">
        <v>9</v>
      </c>
      <c r="H53" s="357">
        <f>ROUNDDOWN(단가조사!G53*옵션!$D$11, 0)*$P$2</f>
        <v>8869.3523100000002</v>
      </c>
      <c r="I53" s="357"/>
      <c r="J53" s="357"/>
      <c r="K53" s="357"/>
      <c r="L53" s="357">
        <f t="shared" si="0"/>
        <v>8869.3523100000002</v>
      </c>
      <c r="M53" s="368"/>
    </row>
    <row r="54" spans="2:13" ht="21.6" customHeight="1">
      <c r="B54" s="344" t="s">
        <v>3155</v>
      </c>
      <c r="C54" s="354" t="s">
        <v>2069</v>
      </c>
      <c r="D54" s="354" t="s">
        <v>268</v>
      </c>
      <c r="E54" s="354" t="s">
        <v>406</v>
      </c>
      <c r="F54" s="355" t="s">
        <v>255</v>
      </c>
      <c r="G54" s="368">
        <v>35</v>
      </c>
      <c r="H54" s="357">
        <f>ROUNDDOWN(단가조사!G54*옵션!$D$11, 0)*$P$2</f>
        <v>10555.21103</v>
      </c>
      <c r="I54" s="357"/>
      <c r="J54" s="357"/>
      <c r="K54" s="357"/>
      <c r="L54" s="357">
        <f t="shared" si="0"/>
        <v>10555.21103</v>
      </c>
      <c r="M54" s="368"/>
    </row>
    <row r="55" spans="2:13" ht="21.6" customHeight="1">
      <c r="B55" s="344" t="s">
        <v>3156</v>
      </c>
      <c r="C55" s="354" t="s">
        <v>2072</v>
      </c>
      <c r="D55" s="354" t="s">
        <v>270</v>
      </c>
      <c r="E55" s="354" t="s">
        <v>407</v>
      </c>
      <c r="F55" s="355" t="s">
        <v>255</v>
      </c>
      <c r="G55" s="368">
        <v>37</v>
      </c>
      <c r="H55" s="357">
        <f>ROUNDDOWN(단가조사!G55*옵션!$D$11, 0)*$P$2</f>
        <v>15387.002540000001</v>
      </c>
      <c r="I55" s="357"/>
      <c r="J55" s="357"/>
      <c r="K55" s="357"/>
      <c r="L55" s="357">
        <f t="shared" si="0"/>
        <v>15387.002540000001</v>
      </c>
      <c r="M55" s="368"/>
    </row>
    <row r="56" spans="2:13" ht="21.6" customHeight="1">
      <c r="B56" s="344" t="s">
        <v>3157</v>
      </c>
      <c r="C56" s="354" t="s">
        <v>2075</v>
      </c>
      <c r="D56" s="354" t="s">
        <v>270</v>
      </c>
      <c r="E56" s="354" t="s">
        <v>408</v>
      </c>
      <c r="F56" s="355" t="s">
        <v>255</v>
      </c>
      <c r="G56" s="368">
        <v>46</v>
      </c>
      <c r="H56" s="357">
        <f>ROUNDDOWN(단가조사!G56*옵션!$D$11, 0)*$P$2</f>
        <v>24533.494440000002</v>
      </c>
      <c r="I56" s="357"/>
      <c r="J56" s="357"/>
      <c r="K56" s="357"/>
      <c r="L56" s="357">
        <f t="shared" si="0"/>
        <v>24533.494440000002</v>
      </c>
      <c r="M56" s="368"/>
    </row>
    <row r="57" spans="2:13" ht="21.6" customHeight="1">
      <c r="B57" s="344" t="s">
        <v>3158</v>
      </c>
      <c r="C57" s="354" t="s">
        <v>2078</v>
      </c>
      <c r="D57" s="354" t="s">
        <v>270</v>
      </c>
      <c r="E57" s="354" t="s">
        <v>409</v>
      </c>
      <c r="F57" s="355" t="s">
        <v>255</v>
      </c>
      <c r="G57" s="368">
        <v>432</v>
      </c>
      <c r="H57" s="357">
        <f>ROUNDDOWN(단가조사!G57*옵션!$D$11, 0)*$P$2</f>
        <v>3352.2379800000003</v>
      </c>
      <c r="I57" s="357"/>
      <c r="J57" s="357"/>
      <c r="K57" s="357"/>
      <c r="L57" s="357">
        <f t="shared" si="0"/>
        <v>3352.2379800000003</v>
      </c>
      <c r="M57" s="368"/>
    </row>
    <row r="58" spans="2:13" ht="21.6" customHeight="1">
      <c r="B58" s="344" t="s">
        <v>3159</v>
      </c>
      <c r="C58" s="354" t="s">
        <v>2081</v>
      </c>
      <c r="D58" s="354" t="s">
        <v>459</v>
      </c>
      <c r="E58" s="354" t="s">
        <v>460</v>
      </c>
      <c r="F58" s="355" t="s">
        <v>265</v>
      </c>
      <c r="G58" s="368">
        <v>4</v>
      </c>
      <c r="H58" s="357">
        <f>ROUNDDOWN(단가조사!G58*옵션!$D$11, 0)*$P$2</f>
        <v>1478.6681000000001</v>
      </c>
      <c r="I58" s="357"/>
      <c r="J58" s="357"/>
      <c r="K58" s="357"/>
      <c r="L58" s="357">
        <f t="shared" si="0"/>
        <v>1478.6681000000001</v>
      </c>
      <c r="M58" s="368"/>
    </row>
    <row r="59" spans="2:13" ht="21.6" customHeight="1">
      <c r="B59" s="344" t="s">
        <v>3160</v>
      </c>
      <c r="C59" s="354" t="s">
        <v>2084</v>
      </c>
      <c r="D59" s="354" t="s">
        <v>459</v>
      </c>
      <c r="E59" s="354" t="s">
        <v>461</v>
      </c>
      <c r="F59" s="355" t="s">
        <v>265</v>
      </c>
      <c r="G59" s="368">
        <v>6</v>
      </c>
      <c r="H59" s="357">
        <f>ROUNDDOWN(단가조사!G59*옵션!$D$11, 0)*$P$2</f>
        <v>2195.8664000000003</v>
      </c>
      <c r="I59" s="357"/>
      <c r="J59" s="357"/>
      <c r="K59" s="357"/>
      <c r="L59" s="357">
        <f t="shared" si="0"/>
        <v>2195.8664000000003</v>
      </c>
      <c r="M59" s="368"/>
    </row>
    <row r="60" spans="2:13" ht="21.6" customHeight="1">
      <c r="B60" s="344" t="s">
        <v>3161</v>
      </c>
      <c r="C60" s="354" t="s">
        <v>2087</v>
      </c>
      <c r="D60" s="354" t="s">
        <v>459</v>
      </c>
      <c r="E60" s="354" t="s">
        <v>462</v>
      </c>
      <c r="F60" s="355" t="s">
        <v>265</v>
      </c>
      <c r="G60" s="368">
        <v>2</v>
      </c>
      <c r="H60" s="357">
        <f>ROUNDDOWN(단가조사!G60*옵션!$D$11, 0)*$P$2</f>
        <v>2833.3760000000002</v>
      </c>
      <c r="I60" s="357"/>
      <c r="J60" s="357"/>
      <c r="K60" s="357"/>
      <c r="L60" s="357">
        <f t="shared" si="0"/>
        <v>2833.3760000000002</v>
      </c>
      <c r="M60" s="368"/>
    </row>
    <row r="61" spans="2:13" ht="21.6" customHeight="1">
      <c r="B61" s="344" t="s">
        <v>3162</v>
      </c>
      <c r="C61" s="354" t="s">
        <v>2090</v>
      </c>
      <c r="D61" s="354" t="s">
        <v>512</v>
      </c>
      <c r="E61" s="354" t="s">
        <v>513</v>
      </c>
      <c r="F61" s="355" t="s">
        <v>265</v>
      </c>
      <c r="G61" s="368">
        <v>24</v>
      </c>
      <c r="H61" s="357">
        <f>ROUNDDOWN(단가조사!G61*옵션!$D$11, 0)*$P$2</f>
        <v>1190.90335</v>
      </c>
      <c r="I61" s="357"/>
      <c r="J61" s="357"/>
      <c r="K61" s="357"/>
      <c r="L61" s="357">
        <f t="shared" si="0"/>
        <v>1190.90335</v>
      </c>
      <c r="M61" s="368"/>
    </row>
    <row r="62" spans="2:13" ht="21.6" customHeight="1">
      <c r="B62" s="344" t="s">
        <v>3163</v>
      </c>
      <c r="C62" s="354" t="s">
        <v>2093</v>
      </c>
      <c r="D62" s="354" t="s">
        <v>514</v>
      </c>
      <c r="E62" s="354" t="s">
        <v>513</v>
      </c>
      <c r="F62" s="355" t="s">
        <v>265</v>
      </c>
      <c r="G62" s="368">
        <v>15</v>
      </c>
      <c r="H62" s="357">
        <f>ROUNDDOWN(단가조사!G62*옵션!$D$11, 0)*$P$2</f>
        <v>2160.4492</v>
      </c>
      <c r="I62" s="357"/>
      <c r="J62" s="357"/>
      <c r="K62" s="357"/>
      <c r="L62" s="357">
        <f t="shared" si="0"/>
        <v>2160.4492</v>
      </c>
      <c r="M62" s="368"/>
    </row>
    <row r="63" spans="2:13" ht="21.6" customHeight="1">
      <c r="B63" s="344" t="s">
        <v>3164</v>
      </c>
      <c r="C63" s="354" t="s">
        <v>1904</v>
      </c>
      <c r="D63" s="354" t="s">
        <v>1905</v>
      </c>
      <c r="E63" s="354" t="s">
        <v>1906</v>
      </c>
      <c r="F63" s="355" t="s">
        <v>265</v>
      </c>
      <c r="G63" s="368">
        <v>30</v>
      </c>
      <c r="H63" s="357">
        <f>ROUNDDOWN(단가조사!G63*옵션!$D$11, 0)*$P$2</f>
        <v>125819.603</v>
      </c>
      <c r="I63" s="357"/>
      <c r="J63" s="357"/>
      <c r="K63" s="357"/>
      <c r="L63" s="357">
        <f t="shared" si="0"/>
        <v>125819.603</v>
      </c>
      <c r="M63" s="368"/>
    </row>
    <row r="64" spans="2:13" ht="21.6" customHeight="1">
      <c r="B64" s="344" t="s">
        <v>3165</v>
      </c>
      <c r="C64" s="354" t="s">
        <v>1871</v>
      </c>
      <c r="D64" s="354" t="s">
        <v>337</v>
      </c>
      <c r="E64" s="354" t="s">
        <v>1872</v>
      </c>
      <c r="F64" s="355" t="s">
        <v>265</v>
      </c>
      <c r="G64" s="368">
        <v>2</v>
      </c>
      <c r="H64" s="357">
        <f>ROUNDDOWN(단가조사!G64*옵션!$D$11, 0)*$P$2</f>
        <v>2789.9899300000002</v>
      </c>
      <c r="I64" s="357"/>
      <c r="J64" s="357"/>
      <c r="K64" s="357"/>
      <c r="L64" s="357">
        <f t="shared" si="0"/>
        <v>2789.9899300000002</v>
      </c>
      <c r="M64" s="368"/>
    </row>
    <row r="65" spans="2:13" ht="21.6" customHeight="1">
      <c r="B65" s="344" t="s">
        <v>3166</v>
      </c>
      <c r="C65" s="354" t="s">
        <v>1894</v>
      </c>
      <c r="D65" s="354" t="s">
        <v>337</v>
      </c>
      <c r="E65" s="354" t="s">
        <v>1895</v>
      </c>
      <c r="F65" s="355" t="s">
        <v>265</v>
      </c>
      <c r="G65" s="368">
        <v>9</v>
      </c>
      <c r="H65" s="357">
        <f>ROUNDDOWN(단가조사!G65*옵션!$D$11, 0)*$P$2</f>
        <v>4223.5011000000004</v>
      </c>
      <c r="I65" s="357"/>
      <c r="J65" s="357"/>
      <c r="K65" s="357"/>
      <c r="L65" s="357">
        <f t="shared" si="0"/>
        <v>4223.5011000000004</v>
      </c>
      <c r="M65" s="368"/>
    </row>
    <row r="66" spans="2:13" ht="21.6" customHeight="1">
      <c r="B66" s="344" t="s">
        <v>3167</v>
      </c>
      <c r="C66" s="354" t="s">
        <v>1896</v>
      </c>
      <c r="D66" s="354" t="s">
        <v>1897</v>
      </c>
      <c r="E66" s="354" t="s">
        <v>1898</v>
      </c>
      <c r="F66" s="355" t="s">
        <v>265</v>
      </c>
      <c r="G66" s="368">
        <v>9</v>
      </c>
      <c r="H66" s="357">
        <f>ROUNDDOWN(단가조사!G66*옵션!$D$11, 0)*$P$2</f>
        <v>696.83341000000007</v>
      </c>
      <c r="I66" s="357"/>
      <c r="J66" s="357"/>
      <c r="K66" s="357"/>
      <c r="L66" s="357">
        <f t="shared" si="0"/>
        <v>696.83341000000007</v>
      </c>
      <c r="M66" s="368"/>
    </row>
    <row r="67" spans="2:13" ht="21.6" customHeight="1">
      <c r="B67" s="344" t="s">
        <v>3168</v>
      </c>
      <c r="C67" s="354" t="s">
        <v>1899</v>
      </c>
      <c r="D67" s="354" t="s">
        <v>1900</v>
      </c>
      <c r="E67" s="354" t="s">
        <v>1901</v>
      </c>
      <c r="F67" s="355" t="s">
        <v>265</v>
      </c>
      <c r="G67" s="368">
        <v>9</v>
      </c>
      <c r="H67" s="357">
        <f>ROUNDDOWN(단가조사!G67*옵션!$D$11, 0)*$P$2</f>
        <v>9297.0150000000012</v>
      </c>
      <c r="I67" s="357"/>
      <c r="J67" s="357"/>
      <c r="K67" s="357"/>
      <c r="L67" s="357">
        <f t="shared" si="0"/>
        <v>9297.0150000000012</v>
      </c>
      <c r="M67" s="368"/>
    </row>
    <row r="68" spans="2:13" ht="21.6" customHeight="1">
      <c r="B68" s="344" t="s">
        <v>3169</v>
      </c>
      <c r="C68" s="354" t="s">
        <v>2096</v>
      </c>
      <c r="D68" s="354" t="s">
        <v>354</v>
      </c>
      <c r="E68" s="354" t="s">
        <v>410</v>
      </c>
      <c r="F68" s="355" t="s">
        <v>265</v>
      </c>
      <c r="G68" s="368">
        <v>2</v>
      </c>
      <c r="H68" s="357">
        <f>ROUNDDOWN(단가조사!G68*옵션!$D$11, 0)*$P$2</f>
        <v>1186.4762000000001</v>
      </c>
      <c r="I68" s="357"/>
      <c r="J68" s="357"/>
      <c r="K68" s="357"/>
      <c r="L68" s="357">
        <f t="shared" ref="L68:L126" si="1">SUM(H68,I68,J68)</f>
        <v>1186.4762000000001</v>
      </c>
      <c r="M68" s="368"/>
    </row>
    <row r="69" spans="2:13" ht="21.6" customHeight="1">
      <c r="B69" s="344" t="s">
        <v>3170</v>
      </c>
      <c r="C69" s="354" t="s">
        <v>2099</v>
      </c>
      <c r="D69" s="354" t="s">
        <v>354</v>
      </c>
      <c r="E69" s="354" t="s">
        <v>411</v>
      </c>
      <c r="F69" s="355" t="s">
        <v>265</v>
      </c>
      <c r="G69" s="368">
        <v>2</v>
      </c>
      <c r="H69" s="357">
        <f>ROUNDDOWN(단가조사!G69*옵션!$D$11, 0)*$P$2</f>
        <v>2089.6148000000003</v>
      </c>
      <c r="I69" s="357"/>
      <c r="J69" s="357"/>
      <c r="K69" s="357"/>
      <c r="L69" s="357">
        <f t="shared" si="1"/>
        <v>2089.6148000000003</v>
      </c>
      <c r="M69" s="368"/>
    </row>
    <row r="70" spans="2:13" ht="21.6" customHeight="1">
      <c r="B70" s="344" t="s">
        <v>3171</v>
      </c>
      <c r="C70" s="354" t="s">
        <v>2102</v>
      </c>
      <c r="D70" s="354" t="s">
        <v>354</v>
      </c>
      <c r="E70" s="354" t="s">
        <v>412</v>
      </c>
      <c r="F70" s="355" t="s">
        <v>265</v>
      </c>
      <c r="G70" s="368">
        <v>8</v>
      </c>
      <c r="H70" s="357">
        <f>ROUNDDOWN(단가조사!G70*옵션!$D$11, 0)*$P$2</f>
        <v>2842.2303000000002</v>
      </c>
      <c r="I70" s="357"/>
      <c r="J70" s="357"/>
      <c r="K70" s="357"/>
      <c r="L70" s="357">
        <f t="shared" si="1"/>
        <v>2842.2303000000002</v>
      </c>
      <c r="M70" s="368"/>
    </row>
    <row r="71" spans="2:13" ht="21.6" customHeight="1">
      <c r="B71" s="344" t="s">
        <v>3172</v>
      </c>
      <c r="C71" s="354" t="s">
        <v>2105</v>
      </c>
      <c r="D71" s="354" t="s">
        <v>354</v>
      </c>
      <c r="E71" s="354" t="s">
        <v>355</v>
      </c>
      <c r="F71" s="355" t="s">
        <v>265</v>
      </c>
      <c r="G71" s="368">
        <v>16</v>
      </c>
      <c r="H71" s="357">
        <f>ROUNDDOWN(단가조사!G71*옵션!$D$11, 0)*$P$2</f>
        <v>3833.9119000000001</v>
      </c>
      <c r="I71" s="357"/>
      <c r="J71" s="357"/>
      <c r="K71" s="357"/>
      <c r="L71" s="357">
        <f t="shared" si="1"/>
        <v>3833.9119000000001</v>
      </c>
      <c r="M71" s="368"/>
    </row>
    <row r="72" spans="2:13" ht="21.6" customHeight="1">
      <c r="B72" s="344" t="s">
        <v>3173</v>
      </c>
      <c r="C72" s="354" t="s">
        <v>2108</v>
      </c>
      <c r="D72" s="354" t="s">
        <v>542</v>
      </c>
      <c r="E72" s="354" t="s">
        <v>543</v>
      </c>
      <c r="F72" s="355" t="s">
        <v>265</v>
      </c>
      <c r="G72" s="368">
        <v>16</v>
      </c>
      <c r="H72" s="357">
        <f>ROUNDDOWN(단가조사!G72*옵션!$D$11, 0)*$P$2</f>
        <v>146.98138</v>
      </c>
      <c r="I72" s="357"/>
      <c r="J72" s="357"/>
      <c r="K72" s="357"/>
      <c r="L72" s="357">
        <f t="shared" si="1"/>
        <v>146.98138</v>
      </c>
      <c r="M72" s="368"/>
    </row>
    <row r="73" spans="2:13" ht="21.6" customHeight="1">
      <c r="B73" s="344" t="s">
        <v>3174</v>
      </c>
      <c r="C73" s="354" t="s">
        <v>2111</v>
      </c>
      <c r="D73" s="354" t="s">
        <v>276</v>
      </c>
      <c r="E73" s="354" t="s">
        <v>277</v>
      </c>
      <c r="F73" s="355" t="s">
        <v>255</v>
      </c>
      <c r="G73" s="368">
        <v>1120</v>
      </c>
      <c r="H73" s="357">
        <f>ROUNDDOWN(단가조사!G73*옵션!$D$11, 0)*$P$2</f>
        <v>239.06610000000001</v>
      </c>
      <c r="I73" s="357"/>
      <c r="J73" s="357"/>
      <c r="K73" s="357"/>
      <c r="L73" s="357">
        <f t="shared" si="1"/>
        <v>239.06610000000001</v>
      </c>
      <c r="M73" s="368"/>
    </row>
    <row r="74" spans="2:13" ht="21.6" customHeight="1">
      <c r="B74" s="344" t="s">
        <v>3175</v>
      </c>
      <c r="C74" s="354" t="s">
        <v>1869</v>
      </c>
      <c r="D74" s="354" t="s">
        <v>1870</v>
      </c>
      <c r="E74" s="354" t="s">
        <v>357</v>
      </c>
      <c r="F74" s="355" t="s">
        <v>262</v>
      </c>
      <c r="G74" s="368">
        <v>2</v>
      </c>
      <c r="H74" s="357">
        <f>ROUNDDOWN(단가조사!G74*옵션!$D$11, 0)*$P$2</f>
        <v>194794.6</v>
      </c>
      <c r="I74" s="357"/>
      <c r="J74" s="357"/>
      <c r="K74" s="357"/>
      <c r="L74" s="357">
        <f t="shared" si="1"/>
        <v>194794.6</v>
      </c>
      <c r="M74" s="368"/>
    </row>
    <row r="75" spans="2:13" ht="21.6" customHeight="1">
      <c r="B75" s="344" t="s">
        <v>3176</v>
      </c>
      <c r="C75" s="354" t="s">
        <v>1844</v>
      </c>
      <c r="D75" s="354" t="s">
        <v>1845</v>
      </c>
      <c r="E75" s="354" t="s">
        <v>1846</v>
      </c>
      <c r="F75" s="355" t="s">
        <v>265</v>
      </c>
      <c r="G75" s="368">
        <v>236</v>
      </c>
      <c r="H75" s="357">
        <f>ROUNDDOWN(단가조사!G75*옵션!$D$11, 0)*$P$2</f>
        <v>22.135750000000002</v>
      </c>
      <c r="I75" s="357"/>
      <c r="J75" s="357"/>
      <c r="K75" s="357"/>
      <c r="L75" s="357">
        <f t="shared" si="1"/>
        <v>22.135750000000002</v>
      </c>
      <c r="M75" s="368"/>
    </row>
    <row r="76" spans="2:13" ht="21.6" customHeight="1">
      <c r="B76" s="344" t="s">
        <v>3177</v>
      </c>
      <c r="C76" s="354" t="s">
        <v>1847</v>
      </c>
      <c r="D76" s="354" t="s">
        <v>1848</v>
      </c>
      <c r="E76" s="354" t="s">
        <v>1849</v>
      </c>
      <c r="F76" s="355" t="s">
        <v>291</v>
      </c>
      <c r="G76" s="368">
        <v>236</v>
      </c>
      <c r="H76" s="357">
        <f>ROUNDDOWN(단가조사!G76*옵션!$D$11, 0)*$P$2</f>
        <v>7.9688700000000008</v>
      </c>
      <c r="I76" s="357"/>
      <c r="J76" s="357"/>
      <c r="K76" s="357"/>
      <c r="L76" s="357">
        <f t="shared" si="1"/>
        <v>7.9688700000000008</v>
      </c>
      <c r="M76" s="368"/>
    </row>
    <row r="77" spans="2:13" ht="21.6" customHeight="1">
      <c r="B77" s="344" t="s">
        <v>3178</v>
      </c>
      <c r="C77" s="354" t="s">
        <v>2114</v>
      </c>
      <c r="D77" s="354" t="s">
        <v>289</v>
      </c>
      <c r="E77" s="354" t="s">
        <v>290</v>
      </c>
      <c r="F77" s="355" t="s">
        <v>291</v>
      </c>
      <c r="G77" s="368">
        <v>30</v>
      </c>
      <c r="H77" s="357">
        <f>ROUNDDOWN(단가조사!G77*옵션!$D$11, 0)*$P$2</f>
        <v>39844.350000000006</v>
      </c>
      <c r="I77" s="357"/>
      <c r="J77" s="357"/>
      <c r="K77" s="357"/>
      <c r="L77" s="357">
        <f t="shared" si="1"/>
        <v>39844.350000000006</v>
      </c>
      <c r="M77" s="368"/>
    </row>
    <row r="78" spans="2:13" ht="21.6" customHeight="1">
      <c r="B78" s="344" t="s">
        <v>3179</v>
      </c>
      <c r="C78" s="354" t="s">
        <v>2117</v>
      </c>
      <c r="D78" s="354" t="s">
        <v>463</v>
      </c>
      <c r="E78" s="354" t="s">
        <v>464</v>
      </c>
      <c r="F78" s="355" t="s">
        <v>280</v>
      </c>
      <c r="G78" s="368">
        <v>16</v>
      </c>
      <c r="H78" s="357">
        <f>ROUNDDOWN(단가조사!G78*옵션!$D$11, 0)*$P$2</f>
        <v>0</v>
      </c>
      <c r="I78" s="357"/>
      <c r="J78" s="357"/>
      <c r="K78" s="357"/>
      <c r="L78" s="357">
        <f t="shared" si="1"/>
        <v>0</v>
      </c>
      <c r="M78" s="368"/>
    </row>
    <row r="79" spans="2:13" ht="21.6" customHeight="1">
      <c r="B79" s="344" t="s">
        <v>3180</v>
      </c>
      <c r="C79" s="354" t="s">
        <v>2120</v>
      </c>
      <c r="D79" s="354" t="s">
        <v>270</v>
      </c>
      <c r="E79" s="354" t="s">
        <v>272</v>
      </c>
      <c r="F79" s="355" t="s">
        <v>255</v>
      </c>
      <c r="G79" s="368">
        <v>147</v>
      </c>
      <c r="H79" s="357">
        <f>ROUNDDOWN(단가조사!G79*옵션!$D$11, 0)*$P$2</f>
        <v>1911.64337</v>
      </c>
      <c r="I79" s="357"/>
      <c r="J79" s="357"/>
      <c r="K79" s="357"/>
      <c r="L79" s="357">
        <f t="shared" si="1"/>
        <v>1911.64337</v>
      </c>
      <c r="M79" s="368"/>
    </row>
    <row r="80" spans="2:13" ht="21.6" customHeight="1">
      <c r="B80" s="344" t="s">
        <v>3181</v>
      </c>
      <c r="C80" s="354" t="s">
        <v>2123</v>
      </c>
      <c r="D80" s="354" t="s">
        <v>270</v>
      </c>
      <c r="E80" s="354" t="s">
        <v>273</v>
      </c>
      <c r="F80" s="355" t="s">
        <v>255</v>
      </c>
      <c r="G80" s="368">
        <v>1619</v>
      </c>
      <c r="H80" s="357">
        <f>ROUNDDOWN(단가조사!G80*옵션!$D$11, 0)*$P$2</f>
        <v>1911.64337</v>
      </c>
      <c r="I80" s="357"/>
      <c r="J80" s="357"/>
      <c r="K80" s="357"/>
      <c r="L80" s="357">
        <f t="shared" si="1"/>
        <v>1911.64337</v>
      </c>
      <c r="M80" s="368"/>
    </row>
    <row r="81" spans="2:13" ht="21.6" customHeight="1">
      <c r="B81" s="344" t="s">
        <v>3182</v>
      </c>
      <c r="C81" s="354" t="s">
        <v>2126</v>
      </c>
      <c r="D81" s="354" t="s">
        <v>270</v>
      </c>
      <c r="E81" s="354" t="s">
        <v>271</v>
      </c>
      <c r="F81" s="355" t="s">
        <v>255</v>
      </c>
      <c r="G81" s="368">
        <v>141</v>
      </c>
      <c r="H81" s="357">
        <f>ROUNDDOWN(단가조사!G81*옵션!$D$11, 0)*$P$2</f>
        <v>1064.2868600000002</v>
      </c>
      <c r="I81" s="357"/>
      <c r="J81" s="357"/>
      <c r="K81" s="357"/>
      <c r="L81" s="357">
        <f t="shared" si="1"/>
        <v>1064.2868600000002</v>
      </c>
      <c r="M81" s="368"/>
    </row>
    <row r="82" spans="2:13" ht="21.6" customHeight="1">
      <c r="B82" s="344" t="s">
        <v>3183</v>
      </c>
      <c r="C82" s="354" t="s">
        <v>2129</v>
      </c>
      <c r="D82" s="354" t="s">
        <v>268</v>
      </c>
      <c r="E82" s="354" t="s">
        <v>269</v>
      </c>
      <c r="F82" s="355" t="s">
        <v>255</v>
      </c>
      <c r="G82" s="368">
        <v>986</v>
      </c>
      <c r="H82" s="357">
        <f>ROUNDDOWN(단가조사!G82*옵션!$D$11, 0)*$P$2</f>
        <v>696.83341000000007</v>
      </c>
      <c r="I82" s="357"/>
      <c r="J82" s="357"/>
      <c r="K82" s="357"/>
      <c r="L82" s="357">
        <f t="shared" si="1"/>
        <v>696.83341000000007</v>
      </c>
      <c r="M82" s="368"/>
    </row>
    <row r="83" spans="2:13" ht="21.6" customHeight="1">
      <c r="B83" s="344" t="s">
        <v>3184</v>
      </c>
      <c r="C83" s="354" t="s">
        <v>2132</v>
      </c>
      <c r="D83" s="354" t="s">
        <v>270</v>
      </c>
      <c r="E83" s="354" t="s">
        <v>352</v>
      </c>
      <c r="F83" s="355" t="s">
        <v>255</v>
      </c>
      <c r="G83" s="368">
        <v>514</v>
      </c>
      <c r="H83" s="357">
        <f>ROUNDDOWN(단가조사!G83*옵션!$D$11, 0)*$P$2</f>
        <v>24533.494440000002</v>
      </c>
      <c r="I83" s="357"/>
      <c r="J83" s="357"/>
      <c r="K83" s="357"/>
      <c r="L83" s="357">
        <f t="shared" si="1"/>
        <v>24533.494440000002</v>
      </c>
      <c r="M83" s="368"/>
    </row>
    <row r="84" spans="2:13" ht="21.6" customHeight="1">
      <c r="B84" s="344" t="s">
        <v>3185</v>
      </c>
      <c r="C84" s="354" t="s">
        <v>2135</v>
      </c>
      <c r="D84" s="354" t="s">
        <v>268</v>
      </c>
      <c r="E84" s="354" t="s">
        <v>537</v>
      </c>
      <c r="F84" s="355" t="s">
        <v>255</v>
      </c>
      <c r="G84" s="368">
        <v>45</v>
      </c>
      <c r="H84" s="357">
        <f>ROUNDDOWN(단가조사!G84*옵션!$D$11, 0)*$P$2</f>
        <v>1684.0878600000001</v>
      </c>
      <c r="I84" s="357"/>
      <c r="J84" s="357"/>
      <c r="K84" s="357"/>
      <c r="L84" s="357">
        <f t="shared" si="1"/>
        <v>1684.0878600000001</v>
      </c>
      <c r="M84" s="368"/>
    </row>
    <row r="85" spans="2:13" ht="21.6" customHeight="1">
      <c r="B85" s="344" t="s">
        <v>3186</v>
      </c>
      <c r="C85" s="354" t="s">
        <v>2138</v>
      </c>
      <c r="D85" s="354" t="s">
        <v>256</v>
      </c>
      <c r="E85" s="354" t="s">
        <v>257</v>
      </c>
      <c r="F85" s="355" t="s">
        <v>255</v>
      </c>
      <c r="G85" s="368">
        <v>144</v>
      </c>
      <c r="H85" s="357">
        <f>ROUNDDOWN(단가조사!G85*옵션!$D$11, 0)*$P$2</f>
        <v>270.05615</v>
      </c>
      <c r="I85" s="357"/>
      <c r="J85" s="357"/>
      <c r="K85" s="357"/>
      <c r="L85" s="357">
        <f t="shared" si="1"/>
        <v>270.05615</v>
      </c>
      <c r="M85" s="368"/>
    </row>
    <row r="86" spans="2:13" ht="21.6" customHeight="1">
      <c r="B86" s="344" t="s">
        <v>3187</v>
      </c>
      <c r="C86" s="354" t="s">
        <v>2141</v>
      </c>
      <c r="D86" s="354" t="s">
        <v>256</v>
      </c>
      <c r="E86" s="354" t="s">
        <v>258</v>
      </c>
      <c r="F86" s="355" t="s">
        <v>255</v>
      </c>
      <c r="G86" s="368">
        <v>796</v>
      </c>
      <c r="H86" s="357">
        <f>ROUNDDOWN(단가조사!G86*옵션!$D$11, 0)*$P$2</f>
        <v>362.14087000000001</v>
      </c>
      <c r="I86" s="357"/>
      <c r="J86" s="357"/>
      <c r="K86" s="357"/>
      <c r="L86" s="357">
        <f t="shared" si="1"/>
        <v>362.14087000000001</v>
      </c>
      <c r="M86" s="368"/>
    </row>
    <row r="87" spans="2:13" ht="21.6" customHeight="1">
      <c r="B87" s="344" t="s">
        <v>3188</v>
      </c>
      <c r="C87" s="354" t="s">
        <v>1024</v>
      </c>
      <c r="D87" s="354" t="s">
        <v>465</v>
      </c>
      <c r="E87" s="354" t="s">
        <v>466</v>
      </c>
      <c r="F87" s="355" t="s">
        <v>294</v>
      </c>
      <c r="G87" s="368">
        <v>12</v>
      </c>
      <c r="H87" s="357">
        <f>ROUNDDOWN(단가조사!G87*옵션!$D$11, 0)*$P$2</f>
        <v>79688.700000000012</v>
      </c>
      <c r="I87" s="357"/>
      <c r="J87" s="357"/>
      <c r="K87" s="357"/>
      <c r="L87" s="357">
        <f t="shared" si="1"/>
        <v>79688.700000000012</v>
      </c>
      <c r="M87" s="368"/>
    </row>
    <row r="88" spans="2:13" ht="21.6" customHeight="1">
      <c r="B88" s="344" t="s">
        <v>3189</v>
      </c>
      <c r="C88" s="354" t="s">
        <v>1026</v>
      </c>
      <c r="D88" s="354" t="s">
        <v>467</v>
      </c>
      <c r="E88" s="354" t="s">
        <v>468</v>
      </c>
      <c r="F88" s="355" t="s">
        <v>294</v>
      </c>
      <c r="G88" s="368">
        <v>8</v>
      </c>
      <c r="H88" s="357">
        <f>ROUNDDOWN(단가조사!G88*옵션!$D$11, 0)*$P$2</f>
        <v>79688.700000000012</v>
      </c>
      <c r="I88" s="357"/>
      <c r="J88" s="357"/>
      <c r="K88" s="357"/>
      <c r="L88" s="357">
        <f t="shared" si="1"/>
        <v>79688.700000000012</v>
      </c>
      <c r="M88" s="368"/>
    </row>
    <row r="89" spans="2:13" ht="21.6" customHeight="1">
      <c r="B89" s="344" t="s">
        <v>3190</v>
      </c>
      <c r="C89" s="354" t="s">
        <v>1028</v>
      </c>
      <c r="D89" s="354" t="s">
        <v>469</v>
      </c>
      <c r="E89" s="354" t="s">
        <v>470</v>
      </c>
      <c r="F89" s="355" t="s">
        <v>294</v>
      </c>
      <c r="G89" s="368">
        <v>48</v>
      </c>
      <c r="H89" s="357">
        <f>ROUNDDOWN(단가조사!G89*옵션!$D$11, 0)*$P$2</f>
        <v>354172</v>
      </c>
      <c r="I89" s="357"/>
      <c r="J89" s="357"/>
      <c r="K89" s="357"/>
      <c r="L89" s="357">
        <f t="shared" si="1"/>
        <v>354172</v>
      </c>
      <c r="M89" s="368"/>
    </row>
    <row r="90" spans="2:13" ht="21.6" customHeight="1">
      <c r="B90" s="344" t="s">
        <v>3191</v>
      </c>
      <c r="C90" s="354" t="s">
        <v>1030</v>
      </c>
      <c r="D90" s="354" t="s">
        <v>471</v>
      </c>
      <c r="E90" s="354" t="s">
        <v>472</v>
      </c>
      <c r="F90" s="355" t="s">
        <v>294</v>
      </c>
      <c r="G90" s="368">
        <v>36</v>
      </c>
      <c r="H90" s="357">
        <f>ROUNDDOWN(단가조사!G90*옵션!$D$11, 0)*$P$2</f>
        <v>84115.85</v>
      </c>
      <c r="I90" s="357"/>
      <c r="J90" s="357"/>
      <c r="K90" s="357"/>
      <c r="L90" s="357">
        <f t="shared" si="1"/>
        <v>84115.85</v>
      </c>
      <c r="M90" s="368"/>
    </row>
    <row r="91" spans="2:13" ht="21.6" customHeight="1">
      <c r="B91" s="344" t="s">
        <v>3192</v>
      </c>
      <c r="C91" s="354" t="s">
        <v>1032</v>
      </c>
      <c r="D91" s="354" t="s">
        <v>473</v>
      </c>
      <c r="E91" s="354" t="s">
        <v>474</v>
      </c>
      <c r="F91" s="355" t="s">
        <v>294</v>
      </c>
      <c r="G91" s="368">
        <v>32</v>
      </c>
      <c r="H91" s="357">
        <f>ROUNDDOWN(단가조사!G91*옵션!$D$11, 0)*$P$2</f>
        <v>32760.910000000003</v>
      </c>
      <c r="I91" s="357"/>
      <c r="J91" s="357"/>
      <c r="K91" s="357"/>
      <c r="L91" s="357">
        <f t="shared" si="1"/>
        <v>32760.910000000003</v>
      </c>
      <c r="M91" s="368"/>
    </row>
    <row r="92" spans="2:13" ht="21.6" customHeight="1">
      <c r="B92" s="344" t="s">
        <v>3193</v>
      </c>
      <c r="C92" s="354" t="s">
        <v>1034</v>
      </c>
      <c r="D92" s="354" t="s">
        <v>475</v>
      </c>
      <c r="E92" s="354" t="s">
        <v>476</v>
      </c>
      <c r="F92" s="355" t="s">
        <v>294</v>
      </c>
      <c r="G92" s="368">
        <v>12</v>
      </c>
      <c r="H92" s="357">
        <f>ROUNDDOWN(단가조사!G92*옵션!$D$11, 0)*$P$2</f>
        <v>30990.050000000003</v>
      </c>
      <c r="I92" s="357"/>
      <c r="J92" s="357"/>
      <c r="K92" s="357"/>
      <c r="L92" s="357">
        <f t="shared" si="1"/>
        <v>30990.050000000003</v>
      </c>
      <c r="M92" s="368"/>
    </row>
    <row r="93" spans="2:13" ht="21.6" customHeight="1">
      <c r="B93" s="344" t="s">
        <v>3194</v>
      </c>
      <c r="C93" s="354" t="s">
        <v>1036</v>
      </c>
      <c r="D93" s="354" t="s">
        <v>292</v>
      </c>
      <c r="E93" s="354" t="s">
        <v>293</v>
      </c>
      <c r="F93" s="355" t="s">
        <v>294</v>
      </c>
      <c r="G93" s="368">
        <v>60</v>
      </c>
      <c r="H93" s="357">
        <f>ROUNDDOWN(단가조사!G93*옵션!$D$11, 0)*$P$2</f>
        <v>1770860</v>
      </c>
      <c r="I93" s="357"/>
      <c r="J93" s="357"/>
      <c r="K93" s="357"/>
      <c r="L93" s="357">
        <f t="shared" si="1"/>
        <v>1770860</v>
      </c>
      <c r="M93" s="368"/>
    </row>
    <row r="94" spans="2:13" ht="21.6" customHeight="1">
      <c r="B94" s="344" t="s">
        <v>3195</v>
      </c>
      <c r="C94" s="354" t="s">
        <v>1038</v>
      </c>
      <c r="D94" s="354" t="s">
        <v>295</v>
      </c>
      <c r="E94" s="354" t="s">
        <v>296</v>
      </c>
      <c r="F94" s="355" t="s">
        <v>294</v>
      </c>
      <c r="G94" s="368">
        <v>60</v>
      </c>
      <c r="H94" s="357">
        <f>ROUNDDOWN(단가조사!G94*옵션!$D$11, 0)*$P$2</f>
        <v>398443.5</v>
      </c>
      <c r="I94" s="357"/>
      <c r="J94" s="357"/>
      <c r="K94" s="357"/>
      <c r="L94" s="357">
        <f t="shared" si="1"/>
        <v>398443.5</v>
      </c>
      <c r="M94" s="368"/>
    </row>
    <row r="95" spans="2:13" ht="21.6" customHeight="1">
      <c r="B95" s="344" t="s">
        <v>3196</v>
      </c>
      <c r="C95" s="354" t="s">
        <v>1013</v>
      </c>
      <c r="D95" s="354" t="s">
        <v>418</v>
      </c>
      <c r="E95" s="354" t="s">
        <v>419</v>
      </c>
      <c r="F95" s="355" t="s">
        <v>321</v>
      </c>
      <c r="G95" s="368">
        <v>2</v>
      </c>
      <c r="H95" s="357">
        <f>ROUNDDOWN(단가조사!G95*옵션!$D$11, 0)*$P$2</f>
        <v>799445.00727000006</v>
      </c>
      <c r="I95" s="357"/>
      <c r="J95" s="357"/>
      <c r="K95" s="357"/>
      <c r="L95" s="357">
        <f t="shared" si="1"/>
        <v>799445.00727000006</v>
      </c>
      <c r="M95" s="368"/>
    </row>
    <row r="96" spans="2:13" ht="21.6" customHeight="1">
      <c r="B96" s="344" t="s">
        <v>3197</v>
      </c>
      <c r="C96" s="354" t="s">
        <v>1015</v>
      </c>
      <c r="D96" s="354" t="s">
        <v>418</v>
      </c>
      <c r="E96" s="354" t="s">
        <v>420</v>
      </c>
      <c r="F96" s="355" t="s">
        <v>321</v>
      </c>
      <c r="G96" s="368">
        <v>2</v>
      </c>
      <c r="H96" s="357">
        <f>ROUNDDOWN(단가조사!G96*옵션!$D$11, 0)*$P$2</f>
        <v>14316076.725860002</v>
      </c>
      <c r="I96" s="357"/>
      <c r="J96" s="357"/>
      <c r="K96" s="357"/>
      <c r="L96" s="357">
        <f t="shared" si="1"/>
        <v>14316076.725860002</v>
      </c>
      <c r="M96" s="368"/>
    </row>
    <row r="97" spans="2:13" ht="21.6" customHeight="1">
      <c r="B97" s="344" t="s">
        <v>3198</v>
      </c>
      <c r="C97" s="354" t="s">
        <v>1017</v>
      </c>
      <c r="D97" s="354" t="s">
        <v>418</v>
      </c>
      <c r="E97" s="354" t="s">
        <v>421</v>
      </c>
      <c r="F97" s="355" t="s">
        <v>321</v>
      </c>
      <c r="G97" s="368">
        <v>2</v>
      </c>
      <c r="H97" s="357">
        <f>ROUNDDOWN(단가조사!G97*옵션!$D$11, 0)*$P$2</f>
        <v>6048835.4098900007</v>
      </c>
      <c r="I97" s="357"/>
      <c r="J97" s="357"/>
      <c r="K97" s="357"/>
      <c r="L97" s="357">
        <f t="shared" si="1"/>
        <v>6048835.4098900007</v>
      </c>
      <c r="M97" s="368"/>
    </row>
    <row r="98" spans="2:13" ht="21.6" customHeight="1">
      <c r="B98" s="344" t="s">
        <v>3199</v>
      </c>
      <c r="C98" s="354" t="s">
        <v>1002</v>
      </c>
      <c r="D98" s="354" t="s">
        <v>544</v>
      </c>
      <c r="E98" s="354" t="s">
        <v>545</v>
      </c>
      <c r="F98" s="355" t="s">
        <v>212</v>
      </c>
      <c r="G98" s="368">
        <v>2</v>
      </c>
      <c r="H98" s="357">
        <f>ROUNDDOWN(단가조사!G98*옵션!$D$11, 0)*$P$2</f>
        <v>179032531.96829</v>
      </c>
      <c r="I98" s="357"/>
      <c r="J98" s="357"/>
      <c r="K98" s="357"/>
      <c r="L98" s="357">
        <f t="shared" si="1"/>
        <v>179032531.96829</v>
      </c>
      <c r="M98" s="368"/>
    </row>
    <row r="99" spans="2:13" ht="21.6" customHeight="1">
      <c r="B99" s="344" t="s">
        <v>3200</v>
      </c>
      <c r="C99" s="354" t="s">
        <v>2168</v>
      </c>
      <c r="D99" s="354" t="s">
        <v>270</v>
      </c>
      <c r="E99" s="354" t="s">
        <v>353</v>
      </c>
      <c r="F99" s="355" t="s">
        <v>255</v>
      </c>
      <c r="G99" s="368">
        <v>71</v>
      </c>
      <c r="H99" s="357">
        <f>ROUNDDOWN(단가조사!G99*옵션!$D$11, 0)*$P$2</f>
        <v>3352.2379800000003</v>
      </c>
      <c r="I99" s="357"/>
      <c r="J99" s="357"/>
      <c r="K99" s="357"/>
      <c r="L99" s="357">
        <f t="shared" si="1"/>
        <v>3352.2379800000003</v>
      </c>
      <c r="M99" s="368"/>
    </row>
    <row r="100" spans="2:13" ht="21.6" customHeight="1">
      <c r="B100" s="344" t="s">
        <v>3201</v>
      </c>
      <c r="C100" s="354" t="s">
        <v>2171</v>
      </c>
      <c r="D100" s="354" t="s">
        <v>256</v>
      </c>
      <c r="E100" s="354" t="s">
        <v>259</v>
      </c>
      <c r="F100" s="355" t="s">
        <v>255</v>
      </c>
      <c r="G100" s="368">
        <v>21</v>
      </c>
      <c r="H100" s="357">
        <f>ROUNDDOWN(단가조사!G100*옵션!$D$11, 0)*$P$2</f>
        <v>772.09496000000001</v>
      </c>
      <c r="I100" s="357"/>
      <c r="J100" s="357"/>
      <c r="K100" s="357"/>
      <c r="L100" s="357">
        <f t="shared" si="1"/>
        <v>772.09496000000001</v>
      </c>
      <c r="M100" s="368"/>
    </row>
    <row r="101" spans="2:13" ht="21.6" customHeight="1">
      <c r="B101" s="344" t="s">
        <v>3202</v>
      </c>
      <c r="C101" s="354" t="s">
        <v>2175</v>
      </c>
      <c r="D101" s="354" t="s">
        <v>270</v>
      </c>
      <c r="E101" s="354" t="s">
        <v>274</v>
      </c>
      <c r="F101" s="355" t="s">
        <v>255</v>
      </c>
      <c r="G101" s="368">
        <v>57</v>
      </c>
      <c r="H101" s="357">
        <f>ROUNDDOWN(단가조사!G101*옵션!$D$11, 0)*$P$2</f>
        <v>1911.64337</v>
      </c>
      <c r="I101" s="357"/>
      <c r="J101" s="357"/>
      <c r="K101" s="357"/>
      <c r="L101" s="357">
        <f t="shared" si="1"/>
        <v>1911.64337</v>
      </c>
      <c r="M101" s="368"/>
    </row>
    <row r="102" spans="2:13" ht="21.6" customHeight="1">
      <c r="B102" s="344" t="s">
        <v>3203</v>
      </c>
      <c r="C102" s="354" t="s">
        <v>2178</v>
      </c>
      <c r="D102" s="354" t="s">
        <v>270</v>
      </c>
      <c r="E102" s="354" t="s">
        <v>275</v>
      </c>
      <c r="F102" s="355" t="s">
        <v>255</v>
      </c>
      <c r="G102" s="368">
        <v>111</v>
      </c>
      <c r="H102" s="357">
        <f>ROUNDDOWN(단가조사!G102*옵션!$D$11, 0)*$P$2</f>
        <v>1911.64337</v>
      </c>
      <c r="I102" s="357"/>
      <c r="J102" s="357"/>
      <c r="K102" s="357"/>
      <c r="L102" s="357">
        <f t="shared" si="1"/>
        <v>1911.64337</v>
      </c>
      <c r="M102" s="368"/>
    </row>
    <row r="103" spans="2:13" ht="21.6" customHeight="1">
      <c r="B103" s="344" t="s">
        <v>3204</v>
      </c>
      <c r="C103" s="354" t="s">
        <v>1866</v>
      </c>
      <c r="D103" s="354" t="s">
        <v>1867</v>
      </c>
      <c r="E103" s="354" t="s">
        <v>1868</v>
      </c>
      <c r="F103" s="355" t="s">
        <v>262</v>
      </c>
      <c r="G103" s="368">
        <v>2</v>
      </c>
      <c r="H103" s="357">
        <f>ROUNDDOWN(단가조사!G103*옵션!$D$11, 0)*$P$2</f>
        <v>327609.10000000003</v>
      </c>
      <c r="I103" s="357"/>
      <c r="J103" s="357"/>
      <c r="K103" s="357"/>
      <c r="L103" s="357">
        <f t="shared" si="1"/>
        <v>327609.10000000003</v>
      </c>
      <c r="M103" s="368"/>
    </row>
    <row r="104" spans="2:13" ht="21.6" customHeight="1">
      <c r="B104" s="344" t="s">
        <v>3205</v>
      </c>
      <c r="C104" s="354" t="s">
        <v>2181</v>
      </c>
      <c r="D104" s="354" t="s">
        <v>270</v>
      </c>
      <c r="E104" s="354" t="s">
        <v>538</v>
      </c>
      <c r="F104" s="355" t="s">
        <v>255</v>
      </c>
      <c r="G104" s="368">
        <v>56</v>
      </c>
      <c r="H104" s="357">
        <f>ROUNDDOWN(단가조사!G104*옵션!$D$11, 0)*$P$2</f>
        <v>1452.1052000000002</v>
      </c>
      <c r="I104" s="357"/>
      <c r="J104" s="357"/>
      <c r="K104" s="357"/>
      <c r="L104" s="357">
        <f t="shared" si="1"/>
        <v>1452.1052000000002</v>
      </c>
      <c r="M104" s="368"/>
    </row>
    <row r="105" spans="2:13" ht="21.6" customHeight="1">
      <c r="B105" s="344" t="s">
        <v>3206</v>
      </c>
      <c r="C105" s="354" t="s">
        <v>2184</v>
      </c>
      <c r="D105" s="354" t="s">
        <v>270</v>
      </c>
      <c r="E105" s="354" t="s">
        <v>539</v>
      </c>
      <c r="F105" s="355" t="s">
        <v>255</v>
      </c>
      <c r="G105" s="368">
        <v>112</v>
      </c>
      <c r="H105" s="357">
        <f>ROUNDDOWN(단가조사!G105*옵션!$D$11, 0)*$P$2</f>
        <v>15646.43353</v>
      </c>
      <c r="I105" s="357"/>
      <c r="J105" s="357"/>
      <c r="K105" s="357"/>
      <c r="L105" s="357">
        <f t="shared" si="1"/>
        <v>15646.43353</v>
      </c>
      <c r="M105" s="368"/>
    </row>
    <row r="106" spans="2:13" ht="21.6" customHeight="1">
      <c r="B106" s="344" t="s">
        <v>3207</v>
      </c>
      <c r="C106" s="354" t="s">
        <v>2187</v>
      </c>
      <c r="D106" s="354" t="s">
        <v>256</v>
      </c>
      <c r="E106" s="354" t="s">
        <v>534</v>
      </c>
      <c r="F106" s="355" t="s">
        <v>255</v>
      </c>
      <c r="G106" s="368">
        <v>91</v>
      </c>
      <c r="H106" s="357">
        <f>ROUNDDOWN(단가조사!G106*옵션!$D$11, 0)*$P$2</f>
        <v>270.05615</v>
      </c>
      <c r="I106" s="357"/>
      <c r="J106" s="357"/>
      <c r="K106" s="357"/>
      <c r="L106" s="357">
        <f t="shared" si="1"/>
        <v>270.05615</v>
      </c>
      <c r="M106" s="368"/>
    </row>
    <row r="107" spans="2:13" ht="21.6" customHeight="1">
      <c r="B107" s="344" t="s">
        <v>3208</v>
      </c>
      <c r="C107" s="354" t="s">
        <v>2190</v>
      </c>
      <c r="D107" s="354" t="s">
        <v>256</v>
      </c>
      <c r="E107" s="354" t="s">
        <v>535</v>
      </c>
      <c r="F107" s="355" t="s">
        <v>255</v>
      </c>
      <c r="G107" s="368">
        <v>91</v>
      </c>
      <c r="H107" s="357">
        <f>ROUNDDOWN(단가조사!G107*옵션!$D$11, 0)*$P$2</f>
        <v>772.09496000000001</v>
      </c>
      <c r="I107" s="357"/>
      <c r="J107" s="357"/>
      <c r="K107" s="357"/>
      <c r="L107" s="357">
        <f t="shared" si="1"/>
        <v>772.09496000000001</v>
      </c>
      <c r="M107" s="368"/>
    </row>
    <row r="108" spans="2:13" ht="21.6" customHeight="1">
      <c r="B108" s="344" t="s">
        <v>3209</v>
      </c>
      <c r="C108" s="354" t="s">
        <v>1920</v>
      </c>
      <c r="D108" s="354" t="s">
        <v>1921</v>
      </c>
      <c r="E108" s="354" t="s">
        <v>284</v>
      </c>
      <c r="F108" s="355" t="s">
        <v>265</v>
      </c>
      <c r="G108" s="368">
        <v>30</v>
      </c>
      <c r="H108" s="357">
        <f>ROUNDDOWN(단가조사!G108*옵션!$D$11, 0)*$P$2</f>
        <v>88543</v>
      </c>
      <c r="I108" s="357"/>
      <c r="J108" s="357"/>
      <c r="K108" s="357"/>
      <c r="L108" s="357">
        <f t="shared" si="1"/>
        <v>88543</v>
      </c>
      <c r="M108" s="368"/>
    </row>
    <row r="109" spans="2:13" ht="21.6" customHeight="1">
      <c r="B109" s="344" t="s">
        <v>3210</v>
      </c>
      <c r="C109" s="354" t="s">
        <v>2193</v>
      </c>
      <c r="D109" s="354" t="s">
        <v>540</v>
      </c>
      <c r="E109" s="354" t="s">
        <v>541</v>
      </c>
      <c r="F109" s="355" t="s">
        <v>255</v>
      </c>
      <c r="G109" s="368">
        <v>55</v>
      </c>
      <c r="H109" s="357">
        <f>ROUNDDOWN(단가조사!G109*옵션!$D$11, 0)*$P$2</f>
        <v>231.98266000000001</v>
      </c>
      <c r="I109" s="357"/>
      <c r="J109" s="357"/>
      <c r="K109" s="357"/>
      <c r="L109" s="357">
        <f t="shared" si="1"/>
        <v>231.98266000000001</v>
      </c>
      <c r="M109" s="368"/>
    </row>
    <row r="110" spans="2:13" ht="21.6" customHeight="1">
      <c r="B110" s="344" t="s">
        <v>3211</v>
      </c>
      <c r="C110" s="354" t="s">
        <v>1006</v>
      </c>
      <c r="D110" s="354" t="s">
        <v>547</v>
      </c>
      <c r="E110" s="354" t="s">
        <v>548</v>
      </c>
      <c r="F110" s="355" t="s">
        <v>212</v>
      </c>
      <c r="G110" s="368">
        <v>1</v>
      </c>
      <c r="H110" s="357">
        <f>ROUNDDOWN(단가조사!G110*옵션!$D$11, 0)*$P$2</f>
        <v>947410.10000000009</v>
      </c>
      <c r="I110" s="357"/>
      <c r="J110" s="357"/>
      <c r="K110" s="357"/>
      <c r="L110" s="357">
        <f t="shared" si="1"/>
        <v>947410.10000000009</v>
      </c>
      <c r="M110" s="368"/>
    </row>
    <row r="111" spans="2:13" ht="21.6" customHeight="1">
      <c r="B111" s="344" t="s">
        <v>3212</v>
      </c>
      <c r="C111" s="354" t="s">
        <v>1009</v>
      </c>
      <c r="D111" s="354" t="s">
        <v>547</v>
      </c>
      <c r="E111" s="354" t="s">
        <v>549</v>
      </c>
      <c r="F111" s="355" t="s">
        <v>212</v>
      </c>
      <c r="G111" s="368">
        <v>1</v>
      </c>
      <c r="H111" s="357">
        <f>ROUNDDOWN(단가조사!G111*옵션!$D$11, 0)*$P$2</f>
        <v>687720.56443999999</v>
      </c>
      <c r="I111" s="357"/>
      <c r="J111" s="357"/>
      <c r="K111" s="357"/>
      <c r="L111" s="357">
        <f t="shared" si="1"/>
        <v>687720.56443999999</v>
      </c>
      <c r="M111" s="368"/>
    </row>
    <row r="112" spans="2:13" ht="21.6" customHeight="1">
      <c r="B112" s="344" t="s">
        <v>3213</v>
      </c>
      <c r="C112" s="354" t="s">
        <v>1021</v>
      </c>
      <c r="D112" s="354" t="s">
        <v>550</v>
      </c>
      <c r="E112" s="354" t="s">
        <v>551</v>
      </c>
      <c r="F112" s="355" t="s">
        <v>212</v>
      </c>
      <c r="G112" s="368">
        <v>1</v>
      </c>
      <c r="H112" s="357">
        <f>ROUNDDOWN(단가조사!G112*옵션!$D$11, 0)*$P$2</f>
        <v>469277.9</v>
      </c>
      <c r="I112" s="357"/>
      <c r="J112" s="357"/>
      <c r="K112" s="357"/>
      <c r="L112" s="357">
        <f t="shared" si="1"/>
        <v>469277.9</v>
      </c>
      <c r="M112" s="368"/>
    </row>
    <row r="113" spans="2:13" ht="21.6" customHeight="1">
      <c r="B113" s="344" t="s">
        <v>3214</v>
      </c>
      <c r="C113" s="354" t="s">
        <v>1041</v>
      </c>
      <c r="D113" s="354" t="s">
        <v>566</v>
      </c>
      <c r="E113" s="354" t="s">
        <v>548</v>
      </c>
      <c r="F113" s="355" t="s">
        <v>212</v>
      </c>
      <c r="G113" s="368">
        <v>1</v>
      </c>
      <c r="H113" s="357">
        <f>ROUNDDOWN(단가조사!G113*옵션!$D$11, 0)*$P$2</f>
        <v>819623.07154000003</v>
      </c>
      <c r="I113" s="357"/>
      <c r="J113" s="357"/>
      <c r="K113" s="357"/>
      <c r="L113" s="357">
        <f t="shared" si="1"/>
        <v>819623.07154000003</v>
      </c>
      <c r="M113" s="368"/>
    </row>
    <row r="114" spans="2:13" ht="21.6" customHeight="1">
      <c r="B114" s="344" t="s">
        <v>3215</v>
      </c>
      <c r="C114" s="354" t="s">
        <v>1875</v>
      </c>
      <c r="D114" s="354" t="s">
        <v>285</v>
      </c>
      <c r="E114" s="354" t="s">
        <v>286</v>
      </c>
      <c r="F114" s="355" t="s">
        <v>287</v>
      </c>
      <c r="G114" s="368">
        <v>504.36</v>
      </c>
      <c r="H114" s="357">
        <f>단가조사!H114*$P$2</f>
        <v>333.80711000000002</v>
      </c>
      <c r="I114" s="357">
        <f>단가조사!J114*$P$2</f>
        <v>804.8558700000001</v>
      </c>
      <c r="J114" s="357">
        <f>단가조사!L114*$P$2</f>
        <v>418.80839000000003</v>
      </c>
      <c r="K114" s="357"/>
      <c r="L114" s="357">
        <f t="shared" si="1"/>
        <v>1557.4713700000002</v>
      </c>
      <c r="M114" s="368" t="s">
        <v>1876</v>
      </c>
    </row>
    <row r="115" spans="2:13" ht="21.6" customHeight="1">
      <c r="B115" s="344" t="s">
        <v>3216</v>
      </c>
      <c r="C115" s="354" t="s">
        <v>1878</v>
      </c>
      <c r="D115" s="354" t="s">
        <v>288</v>
      </c>
      <c r="E115" s="354" t="s">
        <v>286</v>
      </c>
      <c r="F115" s="355" t="s">
        <v>287</v>
      </c>
      <c r="G115" s="368">
        <v>498.08800000000002</v>
      </c>
      <c r="H115" s="357">
        <f>단가조사!H115*$P$2</f>
        <v>333.80711000000002</v>
      </c>
      <c r="I115" s="357">
        <f>단가조사!J115*$P$2</f>
        <v>804.8558700000001</v>
      </c>
      <c r="J115" s="357">
        <f>단가조사!L115*$P$2</f>
        <v>418.80839000000003</v>
      </c>
      <c r="K115" s="357"/>
      <c r="L115" s="357">
        <f t="shared" si="1"/>
        <v>1557.4713700000002</v>
      </c>
      <c r="M115" s="368" t="s">
        <v>1876</v>
      </c>
    </row>
    <row r="116" spans="2:13" ht="21.6" customHeight="1">
      <c r="B116" s="344" t="s">
        <v>3217</v>
      </c>
      <c r="C116" s="354" t="s">
        <v>1879</v>
      </c>
      <c r="D116" s="354" t="s">
        <v>1880</v>
      </c>
      <c r="E116" s="354" t="s">
        <v>1881</v>
      </c>
      <c r="F116" s="355" t="s">
        <v>1882</v>
      </c>
      <c r="G116" s="368">
        <v>273.60000000000002</v>
      </c>
      <c r="H116" s="357">
        <f>단가조사!H116*$P$2</f>
        <v>240.83696</v>
      </c>
      <c r="I116" s="357">
        <f>단가조사!J116*$P$2</f>
        <v>512.66397000000006</v>
      </c>
      <c r="J116" s="357">
        <f>단가조사!L116*$P$2</f>
        <v>302.81706000000003</v>
      </c>
      <c r="K116" s="357"/>
      <c r="L116" s="357">
        <f t="shared" si="1"/>
        <v>1056.31799</v>
      </c>
      <c r="M116" s="368" t="s">
        <v>1883</v>
      </c>
    </row>
    <row r="117" spans="2:13" ht="21.6" customHeight="1">
      <c r="B117" s="344" t="s">
        <v>3218</v>
      </c>
      <c r="C117" s="354" t="s">
        <v>1915</v>
      </c>
      <c r="D117" s="354" t="s">
        <v>1880</v>
      </c>
      <c r="E117" s="354" t="s">
        <v>1916</v>
      </c>
      <c r="F117" s="355" t="s">
        <v>1882</v>
      </c>
      <c r="G117" s="368">
        <v>990</v>
      </c>
      <c r="H117" s="357">
        <f>단가조사!H117*$P$2</f>
        <v>208.07605000000001</v>
      </c>
      <c r="I117" s="357">
        <f>단가조사!J117*$P$2</f>
        <v>585.26922999999999</v>
      </c>
      <c r="J117" s="357">
        <f>단가조사!L117*$P$2</f>
        <v>757.04265000000009</v>
      </c>
      <c r="K117" s="357"/>
      <c r="L117" s="357">
        <f t="shared" si="1"/>
        <v>1550.3879300000001</v>
      </c>
      <c r="M117" s="368" t="s">
        <v>1917</v>
      </c>
    </row>
    <row r="118" spans="2:13" ht="21.6" customHeight="1">
      <c r="B118" s="344" t="s">
        <v>3219</v>
      </c>
      <c r="C118" s="354" t="s">
        <v>1907</v>
      </c>
      <c r="D118" s="354" t="s">
        <v>1908</v>
      </c>
      <c r="E118" s="354" t="s">
        <v>1909</v>
      </c>
      <c r="F118" s="355" t="s">
        <v>1882</v>
      </c>
      <c r="G118" s="368">
        <v>1548</v>
      </c>
      <c r="H118" s="357">
        <f>단가조사!H118*$P$2</f>
        <v>69.948970000000003</v>
      </c>
      <c r="I118" s="357">
        <f>단가조사!J118*$P$2</f>
        <v>379.84947</v>
      </c>
      <c r="J118" s="357">
        <f>단가조사!L118*$P$2</f>
        <v>185.05487000000002</v>
      </c>
      <c r="K118" s="357"/>
      <c r="L118" s="357">
        <f t="shared" si="1"/>
        <v>634.85331000000008</v>
      </c>
      <c r="M118" s="368"/>
    </row>
    <row r="119" spans="2:13" ht="21.6" customHeight="1">
      <c r="B119" s="344" t="s">
        <v>3220</v>
      </c>
      <c r="C119" s="354" t="s">
        <v>1910</v>
      </c>
      <c r="D119" s="354" t="s">
        <v>1821</v>
      </c>
      <c r="E119" s="354" t="s">
        <v>1911</v>
      </c>
      <c r="F119" s="355" t="s">
        <v>1882</v>
      </c>
      <c r="G119" s="368">
        <v>371.52</v>
      </c>
      <c r="H119" s="357">
        <f>단가조사!H119*$P$2</f>
        <v>16.823170000000001</v>
      </c>
      <c r="I119" s="357">
        <f>단가조사!J119*$P$2</f>
        <v>326.72367000000003</v>
      </c>
      <c r="J119" s="357">
        <f>단가조사!L119*$P$2</f>
        <v>7.0834400000000004</v>
      </c>
      <c r="K119" s="357"/>
      <c r="L119" s="357">
        <f t="shared" si="1"/>
        <v>350.63028000000003</v>
      </c>
      <c r="M119" s="368" t="s">
        <v>1912</v>
      </c>
    </row>
    <row r="120" spans="2:13" ht="21.6" customHeight="1">
      <c r="B120" s="344" t="s">
        <v>3221</v>
      </c>
      <c r="C120" s="354" t="s">
        <v>1850</v>
      </c>
      <c r="D120" s="354" t="s">
        <v>1664</v>
      </c>
      <c r="E120" s="354" t="s">
        <v>1851</v>
      </c>
      <c r="F120" s="355" t="s">
        <v>1852</v>
      </c>
      <c r="G120" s="368">
        <v>285.43959999999998</v>
      </c>
      <c r="H120" s="357"/>
      <c r="I120" s="357">
        <f>ROUNDDOWN(단가조사!G120, 0)*$P$2</f>
        <v>229252.87931000002</v>
      </c>
      <c r="J120" s="357"/>
      <c r="K120" s="357"/>
      <c r="L120" s="357">
        <f t="shared" si="1"/>
        <v>229252.87931000002</v>
      </c>
      <c r="M120" s="368"/>
    </row>
    <row r="121" spans="2:13" ht="21.6" customHeight="1">
      <c r="B121" s="344" t="s">
        <v>3222</v>
      </c>
      <c r="C121" s="354" t="s">
        <v>1991</v>
      </c>
      <c r="D121" s="354" t="s">
        <v>1664</v>
      </c>
      <c r="E121" s="354" t="s">
        <v>1992</v>
      </c>
      <c r="F121" s="355" t="s">
        <v>1852</v>
      </c>
      <c r="G121" s="368">
        <v>60.726799999999997</v>
      </c>
      <c r="H121" s="357"/>
      <c r="I121" s="357">
        <f>ROUNDDOWN(단가조사!G121, 0)*$P$2</f>
        <v>240586.38331</v>
      </c>
      <c r="J121" s="357"/>
      <c r="K121" s="357"/>
      <c r="L121" s="357">
        <f t="shared" si="1"/>
        <v>240586.38331</v>
      </c>
      <c r="M121" s="368"/>
    </row>
    <row r="122" spans="2:13" ht="21.6" customHeight="1">
      <c r="B122" s="344" t="s">
        <v>3223</v>
      </c>
      <c r="C122" s="354" t="s">
        <v>2002</v>
      </c>
      <c r="D122" s="354" t="s">
        <v>1664</v>
      </c>
      <c r="E122" s="354" t="s">
        <v>2003</v>
      </c>
      <c r="F122" s="355" t="s">
        <v>1852</v>
      </c>
      <c r="G122" s="368">
        <v>0.13200000000000001</v>
      </c>
      <c r="H122" s="357"/>
      <c r="I122" s="357">
        <f>ROUNDDOWN(단가조사!G122, 0)*$P$2</f>
        <v>352510.93332000001</v>
      </c>
      <c r="J122" s="357"/>
      <c r="K122" s="357"/>
      <c r="L122" s="357">
        <f t="shared" si="1"/>
        <v>352510.93332000001</v>
      </c>
      <c r="M122" s="368"/>
    </row>
    <row r="123" spans="2:13" ht="21.6" customHeight="1">
      <c r="B123" s="344" t="s">
        <v>3224</v>
      </c>
      <c r="C123" s="354" t="s">
        <v>1968</v>
      </c>
      <c r="D123" s="354" t="s">
        <v>1664</v>
      </c>
      <c r="E123" s="354" t="s">
        <v>1969</v>
      </c>
      <c r="F123" s="355" t="s">
        <v>1852</v>
      </c>
      <c r="G123" s="368">
        <v>15.5517</v>
      </c>
      <c r="H123" s="357"/>
      <c r="I123" s="357">
        <f>ROUNDDOWN(단가조사!G123, 0)*$P$2</f>
        <v>336167.66638000001</v>
      </c>
      <c r="J123" s="357"/>
      <c r="K123" s="357"/>
      <c r="L123" s="357">
        <f t="shared" si="1"/>
        <v>336167.66638000001</v>
      </c>
      <c r="M123" s="368"/>
    </row>
    <row r="124" spans="2:13" ht="21.6" customHeight="1">
      <c r="B124" s="344" t="s">
        <v>3225</v>
      </c>
      <c r="C124" s="354" t="s">
        <v>2194</v>
      </c>
      <c r="D124" s="354" t="s">
        <v>1664</v>
      </c>
      <c r="E124" s="354" t="s">
        <v>2195</v>
      </c>
      <c r="F124" s="355" t="s">
        <v>1852</v>
      </c>
      <c r="G124" s="368">
        <v>0.27500000000000002</v>
      </c>
      <c r="H124" s="357"/>
      <c r="I124" s="357">
        <f>ROUNDDOWN(단가조사!G124, 0)*$P$2</f>
        <v>323097.83415000001</v>
      </c>
      <c r="J124" s="357"/>
      <c r="K124" s="357"/>
      <c r="L124" s="357">
        <f t="shared" si="1"/>
        <v>323097.83415000001</v>
      </c>
      <c r="M124" s="368"/>
    </row>
    <row r="125" spans="2:13" ht="21.6" customHeight="1">
      <c r="B125" s="344" t="s">
        <v>3226</v>
      </c>
      <c r="C125" s="354" t="s">
        <v>1888</v>
      </c>
      <c r="D125" s="354" t="s">
        <v>1664</v>
      </c>
      <c r="E125" s="354" t="s">
        <v>1889</v>
      </c>
      <c r="F125" s="355" t="s">
        <v>1852</v>
      </c>
      <c r="G125" s="368">
        <v>80.630200000000002</v>
      </c>
      <c r="H125" s="357"/>
      <c r="I125" s="357">
        <f>ROUNDDOWN(단가조사!G125, 0)*$P$2</f>
        <v>131495.20930000002</v>
      </c>
      <c r="J125" s="357"/>
      <c r="K125" s="357"/>
      <c r="L125" s="357">
        <f t="shared" si="1"/>
        <v>131495.20930000002</v>
      </c>
      <c r="M125" s="368"/>
    </row>
    <row r="126" spans="2:13" ht="21.6" customHeight="1">
      <c r="B126" s="344" t="s">
        <v>3227</v>
      </c>
      <c r="C126" s="354" t="s">
        <v>1890</v>
      </c>
      <c r="D126" s="354" t="s">
        <v>1664</v>
      </c>
      <c r="E126" s="354" t="s">
        <v>1891</v>
      </c>
      <c r="F126" s="355" t="s">
        <v>1852</v>
      </c>
      <c r="G126" s="368">
        <v>3.26</v>
      </c>
      <c r="H126" s="357"/>
      <c r="I126" s="357">
        <f>ROUNDDOWN(단가조사!G126, 0)*$P$2</f>
        <v>165960.57205000002</v>
      </c>
      <c r="J126" s="357"/>
      <c r="K126" s="357"/>
      <c r="L126" s="357">
        <f t="shared" si="1"/>
        <v>165960.57205000002</v>
      </c>
      <c r="M126" s="368"/>
    </row>
    <row r="127" spans="2:13" ht="21.6" customHeight="1">
      <c r="C127" s="354"/>
      <c r="D127" s="354"/>
      <c r="E127" s="354"/>
      <c r="F127" s="355"/>
      <c r="G127" s="368"/>
      <c r="H127" s="357"/>
      <c r="I127" s="357"/>
      <c r="J127" s="357"/>
      <c r="K127" s="357"/>
      <c r="L127" s="357"/>
      <c r="M127" s="368"/>
    </row>
    <row r="128" spans="2:13" ht="21.6" customHeight="1">
      <c r="C128" s="354"/>
      <c r="D128" s="354"/>
      <c r="E128" s="354"/>
      <c r="F128" s="355"/>
      <c r="G128" s="368"/>
      <c r="H128" s="357"/>
      <c r="I128" s="357"/>
      <c r="J128" s="357"/>
      <c r="K128" s="357"/>
      <c r="L128" s="357"/>
      <c r="M128" s="368"/>
    </row>
    <row r="129" spans="3:13" ht="21.6" customHeight="1">
      <c r="C129" s="354"/>
      <c r="D129" s="354"/>
      <c r="E129" s="354"/>
      <c r="F129" s="355"/>
      <c r="G129" s="368"/>
      <c r="H129" s="357"/>
      <c r="I129" s="357"/>
      <c r="J129" s="357"/>
      <c r="K129" s="357"/>
      <c r="L129" s="357"/>
      <c r="M129" s="368"/>
    </row>
    <row r="130" spans="3:13" ht="21.6" customHeight="1">
      <c r="C130" s="354"/>
      <c r="D130" s="354"/>
      <c r="E130" s="354"/>
      <c r="F130" s="355"/>
      <c r="G130" s="368"/>
      <c r="H130" s="357"/>
      <c r="I130" s="357"/>
      <c r="J130" s="357"/>
      <c r="K130" s="357"/>
      <c r="L130" s="357"/>
      <c r="M130" s="368"/>
    </row>
    <row r="131" spans="3:13" ht="21.6" customHeight="1">
      <c r="C131" s="354"/>
      <c r="D131" s="354"/>
      <c r="E131" s="354"/>
      <c r="F131" s="355"/>
      <c r="G131" s="368"/>
      <c r="H131" s="357"/>
      <c r="I131" s="357"/>
      <c r="J131" s="357"/>
      <c r="K131" s="357"/>
      <c r="L131" s="357"/>
      <c r="M131" s="368"/>
    </row>
    <row r="132" spans="3:13" ht="21.6" customHeight="1">
      <c r="C132" s="354"/>
      <c r="D132" s="354"/>
      <c r="E132" s="354"/>
      <c r="F132" s="355"/>
      <c r="G132" s="368"/>
      <c r="H132" s="357"/>
      <c r="I132" s="357"/>
      <c r="J132" s="357"/>
      <c r="K132" s="357"/>
      <c r="L132" s="357"/>
      <c r="M132" s="368"/>
    </row>
    <row r="133" spans="3:13" ht="21.6" customHeight="1">
      <c r="C133" s="354"/>
      <c r="D133" s="354"/>
      <c r="E133" s="354"/>
      <c r="F133" s="355"/>
      <c r="G133" s="368"/>
      <c r="H133" s="357"/>
      <c r="I133" s="357"/>
      <c r="J133" s="357"/>
      <c r="K133" s="357"/>
      <c r="L133" s="357"/>
      <c r="M133" s="368"/>
    </row>
    <row r="227" spans="2:2" ht="21.6" customHeight="1">
      <c r="B227" s="358"/>
    </row>
  </sheetData>
  <mergeCells count="13">
    <mergeCell ref="K2:K3"/>
    <mergeCell ref="L2:L3"/>
    <mergeCell ref="M2:M3"/>
    <mergeCell ref="C1:H1"/>
    <mergeCell ref="K1:L1"/>
    <mergeCell ref="C2:C3"/>
    <mergeCell ref="D2:D3"/>
    <mergeCell ref="E2:E3"/>
    <mergeCell ref="F2:F3"/>
    <mergeCell ref="G2:G3"/>
    <mergeCell ref="H2:H3"/>
    <mergeCell ref="I2:I3"/>
    <mergeCell ref="J2:J3"/>
  </mergeCells>
  <phoneticPr fontId="1" type="noConversion"/>
  <printOptions horizontalCentered="1" verticalCentered="1"/>
  <pageMargins left="0.74803149606299213" right="0.35433070866141736" top="0.59055118110236227" bottom="0.59055118110236227" header="0.51181102362204722" footer="0.47244094488188981"/>
  <pageSetup paperSize="9" scale="8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3F3B7-46DF-436B-AB41-97A2BE548DDD}">
  <sheetPr>
    <pageSetUpPr fitToPage="1"/>
  </sheetPr>
  <dimension ref="A1:AD227"/>
  <sheetViews>
    <sheetView showZeros="0" view="pageBreakPreview" topLeftCell="B1" zoomScaleNormal="100" zoomScaleSheetLayoutView="100" workbookViewId="0">
      <selection sqref="A1:X1"/>
    </sheetView>
  </sheetViews>
  <sheetFormatPr defaultRowHeight="16.5"/>
  <cols>
    <col min="1" max="1" width="21.625" style="330" hidden="1" customWidth="1"/>
    <col min="2" max="3" width="30.5" style="330" bestFit="1" customWidth="1"/>
    <col min="4" max="4" width="5.5" style="330" bestFit="1" customWidth="1"/>
    <col min="5" max="5" width="10.5" style="330" bestFit="1" customWidth="1"/>
    <col min="6" max="6" width="6.625" style="330" bestFit="1" customWidth="1"/>
    <col min="7" max="7" width="15" style="330" bestFit="1" customWidth="1"/>
    <col min="8" max="8" width="6.625" style="330" bestFit="1" customWidth="1"/>
    <col min="9" max="9" width="18.375" style="330" bestFit="1" customWidth="1"/>
    <col min="10" max="10" width="6.625" style="330" bestFit="1" customWidth="1"/>
    <col min="11" max="11" width="16.125" style="330" bestFit="1" customWidth="1"/>
    <col min="12" max="12" width="6.625" style="330" bestFit="1" customWidth="1"/>
    <col min="13" max="13" width="16.125" style="330" bestFit="1" customWidth="1"/>
    <col min="14" max="14" width="6.625" style="330" bestFit="1" customWidth="1"/>
    <col min="15" max="15" width="16.25" style="330" customWidth="1"/>
    <col min="16" max="16" width="12.625" style="330" bestFit="1" customWidth="1"/>
    <col min="17" max="17" width="10.5" style="330" bestFit="1" customWidth="1"/>
    <col min="18" max="20" width="9.25" style="330" bestFit="1" customWidth="1"/>
    <col min="21" max="21" width="10.5" style="330" bestFit="1" customWidth="1"/>
    <col min="22" max="22" width="11.5" style="330" bestFit="1" customWidth="1"/>
    <col min="23" max="23" width="8.5" style="330" bestFit="1" customWidth="1"/>
    <col min="24" max="24" width="9.5" style="330" bestFit="1" customWidth="1"/>
    <col min="25" max="26" width="9" style="330" hidden="1" customWidth="1"/>
    <col min="27" max="27" width="11" style="330" hidden="1" customWidth="1"/>
    <col min="28" max="28" width="9" style="330" hidden="1" customWidth="1"/>
    <col min="29" max="16384" width="9" style="330"/>
  </cols>
  <sheetData>
    <row r="1" spans="1:30" ht="30" customHeight="1">
      <c r="A1" s="713" t="s">
        <v>3228</v>
      </c>
      <c r="B1" s="713"/>
      <c r="C1" s="713"/>
      <c r="D1" s="713"/>
      <c r="E1" s="713"/>
      <c r="F1" s="713"/>
      <c r="G1" s="713"/>
      <c r="H1" s="713"/>
      <c r="I1" s="713"/>
      <c r="J1" s="713"/>
      <c r="K1" s="713"/>
      <c r="L1" s="713"/>
      <c r="M1" s="713"/>
      <c r="N1" s="713"/>
      <c r="O1" s="713"/>
      <c r="P1" s="713"/>
      <c r="Q1" s="713"/>
      <c r="R1" s="713"/>
      <c r="S1" s="713"/>
      <c r="T1" s="713"/>
      <c r="U1" s="713"/>
      <c r="V1" s="713"/>
      <c r="W1" s="713"/>
      <c r="X1" s="713"/>
    </row>
    <row r="2" spans="1:30" ht="30" customHeight="1">
      <c r="A2" s="733" t="s">
        <v>1058</v>
      </c>
      <c r="B2" s="733"/>
      <c r="C2" s="733"/>
      <c r="D2" s="733"/>
      <c r="E2" s="733"/>
      <c r="F2" s="733"/>
      <c r="G2" s="733"/>
      <c r="H2" s="733"/>
      <c r="I2" s="733"/>
      <c r="J2" s="733"/>
      <c r="K2" s="733"/>
      <c r="L2" s="733"/>
      <c r="M2" s="733"/>
      <c r="N2" s="733"/>
      <c r="O2" s="733"/>
      <c r="P2" s="733"/>
      <c r="Q2" s="733"/>
      <c r="R2" s="733"/>
      <c r="S2" s="733"/>
      <c r="T2" s="733"/>
      <c r="U2" s="733"/>
      <c r="V2" s="733"/>
      <c r="W2" s="733"/>
      <c r="X2" s="733"/>
    </row>
    <row r="3" spans="1:30" ht="30" customHeight="1">
      <c r="A3" s="705" t="s">
        <v>1662</v>
      </c>
      <c r="B3" s="705" t="s">
        <v>1059</v>
      </c>
      <c r="C3" s="705" t="s">
        <v>3229</v>
      </c>
      <c r="D3" s="705" t="s">
        <v>246</v>
      </c>
      <c r="E3" s="705" t="s">
        <v>1061</v>
      </c>
      <c r="F3" s="705"/>
      <c r="G3" s="705"/>
      <c r="H3" s="705"/>
      <c r="I3" s="705"/>
      <c r="J3" s="705"/>
      <c r="K3" s="705"/>
      <c r="L3" s="705"/>
      <c r="M3" s="705"/>
      <c r="N3" s="705"/>
      <c r="O3" s="705"/>
      <c r="P3" s="705" t="s">
        <v>1664</v>
      </c>
      <c r="Q3" s="705" t="s">
        <v>1665</v>
      </c>
      <c r="R3" s="705"/>
      <c r="S3" s="705"/>
      <c r="T3" s="705"/>
      <c r="U3" s="705"/>
      <c r="V3" s="705"/>
      <c r="W3" s="705" t="s">
        <v>1667</v>
      </c>
      <c r="X3" s="705" t="s">
        <v>1064</v>
      </c>
      <c r="Y3" s="704" t="s">
        <v>3230</v>
      </c>
      <c r="Z3" s="704" t="s">
        <v>3231</v>
      </c>
      <c r="AA3" s="704" t="s">
        <v>3232</v>
      </c>
      <c r="AB3" s="704" t="s">
        <v>1095</v>
      </c>
      <c r="AD3" s="375">
        <v>0.88543000000000005</v>
      </c>
    </row>
    <row r="4" spans="1:30" ht="30" customHeight="1">
      <c r="A4" s="705"/>
      <c r="B4" s="705"/>
      <c r="C4" s="705"/>
      <c r="D4" s="705"/>
      <c r="E4" s="331" t="s">
        <v>3233</v>
      </c>
      <c r="F4" s="331" t="s">
        <v>3234</v>
      </c>
      <c r="G4" s="331" t="s">
        <v>3235</v>
      </c>
      <c r="H4" s="331" t="s">
        <v>3234</v>
      </c>
      <c r="I4" s="331" t="s">
        <v>3236</v>
      </c>
      <c r="J4" s="331" t="s">
        <v>3234</v>
      </c>
      <c r="K4" s="331" t="s">
        <v>3237</v>
      </c>
      <c r="L4" s="331" t="s">
        <v>3234</v>
      </c>
      <c r="M4" s="331" t="s">
        <v>3238</v>
      </c>
      <c r="N4" s="331" t="s">
        <v>3234</v>
      </c>
      <c r="O4" s="331" t="s">
        <v>3239</v>
      </c>
      <c r="P4" s="705"/>
      <c r="Q4" s="331" t="s">
        <v>3233</v>
      </c>
      <c r="R4" s="331" t="s">
        <v>3235</v>
      </c>
      <c r="S4" s="331" t="s">
        <v>3236</v>
      </c>
      <c r="T4" s="331" t="s">
        <v>3237</v>
      </c>
      <c r="U4" s="331" t="s">
        <v>3238</v>
      </c>
      <c r="V4" s="331" t="s">
        <v>3239</v>
      </c>
      <c r="W4" s="705"/>
      <c r="X4" s="705"/>
      <c r="Y4" s="704"/>
      <c r="Z4" s="704"/>
      <c r="AA4" s="704"/>
      <c r="AB4" s="704"/>
    </row>
    <row r="5" spans="1:30" ht="30" customHeight="1">
      <c r="A5" s="333" t="s">
        <v>2943</v>
      </c>
      <c r="B5" s="333" t="s">
        <v>1816</v>
      </c>
      <c r="C5" s="333" t="s">
        <v>2942</v>
      </c>
      <c r="D5" s="376" t="s">
        <v>2926</v>
      </c>
      <c r="E5" s="377">
        <v>0</v>
      </c>
      <c r="F5" s="333" t="s">
        <v>378</v>
      </c>
      <c r="G5" s="377">
        <v>0</v>
      </c>
      <c r="H5" s="333" t="s">
        <v>378</v>
      </c>
      <c r="I5" s="377">
        <v>0</v>
      </c>
      <c r="J5" s="333" t="s">
        <v>378</v>
      </c>
      <c r="K5" s="377">
        <v>17702</v>
      </c>
      <c r="L5" s="333" t="s">
        <v>3240</v>
      </c>
      <c r="M5" s="377">
        <v>0</v>
      </c>
      <c r="N5" s="333" t="s">
        <v>378</v>
      </c>
      <c r="O5" s="377">
        <f>SMALL(E5:M5,COUNTIF(E5:M5,0)+1)*$AD$3</f>
        <v>15673.881860000001</v>
      </c>
      <c r="P5" s="377">
        <v>50605</v>
      </c>
      <c r="Q5" s="377">
        <v>0</v>
      </c>
      <c r="R5" s="377">
        <v>0</v>
      </c>
      <c r="S5" s="377">
        <v>0</v>
      </c>
      <c r="T5" s="377">
        <v>0</v>
      </c>
      <c r="U5" s="377">
        <v>22522</v>
      </c>
      <c r="V5" s="377">
        <f>SMALL(Q5:U5,COUNTIF(Q5:U5,0)+1)*$AD$3</f>
        <v>19941.654460000002</v>
      </c>
      <c r="W5" s="333" t="s">
        <v>3241</v>
      </c>
      <c r="X5" s="333" t="s">
        <v>2927</v>
      </c>
      <c r="Y5" s="329" t="s">
        <v>378</v>
      </c>
      <c r="Z5" s="329" t="s">
        <v>378</v>
      </c>
      <c r="AA5" s="378"/>
      <c r="AB5" s="329" t="s">
        <v>378</v>
      </c>
    </row>
    <row r="6" spans="1:30" ht="30" customHeight="1">
      <c r="A6" s="333" t="s">
        <v>2952</v>
      </c>
      <c r="B6" s="333" t="s">
        <v>1821</v>
      </c>
      <c r="C6" s="333" t="s">
        <v>1911</v>
      </c>
      <c r="D6" s="376" t="s">
        <v>2926</v>
      </c>
      <c r="E6" s="377">
        <v>0</v>
      </c>
      <c r="F6" s="333" t="s">
        <v>378</v>
      </c>
      <c r="G6" s="377">
        <v>0</v>
      </c>
      <c r="H6" s="333" t="s">
        <v>378</v>
      </c>
      <c r="I6" s="377">
        <v>0</v>
      </c>
      <c r="J6" s="333" t="s">
        <v>378</v>
      </c>
      <c r="K6" s="377">
        <v>1058</v>
      </c>
      <c r="L6" s="333" t="s">
        <v>3242</v>
      </c>
      <c r="M6" s="377">
        <v>0</v>
      </c>
      <c r="N6" s="333" t="s">
        <v>378</v>
      </c>
      <c r="O6" s="377">
        <f t="shared" ref="O6:O67" si="0">SMALL(E6:M6,COUNTIF(E6:M6,0)+1)*$AD$3</f>
        <v>936.78494000000001</v>
      </c>
      <c r="P6" s="377">
        <v>32386</v>
      </c>
      <c r="Q6" s="377">
        <v>0</v>
      </c>
      <c r="R6" s="377">
        <v>0</v>
      </c>
      <c r="S6" s="377">
        <v>0</v>
      </c>
      <c r="T6" s="377">
        <v>0</v>
      </c>
      <c r="U6" s="377">
        <v>478</v>
      </c>
      <c r="V6" s="377">
        <f>SMALL(Q6:U6,COUNTIF(Q6:U6,0)+1)*$AD$3</f>
        <v>423.23554000000001</v>
      </c>
      <c r="W6" s="333" t="s">
        <v>3243</v>
      </c>
      <c r="X6" s="333" t="s">
        <v>2927</v>
      </c>
      <c r="Y6" s="329" t="s">
        <v>378</v>
      </c>
      <c r="Z6" s="329" t="s">
        <v>378</v>
      </c>
      <c r="AA6" s="378"/>
      <c r="AB6" s="329" t="s">
        <v>378</v>
      </c>
    </row>
    <row r="7" spans="1:30" ht="30" customHeight="1">
      <c r="A7" s="333" t="s">
        <v>2928</v>
      </c>
      <c r="B7" s="333" t="s">
        <v>1809</v>
      </c>
      <c r="C7" s="333" t="s">
        <v>1810</v>
      </c>
      <c r="D7" s="376" t="s">
        <v>2926</v>
      </c>
      <c r="E7" s="377">
        <v>0</v>
      </c>
      <c r="F7" s="333" t="s">
        <v>378</v>
      </c>
      <c r="G7" s="377">
        <v>0</v>
      </c>
      <c r="H7" s="333" t="s">
        <v>378</v>
      </c>
      <c r="I7" s="377">
        <v>0</v>
      </c>
      <c r="J7" s="333" t="s">
        <v>378</v>
      </c>
      <c r="K7" s="377">
        <v>15461</v>
      </c>
      <c r="L7" s="333" t="s">
        <v>3244</v>
      </c>
      <c r="M7" s="377">
        <v>0</v>
      </c>
      <c r="N7" s="333" t="s">
        <v>378</v>
      </c>
      <c r="O7" s="377">
        <f t="shared" si="0"/>
        <v>13689.633230000001</v>
      </c>
      <c r="P7" s="377">
        <v>43456</v>
      </c>
      <c r="Q7" s="377">
        <v>0</v>
      </c>
      <c r="R7" s="377">
        <v>0</v>
      </c>
      <c r="S7" s="377">
        <v>0</v>
      </c>
      <c r="T7" s="377">
        <v>0</v>
      </c>
      <c r="U7" s="377">
        <v>20838</v>
      </c>
      <c r="V7" s="377">
        <f>SMALL(Q7:U7,COUNTIF(Q7:U7,0)+1)*$AD$3</f>
        <v>18450.590340000002</v>
      </c>
      <c r="W7" s="333" t="s">
        <v>3245</v>
      </c>
      <c r="X7" s="333" t="s">
        <v>2927</v>
      </c>
      <c r="Y7" s="329" t="s">
        <v>378</v>
      </c>
      <c r="Z7" s="329" t="s">
        <v>378</v>
      </c>
      <c r="AA7" s="378"/>
      <c r="AB7" s="329" t="s">
        <v>378</v>
      </c>
    </row>
    <row r="8" spans="1:30" ht="30" customHeight="1">
      <c r="A8" s="333" t="s">
        <v>2933</v>
      </c>
      <c r="B8" s="333" t="s">
        <v>2930</v>
      </c>
      <c r="C8" s="333" t="s">
        <v>2931</v>
      </c>
      <c r="D8" s="376" t="s">
        <v>2932</v>
      </c>
      <c r="E8" s="377">
        <v>0</v>
      </c>
      <c r="F8" s="333" t="s">
        <v>378</v>
      </c>
      <c r="G8" s="377">
        <v>1844</v>
      </c>
      <c r="H8" s="333" t="s">
        <v>3246</v>
      </c>
      <c r="I8" s="377">
        <v>1692.91</v>
      </c>
      <c r="J8" s="333" t="s">
        <v>3247</v>
      </c>
      <c r="K8" s="377">
        <v>1459</v>
      </c>
      <c r="L8" s="333" t="s">
        <v>3248</v>
      </c>
      <c r="M8" s="377">
        <v>0</v>
      </c>
      <c r="N8" s="333" t="s">
        <v>378</v>
      </c>
      <c r="O8" s="377">
        <f t="shared" si="0"/>
        <v>1291.8423700000001</v>
      </c>
      <c r="P8" s="377">
        <v>0</v>
      </c>
      <c r="Q8" s="377">
        <v>0</v>
      </c>
      <c r="R8" s="377">
        <v>0</v>
      </c>
      <c r="S8" s="377">
        <v>0</v>
      </c>
      <c r="T8" s="377">
        <v>0</v>
      </c>
      <c r="U8" s="377">
        <v>0</v>
      </c>
      <c r="V8" s="377">
        <v>0</v>
      </c>
      <c r="W8" s="333" t="s">
        <v>3249</v>
      </c>
      <c r="X8" s="333" t="s">
        <v>378</v>
      </c>
      <c r="Y8" s="329" t="s">
        <v>378</v>
      </c>
      <c r="Z8" s="329" t="s">
        <v>378</v>
      </c>
      <c r="AA8" s="378"/>
      <c r="AB8" s="329" t="s">
        <v>378</v>
      </c>
    </row>
    <row r="9" spans="1:30" ht="30" customHeight="1">
      <c r="A9" s="333" t="s">
        <v>2956</v>
      </c>
      <c r="B9" s="333" t="s">
        <v>2954</v>
      </c>
      <c r="C9" s="333" t="s">
        <v>2955</v>
      </c>
      <c r="D9" s="376" t="s">
        <v>2932</v>
      </c>
      <c r="E9" s="377">
        <v>0</v>
      </c>
      <c r="F9" s="333" t="s">
        <v>378</v>
      </c>
      <c r="G9" s="377">
        <v>1872</v>
      </c>
      <c r="H9" s="333" t="s">
        <v>3246</v>
      </c>
      <c r="I9" s="377">
        <v>1815.82</v>
      </c>
      <c r="J9" s="333" t="s">
        <v>3247</v>
      </c>
      <c r="K9" s="377">
        <v>1604</v>
      </c>
      <c r="L9" s="333" t="s">
        <v>3248</v>
      </c>
      <c r="M9" s="377">
        <v>0</v>
      </c>
      <c r="N9" s="333" t="s">
        <v>378</v>
      </c>
      <c r="O9" s="377">
        <f t="shared" si="0"/>
        <v>1420.22972</v>
      </c>
      <c r="P9" s="377">
        <v>0</v>
      </c>
      <c r="Q9" s="377">
        <v>0</v>
      </c>
      <c r="R9" s="377">
        <v>0</v>
      </c>
      <c r="S9" s="377">
        <v>0</v>
      </c>
      <c r="T9" s="377">
        <v>0</v>
      </c>
      <c r="U9" s="377">
        <v>0</v>
      </c>
      <c r="V9" s="377">
        <v>0</v>
      </c>
      <c r="W9" s="333" t="s">
        <v>3250</v>
      </c>
      <c r="X9" s="333" t="s">
        <v>378</v>
      </c>
      <c r="Y9" s="329" t="s">
        <v>378</v>
      </c>
      <c r="Z9" s="329" t="s">
        <v>378</v>
      </c>
      <c r="AA9" s="378"/>
      <c r="AB9" s="329" t="s">
        <v>378</v>
      </c>
    </row>
    <row r="10" spans="1:30" ht="30" customHeight="1">
      <c r="A10" s="333" t="s">
        <v>2239</v>
      </c>
      <c r="B10" s="333" t="s">
        <v>2237</v>
      </c>
      <c r="C10" s="333" t="s">
        <v>2238</v>
      </c>
      <c r="D10" s="376" t="s">
        <v>300</v>
      </c>
      <c r="E10" s="377">
        <v>0</v>
      </c>
      <c r="F10" s="333" t="s">
        <v>378</v>
      </c>
      <c r="G10" s="377">
        <v>959</v>
      </c>
      <c r="H10" s="333" t="s">
        <v>3251</v>
      </c>
      <c r="I10" s="377">
        <v>1000</v>
      </c>
      <c r="J10" s="333" t="s">
        <v>3252</v>
      </c>
      <c r="K10" s="377">
        <v>950</v>
      </c>
      <c r="L10" s="333" t="s">
        <v>3253</v>
      </c>
      <c r="M10" s="377">
        <v>0</v>
      </c>
      <c r="N10" s="333" t="s">
        <v>378</v>
      </c>
      <c r="O10" s="377">
        <f t="shared" si="0"/>
        <v>841.1585</v>
      </c>
      <c r="P10" s="377">
        <v>0</v>
      </c>
      <c r="Q10" s="377">
        <v>0</v>
      </c>
      <c r="R10" s="377">
        <v>0</v>
      </c>
      <c r="S10" s="377">
        <v>0</v>
      </c>
      <c r="T10" s="377">
        <v>0</v>
      </c>
      <c r="U10" s="377">
        <v>0</v>
      </c>
      <c r="V10" s="377">
        <v>0</v>
      </c>
      <c r="W10" s="333" t="s">
        <v>3254</v>
      </c>
      <c r="X10" s="333" t="s">
        <v>378</v>
      </c>
      <c r="Y10" s="329" t="s">
        <v>378</v>
      </c>
      <c r="Z10" s="329" t="s">
        <v>378</v>
      </c>
      <c r="AA10" s="378"/>
      <c r="AB10" s="329" t="s">
        <v>378</v>
      </c>
    </row>
    <row r="11" spans="1:30" s="340" customFormat="1" ht="30" customHeight="1">
      <c r="A11" s="336" t="s">
        <v>2246</v>
      </c>
      <c r="B11" s="336" t="s">
        <v>2237</v>
      </c>
      <c r="C11" s="336" t="s">
        <v>2245</v>
      </c>
      <c r="D11" s="379" t="s">
        <v>300</v>
      </c>
      <c r="E11" s="380">
        <v>787</v>
      </c>
      <c r="F11" s="336" t="s">
        <v>378</v>
      </c>
      <c r="G11" s="380"/>
      <c r="H11" s="336"/>
      <c r="I11" s="380">
        <v>1125</v>
      </c>
      <c r="J11" s="336" t="s">
        <v>3255</v>
      </c>
      <c r="K11" s="380">
        <v>12556</v>
      </c>
      <c r="L11" s="336" t="s">
        <v>3256</v>
      </c>
      <c r="M11" s="380">
        <v>0</v>
      </c>
      <c r="N11" s="336" t="s">
        <v>378</v>
      </c>
      <c r="O11" s="377">
        <f t="shared" si="0"/>
        <v>696.83341000000007</v>
      </c>
      <c r="P11" s="380">
        <v>0</v>
      </c>
      <c r="Q11" s="380">
        <v>0</v>
      </c>
      <c r="R11" s="380">
        <v>0</v>
      </c>
      <c r="S11" s="380">
        <v>0</v>
      </c>
      <c r="T11" s="380">
        <v>0</v>
      </c>
      <c r="U11" s="380">
        <v>0</v>
      </c>
      <c r="V11" s="380">
        <v>0</v>
      </c>
      <c r="W11" s="336" t="s">
        <v>3257</v>
      </c>
      <c r="X11" s="336" t="s">
        <v>378</v>
      </c>
      <c r="Y11" s="339" t="s">
        <v>378</v>
      </c>
      <c r="Z11" s="339" t="s">
        <v>378</v>
      </c>
      <c r="AA11" s="381"/>
      <c r="AB11" s="339" t="s">
        <v>378</v>
      </c>
    </row>
    <row r="12" spans="1:30" s="340" customFormat="1" ht="30" customHeight="1">
      <c r="A12" s="336" t="s">
        <v>2253</v>
      </c>
      <c r="B12" s="336" t="s">
        <v>2237</v>
      </c>
      <c r="C12" s="336" t="s">
        <v>2252</v>
      </c>
      <c r="D12" s="379" t="s">
        <v>300</v>
      </c>
      <c r="E12" s="380">
        <v>1902</v>
      </c>
      <c r="F12" s="336" t="s">
        <v>378</v>
      </c>
      <c r="G12" s="380"/>
      <c r="H12" s="336"/>
      <c r="I12" s="380">
        <v>2589</v>
      </c>
      <c r="J12" s="336" t="s">
        <v>3255</v>
      </c>
      <c r="K12" s="380">
        <v>3053</v>
      </c>
      <c r="L12" s="336" t="s">
        <v>3256</v>
      </c>
      <c r="M12" s="380">
        <v>0</v>
      </c>
      <c r="N12" s="336" t="s">
        <v>378</v>
      </c>
      <c r="O12" s="377">
        <f t="shared" si="0"/>
        <v>1684.0878600000001</v>
      </c>
      <c r="P12" s="380">
        <v>0</v>
      </c>
      <c r="Q12" s="380">
        <v>0</v>
      </c>
      <c r="R12" s="380">
        <v>0</v>
      </c>
      <c r="S12" s="380">
        <v>0</v>
      </c>
      <c r="T12" s="380">
        <v>0</v>
      </c>
      <c r="U12" s="380">
        <v>0</v>
      </c>
      <c r="V12" s="380">
        <v>0</v>
      </c>
      <c r="W12" s="336" t="s">
        <v>3258</v>
      </c>
      <c r="X12" s="336" t="s">
        <v>378</v>
      </c>
      <c r="Y12" s="339" t="s">
        <v>378</v>
      </c>
      <c r="Z12" s="339" t="s">
        <v>378</v>
      </c>
      <c r="AA12" s="381"/>
      <c r="AB12" s="339" t="s">
        <v>378</v>
      </c>
    </row>
    <row r="13" spans="1:30" s="340" customFormat="1" ht="30" customHeight="1">
      <c r="A13" s="336" t="s">
        <v>2668</v>
      </c>
      <c r="B13" s="336" t="s">
        <v>2237</v>
      </c>
      <c r="C13" s="336" t="s">
        <v>2667</v>
      </c>
      <c r="D13" s="379" t="s">
        <v>300</v>
      </c>
      <c r="E13" s="380">
        <v>10017</v>
      </c>
      <c r="F13" s="336" t="s">
        <v>378</v>
      </c>
      <c r="G13" s="380"/>
      <c r="H13" s="336"/>
      <c r="I13" s="380">
        <v>14471</v>
      </c>
      <c r="J13" s="336" t="s">
        <v>3255</v>
      </c>
      <c r="K13" s="380">
        <v>17082</v>
      </c>
      <c r="L13" s="336" t="s">
        <v>3256</v>
      </c>
      <c r="M13" s="380">
        <v>0</v>
      </c>
      <c r="N13" s="336" t="s">
        <v>378</v>
      </c>
      <c r="O13" s="377">
        <f t="shared" si="0"/>
        <v>8869.3523100000002</v>
      </c>
      <c r="P13" s="380">
        <v>0</v>
      </c>
      <c r="Q13" s="380">
        <v>0</v>
      </c>
      <c r="R13" s="380">
        <v>0</v>
      </c>
      <c r="S13" s="380">
        <v>0</v>
      </c>
      <c r="T13" s="380">
        <v>0</v>
      </c>
      <c r="U13" s="380">
        <v>0</v>
      </c>
      <c r="V13" s="380">
        <v>0</v>
      </c>
      <c r="W13" s="336" t="s">
        <v>3259</v>
      </c>
      <c r="X13" s="336" t="s">
        <v>378</v>
      </c>
      <c r="Y13" s="339" t="s">
        <v>378</v>
      </c>
      <c r="Z13" s="339" t="s">
        <v>378</v>
      </c>
      <c r="AA13" s="381"/>
      <c r="AB13" s="339" t="s">
        <v>378</v>
      </c>
    </row>
    <row r="14" spans="1:30" ht="30" customHeight="1">
      <c r="A14" s="333" t="s">
        <v>2267</v>
      </c>
      <c r="B14" s="333" t="s">
        <v>2237</v>
      </c>
      <c r="C14" s="333" t="s">
        <v>2266</v>
      </c>
      <c r="D14" s="376" t="s">
        <v>300</v>
      </c>
      <c r="E14" s="377">
        <v>0</v>
      </c>
      <c r="F14" s="333" t="s">
        <v>378</v>
      </c>
      <c r="G14" s="377">
        <v>25945</v>
      </c>
      <c r="H14" s="333" t="s">
        <v>3251</v>
      </c>
      <c r="I14" s="377">
        <v>26819</v>
      </c>
      <c r="J14" s="333" t="s">
        <v>3252</v>
      </c>
      <c r="K14" s="377">
        <v>26100</v>
      </c>
      <c r="L14" s="333" t="s">
        <v>3253</v>
      </c>
      <c r="M14" s="377">
        <v>0</v>
      </c>
      <c r="N14" s="333" t="s">
        <v>378</v>
      </c>
      <c r="O14" s="377">
        <f t="shared" si="0"/>
        <v>22972.481350000002</v>
      </c>
      <c r="P14" s="377">
        <v>0</v>
      </c>
      <c r="Q14" s="377">
        <v>0</v>
      </c>
      <c r="R14" s="377">
        <v>0</v>
      </c>
      <c r="S14" s="377">
        <v>0</v>
      </c>
      <c r="T14" s="377">
        <v>0</v>
      </c>
      <c r="U14" s="377">
        <v>0</v>
      </c>
      <c r="V14" s="377">
        <v>0</v>
      </c>
      <c r="W14" s="333" t="s">
        <v>3260</v>
      </c>
      <c r="X14" s="333" t="s">
        <v>378</v>
      </c>
      <c r="Y14" s="329" t="s">
        <v>378</v>
      </c>
      <c r="Z14" s="329" t="s">
        <v>378</v>
      </c>
      <c r="AA14" s="378"/>
      <c r="AB14" s="329" t="s">
        <v>378</v>
      </c>
    </row>
    <row r="15" spans="1:30" ht="30" customHeight="1">
      <c r="A15" s="333" t="s">
        <v>2260</v>
      </c>
      <c r="B15" s="333" t="s">
        <v>2237</v>
      </c>
      <c r="C15" s="333" t="s">
        <v>2259</v>
      </c>
      <c r="D15" s="376" t="s">
        <v>300</v>
      </c>
      <c r="E15" s="377">
        <v>0</v>
      </c>
      <c r="F15" s="333" t="s">
        <v>378</v>
      </c>
      <c r="G15" s="377">
        <v>3854</v>
      </c>
      <c r="H15" s="333" t="s">
        <v>3251</v>
      </c>
      <c r="I15" s="377">
        <v>4023</v>
      </c>
      <c r="J15" s="333" t="s">
        <v>3252</v>
      </c>
      <c r="K15" s="377">
        <v>3780</v>
      </c>
      <c r="L15" s="333" t="s">
        <v>3253</v>
      </c>
      <c r="M15" s="377">
        <v>0</v>
      </c>
      <c r="N15" s="333" t="s">
        <v>378</v>
      </c>
      <c r="O15" s="377">
        <f t="shared" si="0"/>
        <v>3346.9254000000001</v>
      </c>
      <c r="P15" s="377">
        <v>0</v>
      </c>
      <c r="Q15" s="377">
        <v>0</v>
      </c>
      <c r="R15" s="377">
        <v>0</v>
      </c>
      <c r="S15" s="377">
        <v>0</v>
      </c>
      <c r="T15" s="377">
        <v>0</v>
      </c>
      <c r="U15" s="377">
        <v>0</v>
      </c>
      <c r="V15" s="377">
        <v>0</v>
      </c>
      <c r="W15" s="333" t="s">
        <v>3261</v>
      </c>
      <c r="X15" s="333" t="s">
        <v>378</v>
      </c>
      <c r="Y15" s="329" t="s">
        <v>378</v>
      </c>
      <c r="Z15" s="329" t="s">
        <v>378</v>
      </c>
      <c r="AA15" s="378"/>
      <c r="AB15" s="329" t="s">
        <v>378</v>
      </c>
    </row>
    <row r="16" spans="1:30" ht="30" customHeight="1">
      <c r="A16" s="333" t="s">
        <v>2274</v>
      </c>
      <c r="B16" s="333" t="s">
        <v>2272</v>
      </c>
      <c r="C16" s="333" t="s">
        <v>2273</v>
      </c>
      <c r="D16" s="376" t="s">
        <v>300</v>
      </c>
      <c r="E16" s="377">
        <v>0</v>
      </c>
      <c r="F16" s="333" t="s">
        <v>378</v>
      </c>
      <c r="G16" s="377">
        <v>8872</v>
      </c>
      <c r="H16" s="333" t="s">
        <v>3262</v>
      </c>
      <c r="I16" s="377">
        <v>8258</v>
      </c>
      <c r="J16" s="333" t="s">
        <v>3263</v>
      </c>
      <c r="K16" s="377">
        <v>7900</v>
      </c>
      <c r="L16" s="333" t="s">
        <v>3253</v>
      </c>
      <c r="M16" s="377">
        <v>0</v>
      </c>
      <c r="N16" s="333" t="s">
        <v>378</v>
      </c>
      <c r="O16" s="377">
        <f t="shared" si="0"/>
        <v>6994.8970000000008</v>
      </c>
      <c r="P16" s="377">
        <v>0</v>
      </c>
      <c r="Q16" s="377">
        <v>0</v>
      </c>
      <c r="R16" s="377">
        <v>0</v>
      </c>
      <c r="S16" s="377">
        <v>0</v>
      </c>
      <c r="T16" s="377">
        <v>0</v>
      </c>
      <c r="U16" s="377">
        <v>0</v>
      </c>
      <c r="V16" s="377">
        <v>0</v>
      </c>
      <c r="W16" s="333" t="s">
        <v>3264</v>
      </c>
      <c r="X16" s="333" t="s">
        <v>378</v>
      </c>
      <c r="Y16" s="329" t="s">
        <v>378</v>
      </c>
      <c r="Z16" s="329" t="s">
        <v>378</v>
      </c>
      <c r="AA16" s="378"/>
      <c r="AB16" s="329" t="s">
        <v>378</v>
      </c>
    </row>
    <row r="17" spans="1:28" s="340" customFormat="1" ht="30" customHeight="1">
      <c r="A17" s="336" t="s">
        <v>2675</v>
      </c>
      <c r="B17" s="336" t="s">
        <v>2272</v>
      </c>
      <c r="C17" s="336" t="s">
        <v>2674</v>
      </c>
      <c r="D17" s="379" t="s">
        <v>300</v>
      </c>
      <c r="E17" s="380">
        <v>17378</v>
      </c>
      <c r="F17" s="336" t="s">
        <v>378</v>
      </c>
      <c r="G17" s="380"/>
      <c r="H17" s="336"/>
      <c r="I17" s="380">
        <v>20619</v>
      </c>
      <c r="J17" s="336" t="s">
        <v>3265</v>
      </c>
      <c r="K17" s="380">
        <v>26231</v>
      </c>
      <c r="L17" s="336" t="s">
        <v>3256</v>
      </c>
      <c r="M17" s="380">
        <v>0</v>
      </c>
      <c r="N17" s="336" t="s">
        <v>378</v>
      </c>
      <c r="O17" s="377">
        <f t="shared" si="0"/>
        <v>15387.002540000001</v>
      </c>
      <c r="P17" s="380">
        <v>0</v>
      </c>
      <c r="Q17" s="380">
        <v>0</v>
      </c>
      <c r="R17" s="380">
        <v>0</v>
      </c>
      <c r="S17" s="380">
        <v>0</v>
      </c>
      <c r="T17" s="380">
        <v>0</v>
      </c>
      <c r="U17" s="380">
        <v>0</v>
      </c>
      <c r="V17" s="380">
        <v>0</v>
      </c>
      <c r="W17" s="336" t="s">
        <v>3266</v>
      </c>
      <c r="X17" s="336" t="s">
        <v>378</v>
      </c>
      <c r="Y17" s="339" t="s">
        <v>378</v>
      </c>
      <c r="Z17" s="339" t="s">
        <v>378</v>
      </c>
      <c r="AA17" s="381"/>
      <c r="AB17" s="339" t="s">
        <v>378</v>
      </c>
    </row>
    <row r="18" spans="1:28" ht="30" customHeight="1">
      <c r="A18" s="333" t="s">
        <v>2284</v>
      </c>
      <c r="B18" s="333" t="s">
        <v>2272</v>
      </c>
      <c r="C18" s="333" t="s">
        <v>2283</v>
      </c>
      <c r="D18" s="376" t="s">
        <v>300</v>
      </c>
      <c r="E18" s="377">
        <v>0</v>
      </c>
      <c r="F18" s="333" t="s">
        <v>378</v>
      </c>
      <c r="G18" s="377">
        <v>31693</v>
      </c>
      <c r="H18" s="333" t="s">
        <v>3262</v>
      </c>
      <c r="I18" s="377">
        <v>30066</v>
      </c>
      <c r="J18" s="333" t="s">
        <v>3263</v>
      </c>
      <c r="K18" s="377">
        <v>29618</v>
      </c>
      <c r="L18" s="333" t="s">
        <v>3253</v>
      </c>
      <c r="M18" s="377">
        <v>0</v>
      </c>
      <c r="N18" s="333" t="s">
        <v>378</v>
      </c>
      <c r="O18" s="377">
        <f t="shared" si="0"/>
        <v>26224.66574</v>
      </c>
      <c r="P18" s="377">
        <v>0</v>
      </c>
      <c r="Q18" s="377">
        <v>0</v>
      </c>
      <c r="R18" s="377">
        <v>0</v>
      </c>
      <c r="S18" s="377">
        <v>0</v>
      </c>
      <c r="T18" s="377">
        <v>0</v>
      </c>
      <c r="U18" s="377">
        <v>0</v>
      </c>
      <c r="V18" s="377">
        <v>0</v>
      </c>
      <c r="W18" s="333" t="s">
        <v>3267</v>
      </c>
      <c r="X18" s="333" t="s">
        <v>378</v>
      </c>
      <c r="Y18" s="329" t="s">
        <v>378</v>
      </c>
      <c r="Z18" s="329" t="s">
        <v>378</v>
      </c>
      <c r="AA18" s="378"/>
      <c r="AB18" s="329" t="s">
        <v>378</v>
      </c>
    </row>
    <row r="19" spans="1:28" s="340" customFormat="1" ht="30" customHeight="1">
      <c r="A19" s="336" t="s">
        <v>2291</v>
      </c>
      <c r="B19" s="336" t="s">
        <v>2272</v>
      </c>
      <c r="C19" s="336" t="s">
        <v>2290</v>
      </c>
      <c r="D19" s="379" t="s">
        <v>300</v>
      </c>
      <c r="E19" s="380">
        <v>1640</v>
      </c>
      <c r="F19" s="336" t="s">
        <v>378</v>
      </c>
      <c r="G19" s="380"/>
      <c r="H19" s="336"/>
      <c r="I19" s="380">
        <v>2174</v>
      </c>
      <c r="J19" s="336" t="s">
        <v>3265</v>
      </c>
      <c r="K19" s="380">
        <v>1880</v>
      </c>
      <c r="L19" s="336" t="s">
        <v>3256</v>
      </c>
      <c r="M19" s="380">
        <v>0</v>
      </c>
      <c r="N19" s="336" t="s">
        <v>378</v>
      </c>
      <c r="O19" s="377">
        <f t="shared" si="0"/>
        <v>1452.1052000000002</v>
      </c>
      <c r="P19" s="380">
        <v>0</v>
      </c>
      <c r="Q19" s="380">
        <v>0</v>
      </c>
      <c r="R19" s="380">
        <v>0</v>
      </c>
      <c r="S19" s="380">
        <v>0</v>
      </c>
      <c r="T19" s="380">
        <v>0</v>
      </c>
      <c r="U19" s="380">
        <v>0</v>
      </c>
      <c r="V19" s="380">
        <v>0</v>
      </c>
      <c r="W19" s="336" t="s">
        <v>3268</v>
      </c>
      <c r="X19" s="336" t="s">
        <v>378</v>
      </c>
      <c r="Y19" s="339" t="s">
        <v>378</v>
      </c>
      <c r="Z19" s="339" t="s">
        <v>378</v>
      </c>
      <c r="AA19" s="381"/>
      <c r="AB19" s="339" t="s">
        <v>378</v>
      </c>
    </row>
    <row r="20" spans="1:28" s="340" customFormat="1" ht="30" customHeight="1">
      <c r="A20" s="336" t="s">
        <v>2531</v>
      </c>
      <c r="B20" s="336" t="s">
        <v>2272</v>
      </c>
      <c r="C20" s="336" t="s">
        <v>2530</v>
      </c>
      <c r="D20" s="379" t="s">
        <v>300</v>
      </c>
      <c r="E20" s="380">
        <v>2159</v>
      </c>
      <c r="F20" s="336" t="s">
        <v>378</v>
      </c>
      <c r="G20" s="380"/>
      <c r="H20" s="336"/>
      <c r="I20" s="380">
        <v>2534</v>
      </c>
      <c r="J20" s="336" t="s">
        <v>3265</v>
      </c>
      <c r="K20" s="380">
        <v>2697</v>
      </c>
      <c r="L20" s="336" t="s">
        <v>3256</v>
      </c>
      <c r="M20" s="380">
        <v>0</v>
      </c>
      <c r="N20" s="336" t="s">
        <v>378</v>
      </c>
      <c r="O20" s="377">
        <f t="shared" si="0"/>
        <v>1911.64337</v>
      </c>
      <c r="P20" s="380">
        <v>0</v>
      </c>
      <c r="Q20" s="380">
        <v>0</v>
      </c>
      <c r="R20" s="380">
        <v>0</v>
      </c>
      <c r="S20" s="380">
        <v>0</v>
      </c>
      <c r="T20" s="380">
        <v>0</v>
      </c>
      <c r="U20" s="380">
        <v>0</v>
      </c>
      <c r="V20" s="380">
        <v>0</v>
      </c>
      <c r="W20" s="336" t="s">
        <v>3269</v>
      </c>
      <c r="X20" s="336" t="s">
        <v>378</v>
      </c>
      <c r="Y20" s="339" t="s">
        <v>378</v>
      </c>
      <c r="Z20" s="339" t="s">
        <v>378</v>
      </c>
      <c r="AA20" s="381"/>
      <c r="AB20" s="339" t="s">
        <v>378</v>
      </c>
    </row>
    <row r="21" spans="1:28" ht="30" customHeight="1">
      <c r="A21" s="333" t="s">
        <v>2753</v>
      </c>
      <c r="B21" s="333" t="s">
        <v>2272</v>
      </c>
      <c r="C21" s="333" t="s">
        <v>2752</v>
      </c>
      <c r="D21" s="376" t="s">
        <v>300</v>
      </c>
      <c r="E21" s="377">
        <v>0</v>
      </c>
      <c r="F21" s="333" t="s">
        <v>378</v>
      </c>
      <c r="G21" s="377">
        <v>3728</v>
      </c>
      <c r="H21" s="333" t="s">
        <v>3262</v>
      </c>
      <c r="I21" s="377">
        <v>3323</v>
      </c>
      <c r="J21" s="333" t="s">
        <v>3263</v>
      </c>
      <c r="K21" s="377">
        <v>3400</v>
      </c>
      <c r="L21" s="333" t="s">
        <v>3253</v>
      </c>
      <c r="M21" s="377">
        <v>0</v>
      </c>
      <c r="N21" s="333" t="s">
        <v>378</v>
      </c>
      <c r="O21" s="377">
        <f t="shared" si="0"/>
        <v>2942.2838900000002</v>
      </c>
      <c r="P21" s="377">
        <v>0</v>
      </c>
      <c r="Q21" s="377">
        <v>0</v>
      </c>
      <c r="R21" s="377">
        <v>0</v>
      </c>
      <c r="S21" s="377">
        <v>0</v>
      </c>
      <c r="T21" s="377">
        <v>0</v>
      </c>
      <c r="U21" s="377">
        <v>0</v>
      </c>
      <c r="V21" s="377">
        <v>0</v>
      </c>
      <c r="W21" s="333" t="s">
        <v>3270</v>
      </c>
      <c r="X21" s="333" t="s">
        <v>378</v>
      </c>
      <c r="Y21" s="329" t="s">
        <v>378</v>
      </c>
      <c r="Z21" s="329" t="s">
        <v>378</v>
      </c>
      <c r="AA21" s="378"/>
      <c r="AB21" s="329" t="s">
        <v>378</v>
      </c>
    </row>
    <row r="22" spans="1:28" s="340" customFormat="1" ht="30" customHeight="1">
      <c r="A22" s="336" t="s">
        <v>2298</v>
      </c>
      <c r="B22" s="336" t="s">
        <v>2272</v>
      </c>
      <c r="C22" s="336" t="s">
        <v>2297</v>
      </c>
      <c r="D22" s="379" t="s">
        <v>300</v>
      </c>
      <c r="E22" s="380">
        <v>3786</v>
      </c>
      <c r="F22" s="336" t="s">
        <v>378</v>
      </c>
      <c r="G22" s="380"/>
      <c r="H22" s="336"/>
      <c r="I22" s="380">
        <v>5002</v>
      </c>
      <c r="J22" s="336" t="s">
        <v>3265</v>
      </c>
      <c r="K22" s="380">
        <v>4980</v>
      </c>
      <c r="L22" s="336" t="s">
        <v>3256</v>
      </c>
      <c r="M22" s="380">
        <v>0</v>
      </c>
      <c r="N22" s="336" t="s">
        <v>378</v>
      </c>
      <c r="O22" s="377">
        <f t="shared" si="0"/>
        <v>3352.2379800000003</v>
      </c>
      <c r="P22" s="380">
        <v>0</v>
      </c>
      <c r="Q22" s="380">
        <v>0</v>
      </c>
      <c r="R22" s="380">
        <v>0</v>
      </c>
      <c r="S22" s="380">
        <v>0</v>
      </c>
      <c r="T22" s="380">
        <v>0</v>
      </c>
      <c r="U22" s="380">
        <v>0</v>
      </c>
      <c r="V22" s="380">
        <v>0</v>
      </c>
      <c r="W22" s="336" t="s">
        <v>3271</v>
      </c>
      <c r="X22" s="336" t="s">
        <v>378</v>
      </c>
      <c r="Y22" s="339" t="s">
        <v>378</v>
      </c>
      <c r="Z22" s="339" t="s">
        <v>378</v>
      </c>
      <c r="AA22" s="381"/>
      <c r="AB22" s="339" t="s">
        <v>378</v>
      </c>
    </row>
    <row r="23" spans="1:28" ht="30" customHeight="1">
      <c r="A23" s="333" t="s">
        <v>2305</v>
      </c>
      <c r="B23" s="333" t="s">
        <v>2272</v>
      </c>
      <c r="C23" s="333" t="s">
        <v>2304</v>
      </c>
      <c r="D23" s="376" t="s">
        <v>300</v>
      </c>
      <c r="E23" s="377">
        <v>0</v>
      </c>
      <c r="F23" s="333" t="s">
        <v>378</v>
      </c>
      <c r="G23" s="377">
        <v>12792</v>
      </c>
      <c r="H23" s="333" t="s">
        <v>3262</v>
      </c>
      <c r="I23" s="377">
        <v>11906</v>
      </c>
      <c r="J23" s="333" t="s">
        <v>3263</v>
      </c>
      <c r="K23" s="377">
        <v>11100</v>
      </c>
      <c r="L23" s="333" t="s">
        <v>3253</v>
      </c>
      <c r="M23" s="377">
        <v>0</v>
      </c>
      <c r="N23" s="333" t="s">
        <v>378</v>
      </c>
      <c r="O23" s="377">
        <f t="shared" si="0"/>
        <v>9828.273000000001</v>
      </c>
      <c r="P23" s="377">
        <v>0</v>
      </c>
      <c r="Q23" s="377">
        <v>0</v>
      </c>
      <c r="R23" s="377">
        <v>0</v>
      </c>
      <c r="S23" s="377">
        <v>0</v>
      </c>
      <c r="T23" s="377">
        <v>0</v>
      </c>
      <c r="U23" s="377">
        <v>0</v>
      </c>
      <c r="V23" s="377">
        <v>0</v>
      </c>
      <c r="W23" s="333" t="s">
        <v>3272</v>
      </c>
      <c r="X23" s="333" t="s">
        <v>378</v>
      </c>
      <c r="Y23" s="329" t="s">
        <v>378</v>
      </c>
      <c r="Z23" s="329" t="s">
        <v>378</v>
      </c>
      <c r="AA23" s="378"/>
      <c r="AB23" s="329" t="s">
        <v>378</v>
      </c>
    </row>
    <row r="24" spans="1:28" ht="30" customHeight="1">
      <c r="A24" s="333" t="s">
        <v>2682</v>
      </c>
      <c r="B24" s="333" t="s">
        <v>2272</v>
      </c>
      <c r="C24" s="333" t="s">
        <v>2681</v>
      </c>
      <c r="D24" s="376" t="s">
        <v>300</v>
      </c>
      <c r="E24" s="377">
        <v>0</v>
      </c>
      <c r="F24" s="333" t="s">
        <v>378</v>
      </c>
      <c r="G24" s="377">
        <v>19749</v>
      </c>
      <c r="H24" s="333" t="s">
        <v>3262</v>
      </c>
      <c r="I24" s="377">
        <v>18381</v>
      </c>
      <c r="J24" s="333" t="s">
        <v>3263</v>
      </c>
      <c r="K24" s="377">
        <v>17491</v>
      </c>
      <c r="L24" s="333" t="s">
        <v>3253</v>
      </c>
      <c r="M24" s="377">
        <v>0</v>
      </c>
      <c r="N24" s="333" t="s">
        <v>378</v>
      </c>
      <c r="O24" s="377">
        <f t="shared" si="0"/>
        <v>15487.056130000001</v>
      </c>
      <c r="P24" s="377">
        <v>0</v>
      </c>
      <c r="Q24" s="377">
        <v>0</v>
      </c>
      <c r="R24" s="377">
        <v>0</v>
      </c>
      <c r="S24" s="377">
        <v>0</v>
      </c>
      <c r="T24" s="377">
        <v>0</v>
      </c>
      <c r="U24" s="377">
        <v>0</v>
      </c>
      <c r="V24" s="377">
        <v>0</v>
      </c>
      <c r="W24" s="333" t="s">
        <v>3273</v>
      </c>
      <c r="X24" s="333" t="s">
        <v>378</v>
      </c>
      <c r="Y24" s="329" t="s">
        <v>378</v>
      </c>
      <c r="Z24" s="329" t="s">
        <v>378</v>
      </c>
      <c r="AA24" s="378"/>
      <c r="AB24" s="329" t="s">
        <v>378</v>
      </c>
    </row>
    <row r="25" spans="1:28" s="340" customFormat="1" ht="30" customHeight="1">
      <c r="A25" s="336" t="s">
        <v>2810</v>
      </c>
      <c r="B25" s="336" t="s">
        <v>2745</v>
      </c>
      <c r="C25" s="336" t="s">
        <v>2809</v>
      </c>
      <c r="D25" s="379" t="s">
        <v>300</v>
      </c>
      <c r="E25" s="380">
        <v>454</v>
      </c>
      <c r="F25" s="336" t="s">
        <v>378</v>
      </c>
      <c r="G25" s="380"/>
      <c r="H25" s="336"/>
      <c r="I25" s="380">
        <v>622</v>
      </c>
      <c r="J25" s="336" t="s">
        <v>3255</v>
      </c>
      <c r="K25" s="380">
        <v>500</v>
      </c>
      <c r="L25" s="336" t="s">
        <v>3274</v>
      </c>
      <c r="M25" s="380">
        <v>0</v>
      </c>
      <c r="N25" s="336" t="s">
        <v>378</v>
      </c>
      <c r="O25" s="377">
        <f t="shared" si="0"/>
        <v>401.98522000000003</v>
      </c>
      <c r="P25" s="380">
        <v>0</v>
      </c>
      <c r="Q25" s="380">
        <v>0</v>
      </c>
      <c r="R25" s="380">
        <v>0</v>
      </c>
      <c r="S25" s="380">
        <v>0</v>
      </c>
      <c r="T25" s="380">
        <v>0</v>
      </c>
      <c r="U25" s="380">
        <v>0</v>
      </c>
      <c r="V25" s="380">
        <v>0</v>
      </c>
      <c r="W25" s="336" t="s">
        <v>3275</v>
      </c>
      <c r="X25" s="336" t="s">
        <v>378</v>
      </c>
      <c r="Y25" s="339" t="s">
        <v>378</v>
      </c>
      <c r="Z25" s="339" t="s">
        <v>378</v>
      </c>
      <c r="AA25" s="381"/>
      <c r="AB25" s="339" t="s">
        <v>378</v>
      </c>
    </row>
    <row r="26" spans="1:28" s="340" customFormat="1" ht="30" customHeight="1">
      <c r="A26" s="336" t="s">
        <v>2747</v>
      </c>
      <c r="B26" s="336" t="s">
        <v>2745</v>
      </c>
      <c r="C26" s="336" t="s">
        <v>2746</v>
      </c>
      <c r="D26" s="379" t="s">
        <v>300</v>
      </c>
      <c r="E26" s="380">
        <v>699</v>
      </c>
      <c r="F26" s="336" t="s">
        <v>378</v>
      </c>
      <c r="G26" s="380"/>
      <c r="H26" s="336"/>
      <c r="I26" s="380">
        <v>969</v>
      </c>
      <c r="J26" s="336" t="s">
        <v>3276</v>
      </c>
      <c r="K26" s="380">
        <v>773</v>
      </c>
      <c r="L26" s="336" t="s">
        <v>3274</v>
      </c>
      <c r="M26" s="380">
        <v>0</v>
      </c>
      <c r="N26" s="336" t="s">
        <v>378</v>
      </c>
      <c r="O26" s="377">
        <f t="shared" si="0"/>
        <v>618.91557</v>
      </c>
      <c r="P26" s="380">
        <v>0</v>
      </c>
      <c r="Q26" s="380">
        <v>0</v>
      </c>
      <c r="R26" s="380">
        <v>0</v>
      </c>
      <c r="S26" s="380">
        <v>0</v>
      </c>
      <c r="T26" s="380">
        <v>0</v>
      </c>
      <c r="U26" s="380">
        <v>0</v>
      </c>
      <c r="V26" s="380">
        <v>0</v>
      </c>
      <c r="W26" s="336" t="s">
        <v>3277</v>
      </c>
      <c r="X26" s="336" t="s">
        <v>378</v>
      </c>
      <c r="Y26" s="339" t="s">
        <v>378</v>
      </c>
      <c r="Z26" s="339" t="s">
        <v>378</v>
      </c>
      <c r="AA26" s="381"/>
      <c r="AB26" s="339" t="s">
        <v>378</v>
      </c>
    </row>
    <row r="27" spans="1:28" ht="30" customHeight="1">
      <c r="A27" s="333" t="s">
        <v>2442</v>
      </c>
      <c r="B27" s="333" t="s">
        <v>2441</v>
      </c>
      <c r="C27" s="333" t="s">
        <v>2441</v>
      </c>
      <c r="D27" s="376" t="s">
        <v>343</v>
      </c>
      <c r="E27" s="377">
        <v>0</v>
      </c>
      <c r="F27" s="333" t="s">
        <v>378</v>
      </c>
      <c r="G27" s="377">
        <v>87800</v>
      </c>
      <c r="H27" s="333" t="s">
        <v>3278</v>
      </c>
      <c r="I27" s="377">
        <v>0</v>
      </c>
      <c r="J27" s="333" t="s">
        <v>378</v>
      </c>
      <c r="K27" s="377">
        <v>87200</v>
      </c>
      <c r="L27" s="333" t="s">
        <v>3279</v>
      </c>
      <c r="M27" s="377">
        <v>0</v>
      </c>
      <c r="N27" s="333" t="s">
        <v>378</v>
      </c>
      <c r="O27" s="377">
        <f t="shared" si="0"/>
        <v>77209.495999999999</v>
      </c>
      <c r="P27" s="377">
        <v>0</v>
      </c>
      <c r="Q27" s="377">
        <v>0</v>
      </c>
      <c r="R27" s="377">
        <v>0</v>
      </c>
      <c r="S27" s="377">
        <v>0</v>
      </c>
      <c r="T27" s="377">
        <v>0</v>
      </c>
      <c r="U27" s="377">
        <v>0</v>
      </c>
      <c r="V27" s="377">
        <v>0</v>
      </c>
      <c r="W27" s="333" t="s">
        <v>3280</v>
      </c>
      <c r="X27" s="333" t="s">
        <v>378</v>
      </c>
      <c r="Y27" s="329" t="s">
        <v>378</v>
      </c>
      <c r="Z27" s="329" t="s">
        <v>378</v>
      </c>
      <c r="AA27" s="378"/>
      <c r="AB27" s="329" t="s">
        <v>378</v>
      </c>
    </row>
    <row r="28" spans="1:28" ht="30" customHeight="1">
      <c r="A28" s="333" t="s">
        <v>2494</v>
      </c>
      <c r="B28" s="333" t="s">
        <v>356</v>
      </c>
      <c r="C28" s="333" t="s">
        <v>2493</v>
      </c>
      <c r="D28" s="376" t="s">
        <v>262</v>
      </c>
      <c r="E28" s="377">
        <v>0</v>
      </c>
      <c r="F28" s="333" t="s">
        <v>378</v>
      </c>
      <c r="G28" s="377">
        <v>370000</v>
      </c>
      <c r="H28" s="333" t="s">
        <v>3281</v>
      </c>
      <c r="I28" s="377">
        <v>440000</v>
      </c>
      <c r="J28" s="333" t="s">
        <v>3282</v>
      </c>
      <c r="K28" s="377">
        <v>0</v>
      </c>
      <c r="L28" s="333" t="s">
        <v>378</v>
      </c>
      <c r="M28" s="377">
        <v>0</v>
      </c>
      <c r="N28" s="333" t="s">
        <v>378</v>
      </c>
      <c r="O28" s="377">
        <f t="shared" si="0"/>
        <v>327609.10000000003</v>
      </c>
      <c r="P28" s="377">
        <v>0</v>
      </c>
      <c r="Q28" s="377">
        <v>0</v>
      </c>
      <c r="R28" s="377">
        <v>0</v>
      </c>
      <c r="S28" s="377">
        <v>0</v>
      </c>
      <c r="T28" s="377">
        <v>0</v>
      </c>
      <c r="U28" s="377">
        <v>0</v>
      </c>
      <c r="V28" s="377">
        <v>0</v>
      </c>
      <c r="W28" s="333" t="s">
        <v>3283</v>
      </c>
      <c r="X28" s="333" t="s">
        <v>378</v>
      </c>
      <c r="Y28" s="329" t="s">
        <v>378</v>
      </c>
      <c r="Z28" s="329" t="s">
        <v>378</v>
      </c>
      <c r="AA28" s="378"/>
      <c r="AB28" s="329" t="s">
        <v>378</v>
      </c>
    </row>
    <row r="29" spans="1:28" ht="30" customHeight="1">
      <c r="A29" s="333" t="s">
        <v>2344</v>
      </c>
      <c r="B29" s="333" t="s">
        <v>1870</v>
      </c>
      <c r="C29" s="333" t="s">
        <v>2343</v>
      </c>
      <c r="D29" s="376" t="s">
        <v>262</v>
      </c>
      <c r="E29" s="377">
        <v>0</v>
      </c>
      <c r="F29" s="333" t="s">
        <v>378</v>
      </c>
      <c r="G29" s="377">
        <v>95000</v>
      </c>
      <c r="H29" s="333" t="s">
        <v>3284</v>
      </c>
      <c r="I29" s="377">
        <v>0</v>
      </c>
      <c r="J29" s="333" t="s">
        <v>378</v>
      </c>
      <c r="K29" s="377">
        <v>95000</v>
      </c>
      <c r="L29" s="333" t="s">
        <v>3285</v>
      </c>
      <c r="M29" s="377">
        <v>0</v>
      </c>
      <c r="N29" s="333" t="s">
        <v>378</v>
      </c>
      <c r="O29" s="377">
        <f t="shared" si="0"/>
        <v>84115.85</v>
      </c>
      <c r="P29" s="377">
        <v>0</v>
      </c>
      <c r="Q29" s="377">
        <v>0</v>
      </c>
      <c r="R29" s="377">
        <v>0</v>
      </c>
      <c r="S29" s="377">
        <v>0</v>
      </c>
      <c r="T29" s="377">
        <v>0</v>
      </c>
      <c r="U29" s="377">
        <v>0</v>
      </c>
      <c r="V29" s="377">
        <v>0</v>
      </c>
      <c r="W29" s="333" t="s">
        <v>3286</v>
      </c>
      <c r="X29" s="333" t="s">
        <v>378</v>
      </c>
      <c r="Y29" s="329" t="s">
        <v>378</v>
      </c>
      <c r="Z29" s="329" t="s">
        <v>378</v>
      </c>
      <c r="AA29" s="378"/>
      <c r="AB29" s="329" t="s">
        <v>378</v>
      </c>
    </row>
    <row r="30" spans="1:28" ht="30" customHeight="1">
      <c r="A30" s="333" t="s">
        <v>2346</v>
      </c>
      <c r="B30" s="333" t="s">
        <v>1867</v>
      </c>
      <c r="C30" s="333" t="s">
        <v>1868</v>
      </c>
      <c r="D30" s="376" t="s">
        <v>262</v>
      </c>
      <c r="E30" s="377">
        <v>0</v>
      </c>
      <c r="F30" s="333" t="s">
        <v>378</v>
      </c>
      <c r="G30" s="377">
        <v>540000</v>
      </c>
      <c r="H30" s="333" t="s">
        <v>3281</v>
      </c>
      <c r="I30" s="377">
        <v>620000</v>
      </c>
      <c r="J30" s="333" t="s">
        <v>3287</v>
      </c>
      <c r="K30" s="377">
        <v>540000</v>
      </c>
      <c r="L30" s="333" t="s">
        <v>3288</v>
      </c>
      <c r="M30" s="377">
        <v>0</v>
      </c>
      <c r="N30" s="333" t="s">
        <v>378</v>
      </c>
      <c r="O30" s="377">
        <f t="shared" si="0"/>
        <v>478132.2</v>
      </c>
      <c r="P30" s="377">
        <v>0</v>
      </c>
      <c r="Q30" s="377">
        <v>0</v>
      </c>
      <c r="R30" s="377">
        <v>0</v>
      </c>
      <c r="S30" s="377">
        <v>0</v>
      </c>
      <c r="T30" s="377">
        <v>0</v>
      </c>
      <c r="U30" s="377">
        <v>0</v>
      </c>
      <c r="V30" s="377">
        <v>0</v>
      </c>
      <c r="W30" s="333" t="s">
        <v>3289</v>
      </c>
      <c r="X30" s="333" t="s">
        <v>378</v>
      </c>
      <c r="Y30" s="329" t="s">
        <v>378</v>
      </c>
      <c r="Z30" s="329" t="s">
        <v>378</v>
      </c>
      <c r="AA30" s="378"/>
      <c r="AB30" s="329" t="s">
        <v>378</v>
      </c>
    </row>
    <row r="31" spans="1:28" ht="30" customHeight="1">
      <c r="A31" s="333" t="s">
        <v>2491</v>
      </c>
      <c r="B31" s="333" t="s">
        <v>2490</v>
      </c>
      <c r="C31" s="333" t="s">
        <v>2490</v>
      </c>
      <c r="D31" s="376" t="s">
        <v>265</v>
      </c>
      <c r="E31" s="377">
        <v>0</v>
      </c>
      <c r="F31" s="333" t="s">
        <v>378</v>
      </c>
      <c r="G31" s="377">
        <v>0</v>
      </c>
      <c r="H31" s="333" t="s">
        <v>378</v>
      </c>
      <c r="I31" s="377">
        <v>450000</v>
      </c>
      <c r="J31" s="333" t="s">
        <v>3282</v>
      </c>
      <c r="K31" s="377">
        <v>540000</v>
      </c>
      <c r="L31" s="333" t="s">
        <v>3288</v>
      </c>
      <c r="M31" s="377">
        <v>0</v>
      </c>
      <c r="N31" s="333" t="s">
        <v>378</v>
      </c>
      <c r="O31" s="377">
        <f t="shared" si="0"/>
        <v>398443.5</v>
      </c>
      <c r="P31" s="377">
        <v>0</v>
      </c>
      <c r="Q31" s="377">
        <v>0</v>
      </c>
      <c r="R31" s="377">
        <v>0</v>
      </c>
      <c r="S31" s="377">
        <v>0</v>
      </c>
      <c r="T31" s="377">
        <v>0</v>
      </c>
      <c r="U31" s="377">
        <v>0</v>
      </c>
      <c r="V31" s="377">
        <v>0</v>
      </c>
      <c r="W31" s="333" t="s">
        <v>3290</v>
      </c>
      <c r="X31" s="333" t="s">
        <v>378</v>
      </c>
      <c r="Y31" s="329" t="s">
        <v>378</v>
      </c>
      <c r="Z31" s="329" t="s">
        <v>378</v>
      </c>
      <c r="AA31" s="378"/>
      <c r="AB31" s="329" t="s">
        <v>378</v>
      </c>
    </row>
    <row r="32" spans="1:28" ht="30" customHeight="1">
      <c r="A32" s="333" t="s">
        <v>2439</v>
      </c>
      <c r="B32" s="333" t="s">
        <v>2437</v>
      </c>
      <c r="C32" s="333" t="s">
        <v>378</v>
      </c>
      <c r="D32" s="376" t="s">
        <v>2438</v>
      </c>
      <c r="E32" s="377">
        <v>0</v>
      </c>
      <c r="F32" s="333" t="s">
        <v>378</v>
      </c>
      <c r="G32" s="377">
        <v>0</v>
      </c>
      <c r="H32" s="333" t="s">
        <v>378</v>
      </c>
      <c r="I32" s="377">
        <v>0</v>
      </c>
      <c r="J32" s="333" t="s">
        <v>378</v>
      </c>
      <c r="K32" s="377">
        <v>0</v>
      </c>
      <c r="L32" s="333" t="s">
        <v>378</v>
      </c>
      <c r="M32" s="377">
        <v>12263</v>
      </c>
      <c r="N32" s="333" t="s">
        <v>378</v>
      </c>
      <c r="O32" s="377">
        <f t="shared" si="0"/>
        <v>10858.02809</v>
      </c>
      <c r="P32" s="377">
        <v>31645</v>
      </c>
      <c r="Q32" s="377">
        <v>0</v>
      </c>
      <c r="R32" s="377">
        <v>0</v>
      </c>
      <c r="S32" s="377">
        <v>0</v>
      </c>
      <c r="T32" s="377">
        <v>0</v>
      </c>
      <c r="U32" s="377">
        <v>0</v>
      </c>
      <c r="V32" s="377">
        <v>0</v>
      </c>
      <c r="W32" s="333" t="s">
        <v>3291</v>
      </c>
      <c r="X32" s="333" t="s">
        <v>378</v>
      </c>
      <c r="Y32" s="329" t="s">
        <v>378</v>
      </c>
      <c r="Z32" s="329" t="s">
        <v>378</v>
      </c>
      <c r="AA32" s="378"/>
      <c r="AB32" s="329" t="s">
        <v>378</v>
      </c>
    </row>
    <row r="33" spans="1:28" ht="30" customHeight="1">
      <c r="A33" s="333" t="s">
        <v>2841</v>
      </c>
      <c r="B33" s="333" t="s">
        <v>489</v>
      </c>
      <c r="C33" s="333" t="s">
        <v>2840</v>
      </c>
      <c r="D33" s="376" t="s">
        <v>265</v>
      </c>
      <c r="E33" s="377">
        <v>0</v>
      </c>
      <c r="F33" s="333" t="s">
        <v>378</v>
      </c>
      <c r="G33" s="377">
        <v>0</v>
      </c>
      <c r="H33" s="333" t="s">
        <v>378</v>
      </c>
      <c r="I33" s="377">
        <v>17000</v>
      </c>
      <c r="J33" s="333" t="s">
        <v>3292</v>
      </c>
      <c r="K33" s="377">
        <v>15000</v>
      </c>
      <c r="L33" s="333" t="s">
        <v>3293</v>
      </c>
      <c r="M33" s="377">
        <v>10000</v>
      </c>
      <c r="N33" s="333" t="s">
        <v>3294</v>
      </c>
      <c r="O33" s="377">
        <f t="shared" si="0"/>
        <v>8854.3000000000011</v>
      </c>
      <c r="P33" s="377">
        <v>0</v>
      </c>
      <c r="Q33" s="377">
        <v>0</v>
      </c>
      <c r="R33" s="377">
        <v>0</v>
      </c>
      <c r="S33" s="377">
        <v>0</v>
      </c>
      <c r="T33" s="377">
        <v>0</v>
      </c>
      <c r="U33" s="377">
        <v>0</v>
      </c>
      <c r="V33" s="377">
        <v>0</v>
      </c>
      <c r="W33" s="333" t="s">
        <v>3295</v>
      </c>
      <c r="X33" s="333" t="s">
        <v>378</v>
      </c>
      <c r="Y33" s="329" t="s">
        <v>378</v>
      </c>
      <c r="Z33" s="329" t="s">
        <v>378</v>
      </c>
      <c r="AA33" s="378"/>
      <c r="AB33" s="329" t="s">
        <v>378</v>
      </c>
    </row>
    <row r="34" spans="1:28" ht="30" customHeight="1">
      <c r="A34" s="333" t="s">
        <v>2631</v>
      </c>
      <c r="B34" s="333" t="s">
        <v>2629</v>
      </c>
      <c r="C34" s="333" t="s">
        <v>2630</v>
      </c>
      <c r="D34" s="376" t="s">
        <v>265</v>
      </c>
      <c r="E34" s="377">
        <v>0</v>
      </c>
      <c r="F34" s="333" t="s">
        <v>378</v>
      </c>
      <c r="G34" s="377">
        <v>0</v>
      </c>
      <c r="H34" s="333" t="s">
        <v>378</v>
      </c>
      <c r="I34" s="377">
        <v>0</v>
      </c>
      <c r="J34" s="333" t="s">
        <v>378</v>
      </c>
      <c r="K34" s="377">
        <v>0</v>
      </c>
      <c r="L34" s="333" t="s">
        <v>378</v>
      </c>
      <c r="M34" s="377">
        <v>0</v>
      </c>
      <c r="N34" s="333" t="s">
        <v>378</v>
      </c>
      <c r="O34" s="377"/>
      <c r="P34" s="377">
        <v>0</v>
      </c>
      <c r="Q34" s="377">
        <v>0</v>
      </c>
      <c r="R34" s="377">
        <v>0</v>
      </c>
      <c r="S34" s="377">
        <v>0</v>
      </c>
      <c r="T34" s="377">
        <v>0</v>
      </c>
      <c r="U34" s="377">
        <v>0</v>
      </c>
      <c r="V34" s="377">
        <v>0</v>
      </c>
      <c r="W34" s="333" t="s">
        <v>3296</v>
      </c>
      <c r="X34" s="333" t="s">
        <v>378</v>
      </c>
      <c r="Y34" s="329" t="s">
        <v>378</v>
      </c>
      <c r="Z34" s="329" t="s">
        <v>378</v>
      </c>
      <c r="AA34" s="378"/>
      <c r="AB34" s="329" t="s">
        <v>378</v>
      </c>
    </row>
    <row r="35" spans="1:28" ht="30" customHeight="1">
      <c r="A35" s="333" t="s">
        <v>2502</v>
      </c>
      <c r="B35" s="333" t="s">
        <v>2500</v>
      </c>
      <c r="C35" s="333" t="s">
        <v>2501</v>
      </c>
      <c r="D35" s="376" t="s">
        <v>1811</v>
      </c>
      <c r="E35" s="377">
        <v>0</v>
      </c>
      <c r="F35" s="333" t="s">
        <v>378</v>
      </c>
      <c r="G35" s="377">
        <v>0</v>
      </c>
      <c r="H35" s="333" t="s">
        <v>378</v>
      </c>
      <c r="I35" s="377">
        <v>0</v>
      </c>
      <c r="J35" s="333" t="s">
        <v>378</v>
      </c>
      <c r="K35" s="377">
        <v>9511</v>
      </c>
      <c r="L35" s="333" t="s">
        <v>378</v>
      </c>
      <c r="M35" s="377">
        <v>0</v>
      </c>
      <c r="N35" s="333" t="s">
        <v>378</v>
      </c>
      <c r="O35" s="377">
        <f t="shared" si="0"/>
        <v>8421.3247300000003</v>
      </c>
      <c r="P35" s="377">
        <v>50686</v>
      </c>
      <c r="Q35" s="377">
        <v>52295</v>
      </c>
      <c r="R35" s="377">
        <v>0</v>
      </c>
      <c r="S35" s="377">
        <v>0</v>
      </c>
      <c r="T35" s="377">
        <v>0</v>
      </c>
      <c r="U35" s="377">
        <v>0</v>
      </c>
      <c r="V35" s="377">
        <f>SMALL(Q35:U35,COUNTIF(Q35:U35,0)+1)*$AD$3</f>
        <v>46303.561850000006</v>
      </c>
      <c r="W35" s="333" t="s">
        <v>3297</v>
      </c>
      <c r="X35" s="333" t="s">
        <v>378</v>
      </c>
      <c r="Y35" s="329" t="s">
        <v>378</v>
      </c>
      <c r="Z35" s="329" t="s">
        <v>378</v>
      </c>
      <c r="AA35" s="378"/>
      <c r="AB35" s="329" t="s">
        <v>378</v>
      </c>
    </row>
    <row r="36" spans="1:28" ht="30" customHeight="1">
      <c r="A36" s="333" t="s">
        <v>2435</v>
      </c>
      <c r="B36" s="333" t="s">
        <v>2433</v>
      </c>
      <c r="C36" s="333" t="s">
        <v>2434</v>
      </c>
      <c r="D36" s="376" t="s">
        <v>343</v>
      </c>
      <c r="E36" s="377">
        <v>0</v>
      </c>
      <c r="F36" s="333" t="s">
        <v>378</v>
      </c>
      <c r="G36" s="377">
        <v>0</v>
      </c>
      <c r="H36" s="333" t="s">
        <v>378</v>
      </c>
      <c r="I36" s="377">
        <v>0</v>
      </c>
      <c r="J36" s="333" t="s">
        <v>378</v>
      </c>
      <c r="K36" s="377">
        <v>0</v>
      </c>
      <c r="L36" s="333" t="s">
        <v>378</v>
      </c>
      <c r="M36" s="377">
        <v>2728</v>
      </c>
      <c r="N36" s="333" t="s">
        <v>378</v>
      </c>
      <c r="O36" s="377">
        <f t="shared" si="0"/>
        <v>2415.4530400000003</v>
      </c>
      <c r="P36" s="377">
        <v>21793</v>
      </c>
      <c r="Q36" s="377">
        <v>2014</v>
      </c>
      <c r="R36" s="377">
        <v>0</v>
      </c>
      <c r="S36" s="377">
        <v>0</v>
      </c>
      <c r="T36" s="377">
        <v>0</v>
      </c>
      <c r="U36" s="377">
        <v>0</v>
      </c>
      <c r="V36" s="377">
        <f>SMALL(Q36:U36,COUNTIF(Q36:U36,0)+1)*$AD$3</f>
        <v>1783.25602</v>
      </c>
      <c r="W36" s="333" t="s">
        <v>3298</v>
      </c>
      <c r="X36" s="333" t="s">
        <v>378</v>
      </c>
      <c r="Y36" s="329" t="s">
        <v>378</v>
      </c>
      <c r="Z36" s="329" t="s">
        <v>378</v>
      </c>
      <c r="AA36" s="378"/>
      <c r="AB36" s="329" t="s">
        <v>378</v>
      </c>
    </row>
    <row r="37" spans="1:28" ht="30" customHeight="1">
      <c r="A37" s="333" t="s">
        <v>2480</v>
      </c>
      <c r="B37" s="333" t="s">
        <v>2478</v>
      </c>
      <c r="C37" s="333" t="s">
        <v>2479</v>
      </c>
      <c r="D37" s="376" t="s">
        <v>343</v>
      </c>
      <c r="E37" s="377">
        <v>0</v>
      </c>
      <c r="F37" s="333" t="s">
        <v>378</v>
      </c>
      <c r="G37" s="377">
        <v>0</v>
      </c>
      <c r="H37" s="333" t="s">
        <v>378</v>
      </c>
      <c r="I37" s="377">
        <v>0</v>
      </c>
      <c r="J37" s="333" t="s">
        <v>378</v>
      </c>
      <c r="K37" s="377">
        <v>0</v>
      </c>
      <c r="L37" s="333" t="s">
        <v>378</v>
      </c>
      <c r="M37" s="377">
        <v>678</v>
      </c>
      <c r="N37" s="333" t="s">
        <v>378</v>
      </c>
      <c r="O37" s="377">
        <f t="shared" si="0"/>
        <v>600.32154000000003</v>
      </c>
      <c r="P37" s="377">
        <v>6909</v>
      </c>
      <c r="Q37" s="377">
        <v>887</v>
      </c>
      <c r="R37" s="377">
        <v>0</v>
      </c>
      <c r="S37" s="377">
        <v>0</v>
      </c>
      <c r="T37" s="377">
        <v>0</v>
      </c>
      <c r="U37" s="377">
        <v>0</v>
      </c>
      <c r="V37" s="377">
        <f>SMALL(Q37:U37,COUNTIF(Q37:U37,0)+1)*$AD$3</f>
        <v>785.37641000000008</v>
      </c>
      <c r="W37" s="333" t="s">
        <v>3299</v>
      </c>
      <c r="X37" s="333" t="s">
        <v>378</v>
      </c>
      <c r="Y37" s="329" t="s">
        <v>378</v>
      </c>
      <c r="Z37" s="329" t="s">
        <v>378</v>
      </c>
      <c r="AA37" s="378"/>
      <c r="AB37" s="329" t="s">
        <v>378</v>
      </c>
    </row>
    <row r="38" spans="1:28" ht="30" customHeight="1">
      <c r="A38" s="333" t="s">
        <v>2484</v>
      </c>
      <c r="B38" s="333" t="s">
        <v>2483</v>
      </c>
      <c r="C38" s="333" t="s">
        <v>1821</v>
      </c>
      <c r="D38" s="376" t="s">
        <v>343</v>
      </c>
      <c r="E38" s="377">
        <v>0</v>
      </c>
      <c r="F38" s="333" t="s">
        <v>378</v>
      </c>
      <c r="G38" s="377">
        <v>0</v>
      </c>
      <c r="H38" s="333" t="s">
        <v>378</v>
      </c>
      <c r="I38" s="377">
        <v>0</v>
      </c>
      <c r="J38" s="333" t="s">
        <v>378</v>
      </c>
      <c r="K38" s="377">
        <v>0</v>
      </c>
      <c r="L38" s="333" t="s">
        <v>378</v>
      </c>
      <c r="M38" s="377">
        <v>7461</v>
      </c>
      <c r="N38" s="333" t="s">
        <v>378</v>
      </c>
      <c r="O38" s="377">
        <f t="shared" si="0"/>
        <v>6606.1932300000008</v>
      </c>
      <c r="P38" s="377">
        <v>525</v>
      </c>
      <c r="Q38" s="377">
        <v>474</v>
      </c>
      <c r="R38" s="377">
        <v>0</v>
      </c>
      <c r="S38" s="377">
        <v>0</v>
      </c>
      <c r="T38" s="377">
        <v>0</v>
      </c>
      <c r="U38" s="377">
        <v>0</v>
      </c>
      <c r="V38" s="377">
        <f>SMALL(Q38:U38,COUNTIF(Q38:U38,0)+1)*$AD$3</f>
        <v>419.69382000000002</v>
      </c>
      <c r="W38" s="333" t="s">
        <v>3300</v>
      </c>
      <c r="X38" s="333" t="s">
        <v>378</v>
      </c>
      <c r="Y38" s="329" t="s">
        <v>378</v>
      </c>
      <c r="Z38" s="329" t="s">
        <v>378</v>
      </c>
      <c r="AA38" s="378"/>
      <c r="AB38" s="329" t="s">
        <v>378</v>
      </c>
    </row>
    <row r="39" spans="1:28" ht="30" customHeight="1">
      <c r="A39" s="333" t="s">
        <v>2473</v>
      </c>
      <c r="B39" s="333" t="s">
        <v>2471</v>
      </c>
      <c r="C39" s="333" t="s">
        <v>2472</v>
      </c>
      <c r="D39" s="376" t="s">
        <v>265</v>
      </c>
      <c r="E39" s="377">
        <v>0</v>
      </c>
      <c r="F39" s="333" t="s">
        <v>378</v>
      </c>
      <c r="G39" s="377">
        <v>0</v>
      </c>
      <c r="H39" s="333" t="s">
        <v>378</v>
      </c>
      <c r="I39" s="377">
        <v>59400</v>
      </c>
      <c r="J39" s="333" t="s">
        <v>3301</v>
      </c>
      <c r="K39" s="377">
        <v>61400</v>
      </c>
      <c r="L39" s="333" t="s">
        <v>3302</v>
      </c>
      <c r="M39" s="377">
        <v>0</v>
      </c>
      <c r="N39" s="333" t="s">
        <v>378</v>
      </c>
      <c r="O39" s="377">
        <f t="shared" si="0"/>
        <v>52594.542000000001</v>
      </c>
      <c r="P39" s="377">
        <v>0</v>
      </c>
      <c r="Q39" s="377">
        <v>0</v>
      </c>
      <c r="R39" s="377">
        <v>0</v>
      </c>
      <c r="S39" s="377">
        <v>0</v>
      </c>
      <c r="T39" s="377">
        <v>0</v>
      </c>
      <c r="U39" s="377">
        <v>0</v>
      </c>
      <c r="V39" s="377">
        <v>0</v>
      </c>
      <c r="W39" s="333" t="s">
        <v>3303</v>
      </c>
      <c r="X39" s="333" t="s">
        <v>378</v>
      </c>
      <c r="Y39" s="329" t="s">
        <v>378</v>
      </c>
      <c r="Z39" s="329" t="s">
        <v>378</v>
      </c>
      <c r="AA39" s="378"/>
      <c r="AB39" s="329" t="s">
        <v>378</v>
      </c>
    </row>
    <row r="40" spans="1:28" ht="30" customHeight="1">
      <c r="A40" s="333" t="s">
        <v>1442</v>
      </c>
      <c r="B40" s="333" t="s">
        <v>1440</v>
      </c>
      <c r="C40" s="333" t="s">
        <v>1441</v>
      </c>
      <c r="D40" s="376" t="s">
        <v>265</v>
      </c>
      <c r="E40" s="377">
        <v>0</v>
      </c>
      <c r="F40" s="333" t="s">
        <v>378</v>
      </c>
      <c r="G40" s="377">
        <v>110000</v>
      </c>
      <c r="H40" s="333" t="s">
        <v>3292</v>
      </c>
      <c r="I40" s="377">
        <v>105000</v>
      </c>
      <c r="J40" s="333" t="s">
        <v>3293</v>
      </c>
      <c r="K40" s="377">
        <v>99000</v>
      </c>
      <c r="L40" s="333" t="s">
        <v>3294</v>
      </c>
      <c r="M40" s="377">
        <v>0</v>
      </c>
      <c r="N40" s="333" t="s">
        <v>378</v>
      </c>
      <c r="O40" s="377">
        <f t="shared" si="0"/>
        <v>87657.57</v>
      </c>
      <c r="P40" s="377">
        <v>0</v>
      </c>
      <c r="Q40" s="377">
        <v>0</v>
      </c>
      <c r="R40" s="377">
        <v>0</v>
      </c>
      <c r="S40" s="377">
        <v>0</v>
      </c>
      <c r="T40" s="377">
        <v>0</v>
      </c>
      <c r="U40" s="377">
        <v>0</v>
      </c>
      <c r="V40" s="377">
        <v>0</v>
      </c>
      <c r="W40" s="333" t="s">
        <v>3304</v>
      </c>
      <c r="X40" s="333" t="s">
        <v>378</v>
      </c>
      <c r="Y40" s="329" t="s">
        <v>378</v>
      </c>
      <c r="Z40" s="329" t="s">
        <v>378</v>
      </c>
      <c r="AA40" s="378"/>
      <c r="AB40" s="329" t="s">
        <v>378</v>
      </c>
    </row>
    <row r="41" spans="1:28" ht="30" customHeight="1">
      <c r="A41" s="333" t="s">
        <v>1446</v>
      </c>
      <c r="B41" s="333" t="s">
        <v>1444</v>
      </c>
      <c r="C41" s="333" t="s">
        <v>1445</v>
      </c>
      <c r="D41" s="376" t="s">
        <v>265</v>
      </c>
      <c r="E41" s="377">
        <v>0</v>
      </c>
      <c r="F41" s="333" t="s">
        <v>378</v>
      </c>
      <c r="G41" s="377">
        <v>146000</v>
      </c>
      <c r="H41" s="333" t="s">
        <v>3292</v>
      </c>
      <c r="I41" s="377">
        <v>145000</v>
      </c>
      <c r="J41" s="333" t="s">
        <v>3293</v>
      </c>
      <c r="K41" s="377">
        <v>143000</v>
      </c>
      <c r="L41" s="333" t="s">
        <v>3294</v>
      </c>
      <c r="M41" s="377">
        <v>0</v>
      </c>
      <c r="N41" s="333" t="s">
        <v>378</v>
      </c>
      <c r="O41" s="377">
        <f t="shared" si="0"/>
        <v>126616.49</v>
      </c>
      <c r="P41" s="377">
        <v>0</v>
      </c>
      <c r="Q41" s="377">
        <v>0</v>
      </c>
      <c r="R41" s="377">
        <v>0</v>
      </c>
      <c r="S41" s="377">
        <v>0</v>
      </c>
      <c r="T41" s="377">
        <v>0</v>
      </c>
      <c r="U41" s="377">
        <v>0</v>
      </c>
      <c r="V41" s="377">
        <v>0</v>
      </c>
      <c r="W41" s="333" t="s">
        <v>3305</v>
      </c>
      <c r="X41" s="333" t="s">
        <v>378</v>
      </c>
      <c r="Y41" s="329" t="s">
        <v>378</v>
      </c>
      <c r="Z41" s="329" t="s">
        <v>378</v>
      </c>
      <c r="AA41" s="378"/>
      <c r="AB41" s="329" t="s">
        <v>378</v>
      </c>
    </row>
    <row r="42" spans="1:28" ht="30" customHeight="1">
      <c r="A42" s="333" t="s">
        <v>1450</v>
      </c>
      <c r="B42" s="333" t="s">
        <v>1448</v>
      </c>
      <c r="C42" s="333" t="s">
        <v>3306</v>
      </c>
      <c r="D42" s="376" t="s">
        <v>265</v>
      </c>
      <c r="E42" s="377">
        <v>0</v>
      </c>
      <c r="F42" s="333" t="s">
        <v>378</v>
      </c>
      <c r="G42" s="377">
        <v>410000</v>
      </c>
      <c r="H42" s="333" t="s">
        <v>3292</v>
      </c>
      <c r="I42" s="377">
        <v>400000</v>
      </c>
      <c r="J42" s="333" t="s">
        <v>3293</v>
      </c>
      <c r="K42" s="377">
        <v>396000</v>
      </c>
      <c r="L42" s="333" t="s">
        <v>3294</v>
      </c>
      <c r="M42" s="377">
        <v>0</v>
      </c>
      <c r="N42" s="333" t="s">
        <v>378</v>
      </c>
      <c r="O42" s="377">
        <f t="shared" si="0"/>
        <v>350630.28</v>
      </c>
      <c r="P42" s="377">
        <v>0</v>
      </c>
      <c r="Q42" s="377">
        <v>0</v>
      </c>
      <c r="R42" s="377">
        <v>0</v>
      </c>
      <c r="S42" s="377">
        <v>0</v>
      </c>
      <c r="T42" s="377">
        <v>0</v>
      </c>
      <c r="U42" s="377">
        <v>0</v>
      </c>
      <c r="V42" s="377">
        <v>0</v>
      </c>
      <c r="W42" s="333" t="s">
        <v>3307</v>
      </c>
      <c r="X42" s="333" t="s">
        <v>378</v>
      </c>
      <c r="Y42" s="329" t="s">
        <v>378</v>
      </c>
      <c r="Z42" s="329" t="s">
        <v>378</v>
      </c>
      <c r="AA42" s="378"/>
      <c r="AB42" s="329" t="s">
        <v>378</v>
      </c>
    </row>
    <row r="43" spans="1:28" ht="30" customHeight="1">
      <c r="A43" s="333" t="s">
        <v>1454</v>
      </c>
      <c r="B43" s="333" t="s">
        <v>1452</v>
      </c>
      <c r="C43" s="333" t="s">
        <v>1453</v>
      </c>
      <c r="D43" s="376" t="s">
        <v>265</v>
      </c>
      <c r="E43" s="377">
        <v>0</v>
      </c>
      <c r="F43" s="333" t="s">
        <v>378</v>
      </c>
      <c r="G43" s="377">
        <v>95000</v>
      </c>
      <c r="H43" s="333" t="s">
        <v>3292</v>
      </c>
      <c r="I43" s="377">
        <v>92000</v>
      </c>
      <c r="J43" s="333" t="s">
        <v>3293</v>
      </c>
      <c r="K43" s="377">
        <v>90000</v>
      </c>
      <c r="L43" s="333" t="s">
        <v>3294</v>
      </c>
      <c r="M43" s="377">
        <v>0</v>
      </c>
      <c r="N43" s="333" t="s">
        <v>378</v>
      </c>
      <c r="O43" s="377">
        <f t="shared" si="0"/>
        <v>79688.700000000012</v>
      </c>
      <c r="P43" s="377">
        <v>0</v>
      </c>
      <c r="Q43" s="377">
        <v>0</v>
      </c>
      <c r="R43" s="377">
        <v>0</v>
      </c>
      <c r="S43" s="377">
        <v>0</v>
      </c>
      <c r="T43" s="377">
        <v>0</v>
      </c>
      <c r="U43" s="377">
        <v>0</v>
      </c>
      <c r="V43" s="377">
        <v>0</v>
      </c>
      <c r="W43" s="333" t="s">
        <v>3308</v>
      </c>
      <c r="X43" s="333" t="s">
        <v>378</v>
      </c>
      <c r="Y43" s="329" t="s">
        <v>378</v>
      </c>
      <c r="Z43" s="329" t="s">
        <v>378</v>
      </c>
      <c r="AA43" s="378"/>
      <c r="AB43" s="329" t="s">
        <v>378</v>
      </c>
    </row>
    <row r="44" spans="1:28" ht="30" customHeight="1">
      <c r="A44" s="333" t="s">
        <v>1458</v>
      </c>
      <c r="B44" s="333" t="s">
        <v>1456</v>
      </c>
      <c r="C44" s="333" t="s">
        <v>1457</v>
      </c>
      <c r="D44" s="376" t="s">
        <v>265</v>
      </c>
      <c r="E44" s="377">
        <v>0</v>
      </c>
      <c r="F44" s="333" t="s">
        <v>378</v>
      </c>
      <c r="G44" s="377">
        <v>72500</v>
      </c>
      <c r="H44" s="333" t="s">
        <v>3292</v>
      </c>
      <c r="I44" s="377">
        <v>72000</v>
      </c>
      <c r="J44" s="333" t="s">
        <v>3293</v>
      </c>
      <c r="K44" s="377">
        <v>71000</v>
      </c>
      <c r="L44" s="333" t="s">
        <v>3294</v>
      </c>
      <c r="M44" s="377">
        <v>0</v>
      </c>
      <c r="N44" s="333" t="s">
        <v>378</v>
      </c>
      <c r="O44" s="377">
        <f t="shared" si="0"/>
        <v>62865.530000000006</v>
      </c>
      <c r="P44" s="377">
        <v>0</v>
      </c>
      <c r="Q44" s="377">
        <v>0</v>
      </c>
      <c r="R44" s="377">
        <v>0</v>
      </c>
      <c r="S44" s="377">
        <v>0</v>
      </c>
      <c r="T44" s="377">
        <v>0</v>
      </c>
      <c r="U44" s="377">
        <v>0</v>
      </c>
      <c r="V44" s="377">
        <v>0</v>
      </c>
      <c r="W44" s="333" t="s">
        <v>3309</v>
      </c>
      <c r="X44" s="333" t="s">
        <v>378</v>
      </c>
      <c r="Y44" s="329" t="s">
        <v>378</v>
      </c>
      <c r="Z44" s="329" t="s">
        <v>378</v>
      </c>
      <c r="AA44" s="378"/>
      <c r="AB44" s="329" t="s">
        <v>378</v>
      </c>
    </row>
    <row r="45" spans="1:28" ht="30" customHeight="1">
      <c r="A45" s="333" t="s">
        <v>2616</v>
      </c>
      <c r="B45" s="333" t="s">
        <v>2614</v>
      </c>
      <c r="C45" s="333" t="s">
        <v>2615</v>
      </c>
      <c r="D45" s="376" t="s">
        <v>265</v>
      </c>
      <c r="E45" s="377">
        <v>0</v>
      </c>
      <c r="F45" s="333" t="s">
        <v>378</v>
      </c>
      <c r="G45" s="377">
        <v>0</v>
      </c>
      <c r="H45" s="333" t="s">
        <v>378</v>
      </c>
      <c r="I45" s="377">
        <v>0</v>
      </c>
      <c r="J45" s="333" t="s">
        <v>378</v>
      </c>
      <c r="K45" s="377">
        <v>0</v>
      </c>
      <c r="L45" s="333" t="s">
        <v>378</v>
      </c>
      <c r="M45" s="377">
        <v>0</v>
      </c>
      <c r="N45" s="333" t="s">
        <v>378</v>
      </c>
      <c r="O45" s="377"/>
      <c r="P45" s="377">
        <v>0</v>
      </c>
      <c r="Q45" s="377">
        <v>0</v>
      </c>
      <c r="R45" s="377">
        <v>0</v>
      </c>
      <c r="S45" s="377">
        <v>0</v>
      </c>
      <c r="T45" s="377">
        <v>0</v>
      </c>
      <c r="U45" s="377">
        <v>0</v>
      </c>
      <c r="V45" s="377">
        <v>0</v>
      </c>
      <c r="W45" s="333" t="s">
        <v>3310</v>
      </c>
      <c r="X45" s="333" t="s">
        <v>378</v>
      </c>
      <c r="Y45" s="329" t="s">
        <v>378</v>
      </c>
      <c r="Z45" s="329" t="s">
        <v>378</v>
      </c>
      <c r="AA45" s="378"/>
      <c r="AB45" s="329" t="s">
        <v>378</v>
      </c>
    </row>
    <row r="46" spans="1:28" ht="30" customHeight="1">
      <c r="A46" s="333" t="s">
        <v>1471</v>
      </c>
      <c r="B46" s="333" t="s">
        <v>327</v>
      </c>
      <c r="C46" s="333" t="s">
        <v>1048</v>
      </c>
      <c r="D46" s="376" t="s">
        <v>265</v>
      </c>
      <c r="E46" s="377">
        <v>0</v>
      </c>
      <c r="F46" s="333" t="s">
        <v>378</v>
      </c>
      <c r="G46" s="377">
        <v>350000</v>
      </c>
      <c r="H46" s="333" t="s">
        <v>3292</v>
      </c>
      <c r="I46" s="377">
        <v>320000</v>
      </c>
      <c r="J46" s="333" t="s">
        <v>3293</v>
      </c>
      <c r="K46" s="377">
        <v>290000</v>
      </c>
      <c r="L46" s="333" t="s">
        <v>3294</v>
      </c>
      <c r="M46" s="377">
        <v>0</v>
      </c>
      <c r="N46" s="333" t="s">
        <v>378</v>
      </c>
      <c r="O46" s="377">
        <f t="shared" si="0"/>
        <v>256774.7</v>
      </c>
      <c r="P46" s="377">
        <v>0</v>
      </c>
      <c r="Q46" s="377">
        <v>0</v>
      </c>
      <c r="R46" s="377">
        <v>0</v>
      </c>
      <c r="S46" s="377">
        <v>0</v>
      </c>
      <c r="T46" s="377">
        <v>0</v>
      </c>
      <c r="U46" s="377">
        <v>0</v>
      </c>
      <c r="V46" s="377">
        <v>0</v>
      </c>
      <c r="W46" s="333" t="s">
        <v>3311</v>
      </c>
      <c r="X46" s="333" t="s">
        <v>378</v>
      </c>
      <c r="Y46" s="329" t="s">
        <v>378</v>
      </c>
      <c r="Z46" s="329" t="s">
        <v>378</v>
      </c>
      <c r="AA46" s="378"/>
      <c r="AB46" s="329" t="s">
        <v>378</v>
      </c>
    </row>
    <row r="47" spans="1:28" ht="30" customHeight="1">
      <c r="A47" s="333" t="s">
        <v>1473</v>
      </c>
      <c r="B47" s="333" t="s">
        <v>1049</v>
      </c>
      <c r="C47" s="333" t="s">
        <v>1050</v>
      </c>
      <c r="D47" s="376" t="s">
        <v>265</v>
      </c>
      <c r="E47" s="377">
        <v>0</v>
      </c>
      <c r="F47" s="333" t="s">
        <v>378</v>
      </c>
      <c r="G47" s="377">
        <v>950000</v>
      </c>
      <c r="H47" s="333" t="s">
        <v>3292</v>
      </c>
      <c r="I47" s="377">
        <v>920000</v>
      </c>
      <c r="J47" s="333" t="s">
        <v>3293</v>
      </c>
      <c r="K47" s="377">
        <v>880000</v>
      </c>
      <c r="L47" s="333" t="s">
        <v>3294</v>
      </c>
      <c r="M47" s="377">
        <v>0</v>
      </c>
      <c r="N47" s="333" t="s">
        <v>378</v>
      </c>
      <c r="O47" s="377">
        <f t="shared" si="0"/>
        <v>779178.4</v>
      </c>
      <c r="P47" s="377">
        <v>0</v>
      </c>
      <c r="Q47" s="377">
        <v>0</v>
      </c>
      <c r="R47" s="377">
        <v>0</v>
      </c>
      <c r="S47" s="377">
        <v>0</v>
      </c>
      <c r="T47" s="377">
        <v>0</v>
      </c>
      <c r="U47" s="377">
        <v>0</v>
      </c>
      <c r="V47" s="377">
        <v>0</v>
      </c>
      <c r="W47" s="333" t="s">
        <v>3312</v>
      </c>
      <c r="X47" s="333" t="s">
        <v>378</v>
      </c>
      <c r="Y47" s="329" t="s">
        <v>378</v>
      </c>
      <c r="Z47" s="329" t="s">
        <v>378</v>
      </c>
      <c r="AA47" s="378"/>
      <c r="AB47" s="329" t="s">
        <v>378</v>
      </c>
    </row>
    <row r="48" spans="1:28" ht="30" customHeight="1">
      <c r="A48" s="333" t="s">
        <v>1475</v>
      </c>
      <c r="B48" s="333" t="s">
        <v>1051</v>
      </c>
      <c r="C48" s="333" t="s">
        <v>1052</v>
      </c>
      <c r="D48" s="376" t="s">
        <v>265</v>
      </c>
      <c r="E48" s="377">
        <v>0</v>
      </c>
      <c r="F48" s="333" t="s">
        <v>378</v>
      </c>
      <c r="G48" s="377">
        <v>55000</v>
      </c>
      <c r="H48" s="333" t="s">
        <v>3292</v>
      </c>
      <c r="I48" s="377">
        <v>52000</v>
      </c>
      <c r="J48" s="333" t="s">
        <v>3293</v>
      </c>
      <c r="K48" s="377">
        <v>50000</v>
      </c>
      <c r="L48" s="333" t="s">
        <v>3294</v>
      </c>
      <c r="M48" s="377">
        <v>0</v>
      </c>
      <c r="N48" s="333" t="s">
        <v>378</v>
      </c>
      <c r="O48" s="377">
        <f t="shared" si="0"/>
        <v>44271.5</v>
      </c>
      <c r="P48" s="377">
        <v>0</v>
      </c>
      <c r="Q48" s="377">
        <v>0</v>
      </c>
      <c r="R48" s="377">
        <v>0</v>
      </c>
      <c r="S48" s="377">
        <v>0</v>
      </c>
      <c r="T48" s="377">
        <v>0</v>
      </c>
      <c r="U48" s="377">
        <v>0</v>
      </c>
      <c r="V48" s="377">
        <v>0</v>
      </c>
      <c r="W48" s="333" t="s">
        <v>3313</v>
      </c>
      <c r="X48" s="333" t="s">
        <v>378</v>
      </c>
      <c r="Y48" s="329" t="s">
        <v>378</v>
      </c>
      <c r="Z48" s="329" t="s">
        <v>378</v>
      </c>
      <c r="AA48" s="378"/>
      <c r="AB48" s="329" t="s">
        <v>378</v>
      </c>
    </row>
    <row r="49" spans="1:28" ht="30" customHeight="1">
      <c r="A49" s="333" t="s">
        <v>1462</v>
      </c>
      <c r="B49" s="333" t="s">
        <v>1460</v>
      </c>
      <c r="C49" s="333" t="s">
        <v>1461</v>
      </c>
      <c r="D49" s="376" t="s">
        <v>265</v>
      </c>
      <c r="E49" s="377">
        <v>0</v>
      </c>
      <c r="F49" s="333" t="s">
        <v>378</v>
      </c>
      <c r="G49" s="377">
        <v>135000</v>
      </c>
      <c r="H49" s="333" t="s">
        <v>3292</v>
      </c>
      <c r="I49" s="377">
        <v>130000</v>
      </c>
      <c r="J49" s="333" t="s">
        <v>3293</v>
      </c>
      <c r="K49" s="377">
        <v>129000</v>
      </c>
      <c r="L49" s="333" t="s">
        <v>3294</v>
      </c>
      <c r="M49" s="377">
        <v>0</v>
      </c>
      <c r="N49" s="333" t="s">
        <v>378</v>
      </c>
      <c r="O49" s="377">
        <f t="shared" si="0"/>
        <v>114220.47</v>
      </c>
      <c r="P49" s="377">
        <v>0</v>
      </c>
      <c r="Q49" s="377">
        <v>0</v>
      </c>
      <c r="R49" s="377">
        <v>0</v>
      </c>
      <c r="S49" s="377">
        <v>0</v>
      </c>
      <c r="T49" s="377">
        <v>0</v>
      </c>
      <c r="U49" s="377">
        <v>0</v>
      </c>
      <c r="V49" s="377">
        <v>0</v>
      </c>
      <c r="W49" s="333" t="s">
        <v>3314</v>
      </c>
      <c r="X49" s="333" t="s">
        <v>378</v>
      </c>
      <c r="Y49" s="329" t="s">
        <v>378</v>
      </c>
      <c r="Z49" s="329" t="s">
        <v>378</v>
      </c>
      <c r="AA49" s="378"/>
      <c r="AB49" s="329" t="s">
        <v>378</v>
      </c>
    </row>
    <row r="50" spans="1:28" ht="30" customHeight="1">
      <c r="A50" s="333" t="s">
        <v>1464</v>
      </c>
      <c r="B50" s="333" t="s">
        <v>1042</v>
      </c>
      <c r="C50" s="333" t="s">
        <v>1043</v>
      </c>
      <c r="D50" s="376" t="s">
        <v>265</v>
      </c>
      <c r="E50" s="377">
        <v>0</v>
      </c>
      <c r="F50" s="333" t="s">
        <v>378</v>
      </c>
      <c r="G50" s="377">
        <v>22000</v>
      </c>
      <c r="H50" s="333" t="s">
        <v>3292</v>
      </c>
      <c r="I50" s="377">
        <v>21000</v>
      </c>
      <c r="J50" s="333" t="s">
        <v>3293</v>
      </c>
      <c r="K50" s="377">
        <v>20000</v>
      </c>
      <c r="L50" s="333" t="s">
        <v>3294</v>
      </c>
      <c r="M50" s="377">
        <v>0</v>
      </c>
      <c r="N50" s="333" t="s">
        <v>378</v>
      </c>
      <c r="O50" s="377">
        <f t="shared" si="0"/>
        <v>17708.600000000002</v>
      </c>
      <c r="P50" s="377">
        <v>0</v>
      </c>
      <c r="Q50" s="377">
        <v>0</v>
      </c>
      <c r="R50" s="377">
        <v>0</v>
      </c>
      <c r="S50" s="377">
        <v>0</v>
      </c>
      <c r="T50" s="377">
        <v>0</v>
      </c>
      <c r="U50" s="377">
        <v>0</v>
      </c>
      <c r="V50" s="377">
        <v>0</v>
      </c>
      <c r="W50" s="333" t="s">
        <v>3315</v>
      </c>
      <c r="X50" s="333" t="s">
        <v>378</v>
      </c>
      <c r="Y50" s="329" t="s">
        <v>378</v>
      </c>
      <c r="Z50" s="329" t="s">
        <v>378</v>
      </c>
      <c r="AA50" s="378"/>
      <c r="AB50" s="329" t="s">
        <v>378</v>
      </c>
    </row>
    <row r="51" spans="1:28" ht="30" customHeight="1">
      <c r="A51" s="333" t="s">
        <v>1466</v>
      </c>
      <c r="B51" s="333" t="s">
        <v>1044</v>
      </c>
      <c r="C51" s="333" t="s">
        <v>1045</v>
      </c>
      <c r="D51" s="376" t="s">
        <v>265</v>
      </c>
      <c r="E51" s="377">
        <v>0</v>
      </c>
      <c r="F51" s="333" t="s">
        <v>378</v>
      </c>
      <c r="G51" s="377">
        <v>53500</v>
      </c>
      <c r="H51" s="333" t="s">
        <v>3292</v>
      </c>
      <c r="I51" s="377">
        <v>53000</v>
      </c>
      <c r="J51" s="333" t="s">
        <v>3293</v>
      </c>
      <c r="K51" s="377">
        <v>51000</v>
      </c>
      <c r="L51" s="333" t="s">
        <v>3294</v>
      </c>
      <c r="M51" s="377">
        <v>0</v>
      </c>
      <c r="N51" s="333" t="s">
        <v>378</v>
      </c>
      <c r="O51" s="377">
        <f t="shared" si="0"/>
        <v>45156.93</v>
      </c>
      <c r="P51" s="377">
        <v>0</v>
      </c>
      <c r="Q51" s="377">
        <v>0</v>
      </c>
      <c r="R51" s="377">
        <v>0</v>
      </c>
      <c r="S51" s="377">
        <v>0</v>
      </c>
      <c r="T51" s="377">
        <v>0</v>
      </c>
      <c r="U51" s="377">
        <v>0</v>
      </c>
      <c r="V51" s="377">
        <v>0</v>
      </c>
      <c r="W51" s="333" t="s">
        <v>3316</v>
      </c>
      <c r="X51" s="333" t="s">
        <v>378</v>
      </c>
      <c r="Y51" s="329" t="s">
        <v>378</v>
      </c>
      <c r="Z51" s="329" t="s">
        <v>378</v>
      </c>
      <c r="AA51" s="378"/>
      <c r="AB51" s="329" t="s">
        <v>378</v>
      </c>
    </row>
    <row r="52" spans="1:28" ht="30" customHeight="1">
      <c r="A52" s="333" t="s">
        <v>1469</v>
      </c>
      <c r="B52" s="333" t="s">
        <v>1046</v>
      </c>
      <c r="C52" s="333" t="s">
        <v>1047</v>
      </c>
      <c r="D52" s="376" t="s">
        <v>265</v>
      </c>
      <c r="E52" s="377">
        <v>0</v>
      </c>
      <c r="F52" s="333" t="s">
        <v>378</v>
      </c>
      <c r="G52" s="377">
        <v>42000</v>
      </c>
      <c r="H52" s="333" t="s">
        <v>3292</v>
      </c>
      <c r="I52" s="377">
        <v>41000</v>
      </c>
      <c r="J52" s="333" t="s">
        <v>3293</v>
      </c>
      <c r="K52" s="377">
        <v>40000</v>
      </c>
      <c r="L52" s="333" t="s">
        <v>3294</v>
      </c>
      <c r="M52" s="377">
        <v>0</v>
      </c>
      <c r="N52" s="333" t="s">
        <v>378</v>
      </c>
      <c r="O52" s="377">
        <f t="shared" si="0"/>
        <v>35417.200000000004</v>
      </c>
      <c r="P52" s="377">
        <v>0</v>
      </c>
      <c r="Q52" s="377">
        <v>0</v>
      </c>
      <c r="R52" s="377">
        <v>0</v>
      </c>
      <c r="S52" s="377">
        <v>0</v>
      </c>
      <c r="T52" s="377">
        <v>0</v>
      </c>
      <c r="U52" s="377">
        <v>0</v>
      </c>
      <c r="V52" s="377">
        <v>0</v>
      </c>
      <c r="W52" s="333" t="s">
        <v>3317</v>
      </c>
      <c r="X52" s="333" t="s">
        <v>378</v>
      </c>
      <c r="Y52" s="329" t="s">
        <v>378</v>
      </c>
      <c r="Z52" s="329" t="s">
        <v>378</v>
      </c>
      <c r="AA52" s="378"/>
      <c r="AB52" s="329" t="s">
        <v>378</v>
      </c>
    </row>
    <row r="53" spans="1:28" ht="30" customHeight="1">
      <c r="A53" s="333" t="s">
        <v>2566</v>
      </c>
      <c r="B53" s="333" t="s">
        <v>2564</v>
      </c>
      <c r="C53" s="333" t="s">
        <v>2565</v>
      </c>
      <c r="D53" s="376" t="s">
        <v>1811</v>
      </c>
      <c r="E53" s="377">
        <v>0</v>
      </c>
      <c r="F53" s="333" t="s">
        <v>378</v>
      </c>
      <c r="G53" s="377">
        <v>0</v>
      </c>
      <c r="H53" s="333" t="s">
        <v>378</v>
      </c>
      <c r="I53" s="377">
        <v>0</v>
      </c>
      <c r="J53" s="333" t="s">
        <v>378</v>
      </c>
      <c r="K53" s="377">
        <v>0</v>
      </c>
      <c r="L53" s="333" t="s">
        <v>378</v>
      </c>
      <c r="M53" s="377">
        <v>7655</v>
      </c>
      <c r="N53" s="333" t="s">
        <v>378</v>
      </c>
      <c r="O53" s="377">
        <f t="shared" si="0"/>
        <v>6777.9666500000003</v>
      </c>
      <c r="P53" s="377">
        <v>43456</v>
      </c>
      <c r="Q53" s="377">
        <v>9726</v>
      </c>
      <c r="R53" s="377">
        <v>0</v>
      </c>
      <c r="S53" s="377">
        <v>0</v>
      </c>
      <c r="T53" s="377">
        <v>0</v>
      </c>
      <c r="U53" s="377">
        <v>0</v>
      </c>
      <c r="V53" s="377">
        <f>SMALL(Q53:U53,COUNTIF(Q53:U53,0)+1)*$AD$3</f>
        <v>8611.69218</v>
      </c>
      <c r="W53" s="333" t="s">
        <v>3318</v>
      </c>
      <c r="X53" s="333" t="s">
        <v>378</v>
      </c>
      <c r="Y53" s="329" t="s">
        <v>378</v>
      </c>
      <c r="Z53" s="329" t="s">
        <v>378</v>
      </c>
      <c r="AA53" s="378"/>
      <c r="AB53" s="329" t="s">
        <v>378</v>
      </c>
    </row>
    <row r="54" spans="1:28" ht="30" customHeight="1">
      <c r="A54" s="333" t="s">
        <v>2624</v>
      </c>
      <c r="B54" s="333" t="s">
        <v>2623</v>
      </c>
      <c r="C54" s="333" t="s">
        <v>315</v>
      </c>
      <c r="D54" s="376" t="s">
        <v>265</v>
      </c>
      <c r="E54" s="377">
        <v>0</v>
      </c>
      <c r="F54" s="333" t="s">
        <v>378</v>
      </c>
      <c r="G54" s="377">
        <v>0</v>
      </c>
      <c r="H54" s="333" t="s">
        <v>378</v>
      </c>
      <c r="I54" s="377">
        <v>0</v>
      </c>
      <c r="J54" s="333" t="s">
        <v>378</v>
      </c>
      <c r="K54" s="377">
        <v>0</v>
      </c>
      <c r="L54" s="333" t="s">
        <v>378</v>
      </c>
      <c r="M54" s="377">
        <v>0</v>
      </c>
      <c r="N54" s="333" t="s">
        <v>378</v>
      </c>
      <c r="O54" s="377"/>
      <c r="P54" s="377">
        <v>0</v>
      </c>
      <c r="Q54" s="377">
        <v>0</v>
      </c>
      <c r="R54" s="377">
        <v>0</v>
      </c>
      <c r="S54" s="377">
        <v>0</v>
      </c>
      <c r="T54" s="377">
        <v>0</v>
      </c>
      <c r="U54" s="377">
        <v>0</v>
      </c>
      <c r="V54" s="377">
        <v>0</v>
      </c>
      <c r="W54" s="333" t="s">
        <v>3319</v>
      </c>
      <c r="X54" s="333" t="s">
        <v>378</v>
      </c>
      <c r="Y54" s="329" t="s">
        <v>378</v>
      </c>
      <c r="Z54" s="329" t="s">
        <v>378</v>
      </c>
      <c r="AA54" s="378"/>
      <c r="AB54" s="329" t="s">
        <v>378</v>
      </c>
    </row>
    <row r="55" spans="1:28" ht="30" customHeight="1">
      <c r="A55" s="333" t="s">
        <v>1477</v>
      </c>
      <c r="B55" s="333" t="s">
        <v>1053</v>
      </c>
      <c r="C55" s="333" t="s">
        <v>315</v>
      </c>
      <c r="D55" s="376" t="s">
        <v>265</v>
      </c>
      <c r="E55" s="377">
        <v>0</v>
      </c>
      <c r="F55" s="333" t="s">
        <v>378</v>
      </c>
      <c r="G55" s="377">
        <v>275000</v>
      </c>
      <c r="H55" s="333" t="s">
        <v>3292</v>
      </c>
      <c r="I55" s="377">
        <v>260000</v>
      </c>
      <c r="J55" s="333" t="s">
        <v>3293</v>
      </c>
      <c r="K55" s="377">
        <v>250000</v>
      </c>
      <c r="L55" s="333" t="s">
        <v>3294</v>
      </c>
      <c r="M55" s="377">
        <v>0</v>
      </c>
      <c r="N55" s="333" t="s">
        <v>378</v>
      </c>
      <c r="O55" s="377">
        <f t="shared" si="0"/>
        <v>221357.5</v>
      </c>
      <c r="P55" s="377">
        <v>0</v>
      </c>
      <c r="Q55" s="377">
        <v>0</v>
      </c>
      <c r="R55" s="377">
        <v>0</v>
      </c>
      <c r="S55" s="377">
        <v>0</v>
      </c>
      <c r="T55" s="377">
        <v>0</v>
      </c>
      <c r="U55" s="377">
        <v>0</v>
      </c>
      <c r="V55" s="377">
        <v>0</v>
      </c>
      <c r="W55" s="333" t="s">
        <v>3320</v>
      </c>
      <c r="X55" s="333" t="s">
        <v>378</v>
      </c>
      <c r="Y55" s="329" t="s">
        <v>378</v>
      </c>
      <c r="Z55" s="329" t="s">
        <v>378</v>
      </c>
      <c r="AA55" s="378"/>
      <c r="AB55" s="329" t="s">
        <v>378</v>
      </c>
    </row>
    <row r="56" spans="1:28" ht="30" customHeight="1">
      <c r="A56" s="333" t="s">
        <v>1479</v>
      </c>
      <c r="B56" s="333" t="s">
        <v>1054</v>
      </c>
      <c r="C56" s="333" t="s">
        <v>315</v>
      </c>
      <c r="D56" s="376" t="s">
        <v>265</v>
      </c>
      <c r="E56" s="377">
        <v>0</v>
      </c>
      <c r="F56" s="333" t="s">
        <v>378</v>
      </c>
      <c r="G56" s="377">
        <v>500000</v>
      </c>
      <c r="H56" s="333" t="s">
        <v>3292</v>
      </c>
      <c r="I56" s="377">
        <v>495000</v>
      </c>
      <c r="J56" s="333" t="s">
        <v>3293</v>
      </c>
      <c r="K56" s="377">
        <v>480000</v>
      </c>
      <c r="L56" s="333" t="s">
        <v>3294</v>
      </c>
      <c r="M56" s="377">
        <v>0</v>
      </c>
      <c r="N56" s="333" t="s">
        <v>378</v>
      </c>
      <c r="O56" s="377">
        <f t="shared" si="0"/>
        <v>425006.4</v>
      </c>
      <c r="P56" s="377">
        <v>0</v>
      </c>
      <c r="Q56" s="377">
        <v>0</v>
      </c>
      <c r="R56" s="377">
        <v>0</v>
      </c>
      <c r="S56" s="377">
        <v>0</v>
      </c>
      <c r="T56" s="377">
        <v>0</v>
      </c>
      <c r="U56" s="377">
        <v>0</v>
      </c>
      <c r="V56" s="377">
        <v>0</v>
      </c>
      <c r="W56" s="333" t="s">
        <v>3321</v>
      </c>
      <c r="X56" s="333" t="s">
        <v>378</v>
      </c>
      <c r="Y56" s="329" t="s">
        <v>378</v>
      </c>
      <c r="Z56" s="329" t="s">
        <v>378</v>
      </c>
      <c r="AA56" s="378"/>
      <c r="AB56" s="329" t="s">
        <v>378</v>
      </c>
    </row>
    <row r="57" spans="1:28" ht="30" customHeight="1">
      <c r="A57" s="333" t="s">
        <v>1481</v>
      </c>
      <c r="B57" s="333" t="s">
        <v>1055</v>
      </c>
      <c r="C57" s="333" t="s">
        <v>317</v>
      </c>
      <c r="D57" s="376" t="s">
        <v>265</v>
      </c>
      <c r="E57" s="377">
        <v>0</v>
      </c>
      <c r="F57" s="333" t="s">
        <v>378</v>
      </c>
      <c r="G57" s="377">
        <v>517000</v>
      </c>
      <c r="H57" s="333" t="s">
        <v>3292</v>
      </c>
      <c r="I57" s="377">
        <v>515000</v>
      </c>
      <c r="J57" s="333" t="s">
        <v>3293</v>
      </c>
      <c r="K57" s="377">
        <v>510000</v>
      </c>
      <c r="L57" s="333" t="s">
        <v>3294</v>
      </c>
      <c r="M57" s="377">
        <v>0</v>
      </c>
      <c r="N57" s="333" t="s">
        <v>378</v>
      </c>
      <c r="O57" s="377">
        <f t="shared" si="0"/>
        <v>451569.30000000005</v>
      </c>
      <c r="P57" s="377">
        <v>0</v>
      </c>
      <c r="Q57" s="377">
        <v>0</v>
      </c>
      <c r="R57" s="377">
        <v>0</v>
      </c>
      <c r="S57" s="377">
        <v>0</v>
      </c>
      <c r="T57" s="377">
        <v>0</v>
      </c>
      <c r="U57" s="377">
        <v>0</v>
      </c>
      <c r="V57" s="377">
        <v>0</v>
      </c>
      <c r="W57" s="333" t="s">
        <v>3322</v>
      </c>
      <c r="X57" s="333" t="s">
        <v>378</v>
      </c>
      <c r="Y57" s="329" t="s">
        <v>378</v>
      </c>
      <c r="Z57" s="329" t="s">
        <v>378</v>
      </c>
      <c r="AA57" s="378"/>
      <c r="AB57" s="329" t="s">
        <v>378</v>
      </c>
    </row>
    <row r="58" spans="1:28" ht="30" customHeight="1">
      <c r="A58" s="333" t="s">
        <v>1483</v>
      </c>
      <c r="B58" s="333" t="s">
        <v>1056</v>
      </c>
      <c r="C58" s="333" t="s">
        <v>1057</v>
      </c>
      <c r="D58" s="376" t="s">
        <v>265</v>
      </c>
      <c r="E58" s="377">
        <v>0</v>
      </c>
      <c r="F58" s="333" t="s">
        <v>378</v>
      </c>
      <c r="G58" s="377">
        <v>335000</v>
      </c>
      <c r="H58" s="333" t="s">
        <v>3292</v>
      </c>
      <c r="I58" s="377">
        <v>332000</v>
      </c>
      <c r="J58" s="333" t="s">
        <v>3293</v>
      </c>
      <c r="K58" s="377">
        <v>330000</v>
      </c>
      <c r="L58" s="333" t="s">
        <v>3294</v>
      </c>
      <c r="M58" s="377">
        <v>0</v>
      </c>
      <c r="N58" s="333" t="s">
        <v>378</v>
      </c>
      <c r="O58" s="377">
        <f t="shared" si="0"/>
        <v>292191.90000000002</v>
      </c>
      <c r="P58" s="377">
        <v>0</v>
      </c>
      <c r="Q58" s="377">
        <v>0</v>
      </c>
      <c r="R58" s="377">
        <v>0</v>
      </c>
      <c r="S58" s="377">
        <v>0</v>
      </c>
      <c r="T58" s="377">
        <v>0</v>
      </c>
      <c r="U58" s="377">
        <v>0</v>
      </c>
      <c r="V58" s="377">
        <v>0</v>
      </c>
      <c r="W58" s="333" t="s">
        <v>3323</v>
      </c>
      <c r="X58" s="333" t="s">
        <v>378</v>
      </c>
      <c r="Y58" s="329" t="s">
        <v>378</v>
      </c>
      <c r="Z58" s="329" t="s">
        <v>378</v>
      </c>
      <c r="AA58" s="378"/>
      <c r="AB58" s="329" t="s">
        <v>378</v>
      </c>
    </row>
    <row r="59" spans="1:28" ht="30" customHeight="1">
      <c r="A59" s="333" t="s">
        <v>2609</v>
      </c>
      <c r="B59" s="333" t="s">
        <v>2608</v>
      </c>
      <c r="C59" s="333" t="s">
        <v>1048</v>
      </c>
      <c r="D59" s="376" t="s">
        <v>265</v>
      </c>
      <c r="E59" s="377">
        <v>0</v>
      </c>
      <c r="F59" s="333" t="s">
        <v>378</v>
      </c>
      <c r="G59" s="377">
        <v>0</v>
      </c>
      <c r="H59" s="333" t="s">
        <v>378</v>
      </c>
      <c r="I59" s="377">
        <v>0</v>
      </c>
      <c r="J59" s="333" t="s">
        <v>378</v>
      </c>
      <c r="K59" s="377">
        <v>0</v>
      </c>
      <c r="L59" s="333" t="s">
        <v>378</v>
      </c>
      <c r="M59" s="377">
        <v>0</v>
      </c>
      <c r="N59" s="333" t="s">
        <v>378</v>
      </c>
      <c r="O59" s="377"/>
      <c r="P59" s="377">
        <v>0</v>
      </c>
      <c r="Q59" s="377">
        <v>0</v>
      </c>
      <c r="R59" s="377">
        <v>0</v>
      </c>
      <c r="S59" s="377">
        <v>0</v>
      </c>
      <c r="T59" s="377">
        <v>0</v>
      </c>
      <c r="U59" s="377">
        <v>0</v>
      </c>
      <c r="V59" s="377">
        <v>0</v>
      </c>
      <c r="W59" s="333" t="s">
        <v>3324</v>
      </c>
      <c r="X59" s="333" t="s">
        <v>378</v>
      </c>
      <c r="Y59" s="329" t="s">
        <v>378</v>
      </c>
      <c r="Z59" s="329" t="s">
        <v>378</v>
      </c>
      <c r="AA59" s="378"/>
      <c r="AB59" s="329" t="s">
        <v>378</v>
      </c>
    </row>
    <row r="60" spans="1:28" ht="30" customHeight="1">
      <c r="A60" s="333" t="s">
        <v>2605</v>
      </c>
      <c r="B60" s="333" t="s">
        <v>2604</v>
      </c>
      <c r="C60" s="333" t="s">
        <v>378</v>
      </c>
      <c r="D60" s="376" t="s">
        <v>265</v>
      </c>
      <c r="E60" s="377">
        <v>0</v>
      </c>
      <c r="F60" s="333" t="s">
        <v>378</v>
      </c>
      <c r="G60" s="377">
        <v>84000</v>
      </c>
      <c r="H60" s="333" t="s">
        <v>3284</v>
      </c>
      <c r="I60" s="377">
        <v>135000</v>
      </c>
      <c r="J60" s="333" t="s">
        <v>3325</v>
      </c>
      <c r="K60" s="377">
        <v>81200</v>
      </c>
      <c r="L60" s="333" t="s">
        <v>3326</v>
      </c>
      <c r="M60" s="377">
        <v>0</v>
      </c>
      <c r="N60" s="333" t="s">
        <v>378</v>
      </c>
      <c r="O60" s="377">
        <f t="shared" si="0"/>
        <v>71896.915999999997</v>
      </c>
      <c r="P60" s="377">
        <v>0</v>
      </c>
      <c r="Q60" s="377">
        <v>0</v>
      </c>
      <c r="R60" s="377">
        <v>0</v>
      </c>
      <c r="S60" s="377">
        <v>0</v>
      </c>
      <c r="T60" s="377">
        <v>0</v>
      </c>
      <c r="U60" s="377">
        <v>0</v>
      </c>
      <c r="V60" s="377">
        <v>0</v>
      </c>
      <c r="W60" s="333" t="s">
        <v>3327</v>
      </c>
      <c r="X60" s="333" t="s">
        <v>378</v>
      </c>
      <c r="Y60" s="329" t="s">
        <v>378</v>
      </c>
      <c r="Z60" s="329" t="s">
        <v>378</v>
      </c>
      <c r="AA60" s="378"/>
      <c r="AB60" s="329" t="s">
        <v>378</v>
      </c>
    </row>
    <row r="61" spans="1:28" ht="30" customHeight="1">
      <c r="A61" s="333"/>
      <c r="B61" s="333" t="s">
        <v>1417</v>
      </c>
      <c r="C61" s="333" t="s">
        <v>553</v>
      </c>
      <c r="D61" s="376" t="s">
        <v>321</v>
      </c>
      <c r="E61" s="377"/>
      <c r="F61" s="333"/>
      <c r="G61" s="377">
        <v>2055161</v>
      </c>
      <c r="H61" s="333" t="s">
        <v>3292</v>
      </c>
      <c r="I61" s="377">
        <v>1980956</v>
      </c>
      <c r="J61" s="333" t="s">
        <v>3293</v>
      </c>
      <c r="K61" s="377">
        <v>1917137</v>
      </c>
      <c r="L61" s="333" t="s">
        <v>3294</v>
      </c>
      <c r="M61" s="377">
        <v>0</v>
      </c>
      <c r="N61" s="333" t="s">
        <v>378</v>
      </c>
      <c r="O61" s="377">
        <f t="shared" si="0"/>
        <v>1697490.6139100001</v>
      </c>
      <c r="P61" s="377"/>
      <c r="Q61" s="377"/>
      <c r="R61" s="377"/>
      <c r="S61" s="377"/>
      <c r="T61" s="377"/>
      <c r="U61" s="377"/>
      <c r="V61" s="377"/>
      <c r="W61" s="333"/>
      <c r="X61" s="333"/>
      <c r="Y61" s="329"/>
      <c r="Z61" s="329"/>
      <c r="AA61" s="378"/>
      <c r="AB61" s="329"/>
    </row>
    <row r="62" spans="1:28" ht="30" customHeight="1">
      <c r="A62" s="333" t="s">
        <v>1419</v>
      </c>
      <c r="B62" s="333" t="s">
        <v>1418</v>
      </c>
      <c r="C62" s="333" t="s">
        <v>553</v>
      </c>
      <c r="D62" s="376" t="s">
        <v>321</v>
      </c>
      <c r="E62" s="377">
        <v>0</v>
      </c>
      <c r="F62" s="333" t="s">
        <v>378</v>
      </c>
      <c r="G62" s="377">
        <v>11141828</v>
      </c>
      <c r="H62" s="333" t="s">
        <v>3292</v>
      </c>
      <c r="I62" s="377">
        <v>10741147</v>
      </c>
      <c r="J62" s="333" t="s">
        <v>3293</v>
      </c>
      <c r="K62" s="377">
        <v>10396540</v>
      </c>
      <c r="L62" s="333" t="s">
        <v>3294</v>
      </c>
      <c r="M62" s="377">
        <v>0</v>
      </c>
      <c r="N62" s="333" t="s">
        <v>378</v>
      </c>
      <c r="O62" s="377">
        <f t="shared" si="0"/>
        <v>9205408.4122000001</v>
      </c>
      <c r="P62" s="377">
        <v>0</v>
      </c>
      <c r="Q62" s="377">
        <v>0</v>
      </c>
      <c r="R62" s="377">
        <v>0</v>
      </c>
      <c r="S62" s="377">
        <v>0</v>
      </c>
      <c r="T62" s="377">
        <v>0</v>
      </c>
      <c r="U62" s="377">
        <v>0</v>
      </c>
      <c r="V62" s="377">
        <v>0</v>
      </c>
      <c r="W62" s="333" t="s">
        <v>3328</v>
      </c>
      <c r="X62" s="333" t="s">
        <v>378</v>
      </c>
      <c r="Y62" s="329" t="s">
        <v>378</v>
      </c>
      <c r="Z62" s="329" t="s">
        <v>378</v>
      </c>
      <c r="AA62" s="378"/>
      <c r="AB62" s="329" t="s">
        <v>378</v>
      </c>
    </row>
    <row r="63" spans="1:28" ht="30" customHeight="1">
      <c r="A63" s="333" t="s">
        <v>1426</v>
      </c>
      <c r="B63" s="333" t="s">
        <v>3329</v>
      </c>
      <c r="C63" s="333" t="s">
        <v>558</v>
      </c>
      <c r="D63" s="376" t="s">
        <v>321</v>
      </c>
      <c r="E63" s="377">
        <v>0</v>
      </c>
      <c r="F63" s="333" t="s">
        <v>378</v>
      </c>
      <c r="G63" s="377">
        <v>3158349</v>
      </c>
      <c r="H63" s="333" t="s">
        <v>3292</v>
      </c>
      <c r="I63" s="377">
        <v>3068576</v>
      </c>
      <c r="J63" s="333" t="s">
        <v>3293</v>
      </c>
      <c r="K63" s="377">
        <v>2991338</v>
      </c>
      <c r="L63" s="333" t="s">
        <v>3294</v>
      </c>
      <c r="M63" s="377">
        <v>0</v>
      </c>
      <c r="N63" s="333" t="s">
        <v>378</v>
      </c>
      <c r="O63" s="377">
        <f t="shared" si="0"/>
        <v>2648620.4053400001</v>
      </c>
      <c r="P63" s="377">
        <v>0</v>
      </c>
      <c r="Q63" s="377">
        <v>0</v>
      </c>
      <c r="R63" s="377">
        <v>0</v>
      </c>
      <c r="S63" s="377">
        <v>0</v>
      </c>
      <c r="T63" s="377">
        <v>0</v>
      </c>
      <c r="U63" s="377">
        <v>0</v>
      </c>
      <c r="V63" s="377">
        <v>0</v>
      </c>
      <c r="W63" s="333" t="s">
        <v>3330</v>
      </c>
      <c r="X63" s="333" t="s">
        <v>378</v>
      </c>
      <c r="Y63" s="329" t="s">
        <v>378</v>
      </c>
      <c r="Z63" s="329" t="s">
        <v>378</v>
      </c>
      <c r="AA63" s="378"/>
      <c r="AB63" s="329" t="s">
        <v>378</v>
      </c>
    </row>
    <row r="64" spans="1:28" ht="30" customHeight="1">
      <c r="A64" s="333" t="s">
        <v>1424</v>
      </c>
      <c r="B64" s="333" t="s">
        <v>557</v>
      </c>
      <c r="C64" s="333" t="s">
        <v>558</v>
      </c>
      <c r="D64" s="376" t="s">
        <v>321</v>
      </c>
      <c r="E64" s="377">
        <v>0</v>
      </c>
      <c r="F64" s="333" t="s">
        <v>378</v>
      </c>
      <c r="G64" s="377">
        <v>329070</v>
      </c>
      <c r="H64" s="333" t="s">
        <v>3292</v>
      </c>
      <c r="I64" s="377">
        <v>318979</v>
      </c>
      <c r="J64" s="333" t="s">
        <v>3293</v>
      </c>
      <c r="K64" s="377">
        <v>310301</v>
      </c>
      <c r="L64" s="333" t="s">
        <v>3294</v>
      </c>
      <c r="M64" s="377">
        <v>0</v>
      </c>
      <c r="N64" s="333" t="s">
        <v>378</v>
      </c>
      <c r="O64" s="377">
        <f t="shared" si="0"/>
        <v>274749.81443000003</v>
      </c>
      <c r="P64" s="377">
        <v>0</v>
      </c>
      <c r="Q64" s="377">
        <v>0</v>
      </c>
      <c r="R64" s="377">
        <v>0</v>
      </c>
      <c r="S64" s="377">
        <v>0</v>
      </c>
      <c r="T64" s="377">
        <v>0</v>
      </c>
      <c r="U64" s="377">
        <v>0</v>
      </c>
      <c r="V64" s="377">
        <v>0</v>
      </c>
      <c r="W64" s="333" t="s">
        <v>3331</v>
      </c>
      <c r="X64" s="333" t="s">
        <v>378</v>
      </c>
      <c r="Y64" s="329" t="s">
        <v>378</v>
      </c>
      <c r="Z64" s="329" t="s">
        <v>378</v>
      </c>
      <c r="AA64" s="378"/>
      <c r="AB64" s="329" t="s">
        <v>378</v>
      </c>
    </row>
    <row r="65" spans="1:28" ht="30" customHeight="1">
      <c r="A65" s="333" t="s">
        <v>1428</v>
      </c>
      <c r="B65" s="333" t="s">
        <v>560</v>
      </c>
      <c r="C65" s="333" t="s">
        <v>558</v>
      </c>
      <c r="D65" s="376" t="s">
        <v>321</v>
      </c>
      <c r="E65" s="377">
        <v>0</v>
      </c>
      <c r="F65" s="333" t="s">
        <v>378</v>
      </c>
      <c r="G65" s="377">
        <v>2801390</v>
      </c>
      <c r="H65" s="333" t="s">
        <v>3292</v>
      </c>
      <c r="I65" s="377">
        <v>2723443</v>
      </c>
      <c r="J65" s="333" t="s">
        <v>3293</v>
      </c>
      <c r="K65" s="377">
        <v>2656377</v>
      </c>
      <c r="L65" s="333" t="s">
        <v>3294</v>
      </c>
      <c r="M65" s="377">
        <v>0</v>
      </c>
      <c r="N65" s="333" t="s">
        <v>378</v>
      </c>
      <c r="O65" s="377">
        <f t="shared" si="0"/>
        <v>2352035.88711</v>
      </c>
      <c r="P65" s="377">
        <v>0</v>
      </c>
      <c r="Q65" s="377">
        <v>0</v>
      </c>
      <c r="R65" s="377">
        <v>0</v>
      </c>
      <c r="S65" s="377">
        <v>0</v>
      </c>
      <c r="T65" s="377">
        <v>0</v>
      </c>
      <c r="U65" s="377">
        <v>0</v>
      </c>
      <c r="V65" s="377">
        <v>0</v>
      </c>
      <c r="W65" s="333" t="s">
        <v>3332</v>
      </c>
      <c r="X65" s="333" t="s">
        <v>378</v>
      </c>
      <c r="Y65" s="329" t="s">
        <v>378</v>
      </c>
      <c r="Z65" s="329" t="s">
        <v>378</v>
      </c>
      <c r="AA65" s="378"/>
      <c r="AB65" s="329" t="s">
        <v>378</v>
      </c>
    </row>
    <row r="66" spans="1:28" ht="30" customHeight="1">
      <c r="A66" s="333" t="s">
        <v>1430</v>
      </c>
      <c r="B66" s="333" t="s">
        <v>561</v>
      </c>
      <c r="C66" s="333" t="s">
        <v>558</v>
      </c>
      <c r="D66" s="376" t="s">
        <v>321</v>
      </c>
      <c r="E66" s="377">
        <v>0</v>
      </c>
      <c r="F66" s="333" t="s">
        <v>378</v>
      </c>
      <c r="G66" s="377">
        <v>1401094</v>
      </c>
      <c r="H66" s="333" t="s">
        <v>3292</v>
      </c>
      <c r="I66" s="377">
        <v>1361523</v>
      </c>
      <c r="J66" s="333" t="s">
        <v>3293</v>
      </c>
      <c r="K66" s="377">
        <v>1327472</v>
      </c>
      <c r="L66" s="333" t="s">
        <v>3294</v>
      </c>
      <c r="M66" s="377">
        <v>0</v>
      </c>
      <c r="N66" s="333" t="s">
        <v>378</v>
      </c>
      <c r="O66" s="377">
        <f t="shared" si="0"/>
        <v>1175383.53296</v>
      </c>
      <c r="P66" s="377">
        <v>0</v>
      </c>
      <c r="Q66" s="377">
        <v>0</v>
      </c>
      <c r="R66" s="377">
        <v>0</v>
      </c>
      <c r="S66" s="377">
        <v>0</v>
      </c>
      <c r="T66" s="377">
        <v>0</v>
      </c>
      <c r="U66" s="377">
        <v>0</v>
      </c>
      <c r="V66" s="377">
        <v>0</v>
      </c>
      <c r="W66" s="333" t="s">
        <v>3333</v>
      </c>
      <c r="X66" s="333" t="s">
        <v>378</v>
      </c>
      <c r="Y66" s="329" t="s">
        <v>378</v>
      </c>
      <c r="Z66" s="329" t="s">
        <v>378</v>
      </c>
      <c r="AA66" s="378"/>
      <c r="AB66" s="329" t="s">
        <v>378</v>
      </c>
    </row>
    <row r="67" spans="1:28" ht="30" customHeight="1">
      <c r="A67" s="333" t="s">
        <v>1432</v>
      </c>
      <c r="B67" s="333" t="s">
        <v>562</v>
      </c>
      <c r="C67" s="333" t="s">
        <v>563</v>
      </c>
      <c r="D67" s="376" t="s">
        <v>321</v>
      </c>
      <c r="E67" s="377">
        <v>0</v>
      </c>
      <c r="F67" s="333" t="s">
        <v>378</v>
      </c>
      <c r="G67" s="377">
        <v>3907948</v>
      </c>
      <c r="H67" s="333" t="s">
        <v>3292</v>
      </c>
      <c r="I67" s="377">
        <v>3772479</v>
      </c>
      <c r="J67" s="333" t="s">
        <v>3293</v>
      </c>
      <c r="K67" s="377">
        <v>3655964</v>
      </c>
      <c r="L67" s="333" t="s">
        <v>3294</v>
      </c>
      <c r="M67" s="377">
        <v>0</v>
      </c>
      <c r="N67" s="333" t="s">
        <v>378</v>
      </c>
      <c r="O67" s="377">
        <f t="shared" si="0"/>
        <v>3237100.2045200001</v>
      </c>
      <c r="P67" s="377">
        <v>0</v>
      </c>
      <c r="Q67" s="377">
        <v>0</v>
      </c>
      <c r="R67" s="377">
        <v>0</v>
      </c>
      <c r="S67" s="377">
        <v>0</v>
      </c>
      <c r="T67" s="377">
        <v>0</v>
      </c>
      <c r="U67" s="377">
        <v>0</v>
      </c>
      <c r="V67" s="377">
        <v>0</v>
      </c>
      <c r="W67" s="333" t="s">
        <v>3334</v>
      </c>
      <c r="X67" s="333" t="s">
        <v>378</v>
      </c>
      <c r="Y67" s="329" t="s">
        <v>378</v>
      </c>
      <c r="Z67" s="329" t="s">
        <v>378</v>
      </c>
      <c r="AA67" s="378"/>
      <c r="AB67" s="329" t="s">
        <v>378</v>
      </c>
    </row>
    <row r="68" spans="1:28" ht="30" customHeight="1">
      <c r="A68" s="333" t="s">
        <v>2447</v>
      </c>
      <c r="B68" s="333" t="s">
        <v>2445</v>
      </c>
      <c r="C68" s="333" t="s">
        <v>2446</v>
      </c>
      <c r="D68" s="376" t="s">
        <v>321</v>
      </c>
      <c r="E68" s="377">
        <v>0</v>
      </c>
      <c r="F68" s="333" t="s">
        <v>378</v>
      </c>
      <c r="G68" s="377">
        <v>0</v>
      </c>
      <c r="H68" s="333" t="s">
        <v>378</v>
      </c>
      <c r="I68" s="377">
        <v>0</v>
      </c>
      <c r="J68" s="333" t="s">
        <v>378</v>
      </c>
      <c r="K68" s="377">
        <v>0</v>
      </c>
      <c r="L68" s="333" t="s">
        <v>378</v>
      </c>
      <c r="M68" s="377">
        <v>0</v>
      </c>
      <c r="N68" s="333" t="s">
        <v>378</v>
      </c>
      <c r="O68" s="377"/>
      <c r="P68" s="377">
        <v>0</v>
      </c>
      <c r="Q68" s="377">
        <v>0</v>
      </c>
      <c r="R68" s="377">
        <v>0</v>
      </c>
      <c r="S68" s="377">
        <v>0</v>
      </c>
      <c r="T68" s="377">
        <v>0</v>
      </c>
      <c r="U68" s="377">
        <v>0</v>
      </c>
      <c r="V68" s="377">
        <v>0</v>
      </c>
      <c r="W68" s="333" t="s">
        <v>3335</v>
      </c>
      <c r="X68" s="333" t="s">
        <v>378</v>
      </c>
      <c r="Y68" s="329" t="s">
        <v>378</v>
      </c>
      <c r="Z68" s="329" t="s">
        <v>378</v>
      </c>
      <c r="AA68" s="378"/>
      <c r="AB68" s="329" t="s">
        <v>378</v>
      </c>
    </row>
    <row r="69" spans="1:28" ht="30" customHeight="1">
      <c r="A69" s="333" t="s">
        <v>2454</v>
      </c>
      <c r="B69" s="333" t="s">
        <v>2452</v>
      </c>
      <c r="C69" s="333" t="s">
        <v>2453</v>
      </c>
      <c r="D69" s="376" t="s">
        <v>321</v>
      </c>
      <c r="E69" s="377">
        <v>0</v>
      </c>
      <c r="F69" s="333" t="s">
        <v>378</v>
      </c>
      <c r="G69" s="377">
        <v>0</v>
      </c>
      <c r="H69" s="333" t="s">
        <v>378</v>
      </c>
      <c r="I69" s="377">
        <v>0</v>
      </c>
      <c r="J69" s="333" t="s">
        <v>378</v>
      </c>
      <c r="K69" s="377">
        <v>0</v>
      </c>
      <c r="L69" s="333" t="s">
        <v>378</v>
      </c>
      <c r="M69" s="377">
        <v>0</v>
      </c>
      <c r="N69" s="333" t="s">
        <v>378</v>
      </c>
      <c r="O69" s="377"/>
      <c r="P69" s="377">
        <v>0</v>
      </c>
      <c r="Q69" s="377">
        <v>0</v>
      </c>
      <c r="R69" s="377">
        <v>0</v>
      </c>
      <c r="S69" s="377">
        <v>0</v>
      </c>
      <c r="T69" s="377">
        <v>0</v>
      </c>
      <c r="U69" s="377">
        <v>0</v>
      </c>
      <c r="V69" s="377">
        <v>0</v>
      </c>
      <c r="W69" s="333" t="s">
        <v>3336</v>
      </c>
      <c r="X69" s="333" t="s">
        <v>378</v>
      </c>
      <c r="Y69" s="329" t="s">
        <v>378</v>
      </c>
      <c r="Z69" s="329" t="s">
        <v>378</v>
      </c>
      <c r="AA69" s="378"/>
      <c r="AB69" s="329" t="s">
        <v>378</v>
      </c>
    </row>
    <row r="70" spans="1:28" ht="30" customHeight="1">
      <c r="A70" s="333" t="s">
        <v>2466</v>
      </c>
      <c r="B70" s="333" t="s">
        <v>2465</v>
      </c>
      <c r="C70" s="333" t="s">
        <v>320</v>
      </c>
      <c r="D70" s="376" t="s">
        <v>321</v>
      </c>
      <c r="E70" s="377">
        <v>0</v>
      </c>
      <c r="F70" s="333" t="s">
        <v>378</v>
      </c>
      <c r="G70" s="377">
        <v>0</v>
      </c>
      <c r="H70" s="333" t="s">
        <v>378</v>
      </c>
      <c r="I70" s="377">
        <v>0</v>
      </c>
      <c r="J70" s="333" t="s">
        <v>378</v>
      </c>
      <c r="K70" s="377">
        <v>0</v>
      </c>
      <c r="L70" s="333" t="s">
        <v>378</v>
      </c>
      <c r="M70" s="377">
        <v>0</v>
      </c>
      <c r="N70" s="333" t="s">
        <v>378</v>
      </c>
      <c r="O70" s="377"/>
      <c r="P70" s="377">
        <v>0</v>
      </c>
      <c r="Q70" s="377">
        <v>0</v>
      </c>
      <c r="R70" s="377">
        <v>0</v>
      </c>
      <c r="S70" s="377">
        <v>0</v>
      </c>
      <c r="T70" s="377">
        <v>0</v>
      </c>
      <c r="U70" s="377">
        <v>0</v>
      </c>
      <c r="V70" s="377">
        <v>0</v>
      </c>
      <c r="W70" s="333" t="s">
        <v>3337</v>
      </c>
      <c r="X70" s="333" t="s">
        <v>378</v>
      </c>
      <c r="Y70" s="329" t="s">
        <v>378</v>
      </c>
      <c r="Z70" s="329" t="s">
        <v>378</v>
      </c>
      <c r="AA70" s="378"/>
      <c r="AB70" s="329" t="s">
        <v>378</v>
      </c>
    </row>
    <row r="71" spans="1:28" ht="30" customHeight="1">
      <c r="A71" s="333" t="s">
        <v>2570</v>
      </c>
      <c r="B71" s="333" t="s">
        <v>2569</v>
      </c>
      <c r="C71" s="333" t="s">
        <v>378</v>
      </c>
      <c r="D71" s="376" t="s">
        <v>265</v>
      </c>
      <c r="E71" s="377">
        <v>0</v>
      </c>
      <c r="F71" s="333" t="s">
        <v>378</v>
      </c>
      <c r="G71" s="377">
        <v>49000</v>
      </c>
      <c r="H71" s="333" t="s">
        <v>3284</v>
      </c>
      <c r="I71" s="377">
        <v>0</v>
      </c>
      <c r="J71" s="333" t="s">
        <v>378</v>
      </c>
      <c r="K71" s="377">
        <v>49000</v>
      </c>
      <c r="L71" s="333" t="s">
        <v>3326</v>
      </c>
      <c r="M71" s="377">
        <v>0</v>
      </c>
      <c r="N71" s="333" t="s">
        <v>378</v>
      </c>
      <c r="O71" s="377">
        <f t="shared" ref="O71:O134" si="1">SMALL(E71:M71,COUNTIF(E71:M71,0)+1)*$AD$3</f>
        <v>43386.07</v>
      </c>
      <c r="P71" s="377">
        <v>0</v>
      </c>
      <c r="Q71" s="377">
        <v>0</v>
      </c>
      <c r="R71" s="377">
        <v>0</v>
      </c>
      <c r="S71" s="377">
        <v>0</v>
      </c>
      <c r="T71" s="377">
        <v>0</v>
      </c>
      <c r="U71" s="377">
        <v>0</v>
      </c>
      <c r="V71" s="377">
        <v>0</v>
      </c>
      <c r="W71" s="333" t="s">
        <v>3338</v>
      </c>
      <c r="X71" s="333" t="s">
        <v>378</v>
      </c>
      <c r="Y71" s="329" t="s">
        <v>378</v>
      </c>
      <c r="Z71" s="329" t="s">
        <v>378</v>
      </c>
      <c r="AA71" s="378"/>
      <c r="AB71" s="329" t="s">
        <v>378</v>
      </c>
    </row>
    <row r="72" spans="1:28" ht="30" customHeight="1">
      <c r="A72" s="333" t="s">
        <v>2574</v>
      </c>
      <c r="B72" s="333" t="s">
        <v>2573</v>
      </c>
      <c r="C72" s="333" t="s">
        <v>320</v>
      </c>
      <c r="D72" s="376" t="s">
        <v>321</v>
      </c>
      <c r="E72" s="377">
        <v>0</v>
      </c>
      <c r="F72" s="333" t="s">
        <v>378</v>
      </c>
      <c r="G72" s="377">
        <v>980000</v>
      </c>
      <c r="H72" s="333" t="s">
        <v>3292</v>
      </c>
      <c r="I72" s="377">
        <v>950000</v>
      </c>
      <c r="J72" s="333" t="s">
        <v>3293</v>
      </c>
      <c r="K72" s="377">
        <v>900000</v>
      </c>
      <c r="L72" s="333" t="s">
        <v>3294</v>
      </c>
      <c r="M72" s="377">
        <v>0</v>
      </c>
      <c r="N72" s="333" t="s">
        <v>378</v>
      </c>
      <c r="O72" s="377">
        <f t="shared" si="1"/>
        <v>796887</v>
      </c>
      <c r="P72" s="377">
        <v>0</v>
      </c>
      <c r="Q72" s="377">
        <v>0</v>
      </c>
      <c r="R72" s="377">
        <v>0</v>
      </c>
      <c r="S72" s="377">
        <v>0</v>
      </c>
      <c r="T72" s="377">
        <v>0</v>
      </c>
      <c r="U72" s="377">
        <v>0</v>
      </c>
      <c r="V72" s="377">
        <v>0</v>
      </c>
      <c r="W72" s="333" t="s">
        <v>3339</v>
      </c>
      <c r="X72" s="333" t="s">
        <v>378</v>
      </c>
      <c r="Y72" s="329" t="s">
        <v>378</v>
      </c>
      <c r="Z72" s="329" t="s">
        <v>378</v>
      </c>
      <c r="AA72" s="378"/>
      <c r="AB72" s="329" t="s">
        <v>378</v>
      </c>
    </row>
    <row r="73" spans="1:28" ht="30" customHeight="1">
      <c r="A73" s="333" t="s">
        <v>2579</v>
      </c>
      <c r="B73" s="333" t="s">
        <v>2577</v>
      </c>
      <c r="C73" s="333" t="s">
        <v>2578</v>
      </c>
      <c r="D73" s="376" t="s">
        <v>265</v>
      </c>
      <c r="E73" s="377">
        <v>0</v>
      </c>
      <c r="F73" s="333" t="s">
        <v>378</v>
      </c>
      <c r="G73" s="377">
        <v>172000</v>
      </c>
      <c r="H73" s="333" t="s">
        <v>3292</v>
      </c>
      <c r="I73" s="377">
        <v>180000</v>
      </c>
      <c r="J73" s="333" t="s">
        <v>3293</v>
      </c>
      <c r="K73" s="377">
        <v>150000</v>
      </c>
      <c r="L73" s="333" t="s">
        <v>3294</v>
      </c>
      <c r="M73" s="377">
        <v>0</v>
      </c>
      <c r="N73" s="333" t="s">
        <v>378</v>
      </c>
      <c r="O73" s="377">
        <f t="shared" si="1"/>
        <v>132814.5</v>
      </c>
      <c r="P73" s="377">
        <v>0</v>
      </c>
      <c r="Q73" s="377">
        <v>0</v>
      </c>
      <c r="R73" s="377">
        <v>0</v>
      </c>
      <c r="S73" s="377">
        <v>0</v>
      </c>
      <c r="T73" s="377">
        <v>0</v>
      </c>
      <c r="U73" s="377">
        <v>0</v>
      </c>
      <c r="V73" s="377">
        <v>0</v>
      </c>
      <c r="W73" s="333" t="s">
        <v>3340</v>
      </c>
      <c r="X73" s="333" t="s">
        <v>378</v>
      </c>
      <c r="Y73" s="329" t="s">
        <v>378</v>
      </c>
      <c r="Z73" s="329" t="s">
        <v>378</v>
      </c>
      <c r="AA73" s="378"/>
      <c r="AB73" s="329" t="s">
        <v>378</v>
      </c>
    </row>
    <row r="74" spans="1:28" ht="30" customHeight="1">
      <c r="A74" s="333" t="s">
        <v>2582</v>
      </c>
      <c r="B74" s="333" t="s">
        <v>2581</v>
      </c>
      <c r="C74" s="333" t="s">
        <v>2581</v>
      </c>
      <c r="D74" s="376" t="s">
        <v>265</v>
      </c>
      <c r="E74" s="377">
        <v>0</v>
      </c>
      <c r="F74" s="333" t="s">
        <v>378</v>
      </c>
      <c r="G74" s="377">
        <v>0</v>
      </c>
      <c r="H74" s="333" t="s">
        <v>378</v>
      </c>
      <c r="I74" s="377">
        <v>1900</v>
      </c>
      <c r="J74" s="333" t="s">
        <v>3341</v>
      </c>
      <c r="K74" s="377">
        <v>0</v>
      </c>
      <c r="L74" s="333" t="s">
        <v>378</v>
      </c>
      <c r="M74" s="377">
        <v>0</v>
      </c>
      <c r="N74" s="333" t="s">
        <v>378</v>
      </c>
      <c r="O74" s="377">
        <f t="shared" si="1"/>
        <v>1682.317</v>
      </c>
      <c r="P74" s="377">
        <v>0</v>
      </c>
      <c r="Q74" s="377">
        <v>0</v>
      </c>
      <c r="R74" s="377">
        <v>0</v>
      </c>
      <c r="S74" s="377">
        <v>0</v>
      </c>
      <c r="T74" s="377">
        <v>0</v>
      </c>
      <c r="U74" s="377">
        <v>0</v>
      </c>
      <c r="V74" s="377">
        <v>0</v>
      </c>
      <c r="W74" s="333" t="s">
        <v>3342</v>
      </c>
      <c r="X74" s="333" t="s">
        <v>378</v>
      </c>
      <c r="Y74" s="329" t="s">
        <v>378</v>
      </c>
      <c r="Z74" s="329" t="s">
        <v>378</v>
      </c>
      <c r="AA74" s="378"/>
      <c r="AB74" s="329" t="s">
        <v>378</v>
      </c>
    </row>
    <row r="75" spans="1:28" ht="30" customHeight="1">
      <c r="A75" s="333" t="s">
        <v>2640</v>
      </c>
      <c r="B75" s="333" t="s">
        <v>336</v>
      </c>
      <c r="C75" s="333" t="s">
        <v>336</v>
      </c>
      <c r="D75" s="376" t="s">
        <v>265</v>
      </c>
      <c r="E75" s="377">
        <v>0</v>
      </c>
      <c r="F75" s="333" t="s">
        <v>378</v>
      </c>
      <c r="G75" s="377">
        <v>49000</v>
      </c>
      <c r="H75" s="333" t="s">
        <v>3284</v>
      </c>
      <c r="I75" s="377">
        <v>0</v>
      </c>
      <c r="J75" s="333" t="s">
        <v>378</v>
      </c>
      <c r="K75" s="377">
        <v>49000</v>
      </c>
      <c r="L75" s="333" t="s">
        <v>3326</v>
      </c>
      <c r="M75" s="377">
        <v>0</v>
      </c>
      <c r="N75" s="333" t="s">
        <v>378</v>
      </c>
      <c r="O75" s="377">
        <f t="shared" si="1"/>
        <v>43386.07</v>
      </c>
      <c r="P75" s="377">
        <v>0</v>
      </c>
      <c r="Q75" s="377">
        <v>0</v>
      </c>
      <c r="R75" s="377">
        <v>0</v>
      </c>
      <c r="S75" s="377">
        <v>0</v>
      </c>
      <c r="T75" s="377">
        <v>0</v>
      </c>
      <c r="U75" s="377">
        <v>0</v>
      </c>
      <c r="V75" s="377">
        <v>0</v>
      </c>
      <c r="W75" s="333" t="s">
        <v>3343</v>
      </c>
      <c r="X75" s="333" t="s">
        <v>378</v>
      </c>
      <c r="Y75" s="329" t="s">
        <v>378</v>
      </c>
      <c r="Z75" s="329" t="s">
        <v>378</v>
      </c>
      <c r="AA75" s="378"/>
      <c r="AB75" s="329" t="s">
        <v>378</v>
      </c>
    </row>
    <row r="76" spans="1:28" ht="30" customHeight="1">
      <c r="A76" s="333" t="s">
        <v>1422</v>
      </c>
      <c r="B76" s="333" t="s">
        <v>556</v>
      </c>
      <c r="C76" s="333" t="s">
        <v>320</v>
      </c>
      <c r="D76" s="376" t="s">
        <v>321</v>
      </c>
      <c r="E76" s="377">
        <v>0</v>
      </c>
      <c r="F76" s="333" t="s">
        <v>378</v>
      </c>
      <c r="G76" s="377">
        <v>3674457</v>
      </c>
      <c r="H76" s="333" t="s">
        <v>3292</v>
      </c>
      <c r="I76" s="377">
        <v>3549328</v>
      </c>
      <c r="J76" s="333" t="s">
        <v>3293</v>
      </c>
      <c r="K76" s="377">
        <v>3441695</v>
      </c>
      <c r="L76" s="333" t="s">
        <v>3294</v>
      </c>
      <c r="M76" s="377">
        <v>0</v>
      </c>
      <c r="N76" s="333" t="s">
        <v>378</v>
      </c>
      <c r="O76" s="377">
        <f t="shared" si="1"/>
        <v>3047380.00385</v>
      </c>
      <c r="P76" s="377">
        <v>0</v>
      </c>
      <c r="Q76" s="377">
        <v>0</v>
      </c>
      <c r="R76" s="377">
        <v>0</v>
      </c>
      <c r="S76" s="377">
        <v>0</v>
      </c>
      <c r="T76" s="377">
        <v>0</v>
      </c>
      <c r="U76" s="377">
        <v>0</v>
      </c>
      <c r="V76" s="377">
        <v>0</v>
      </c>
      <c r="W76" s="333" t="s">
        <v>3344</v>
      </c>
      <c r="X76" s="333" t="s">
        <v>378</v>
      </c>
      <c r="Y76" s="329" t="s">
        <v>378</v>
      </c>
      <c r="Z76" s="329" t="s">
        <v>378</v>
      </c>
      <c r="AA76" s="378"/>
      <c r="AB76" s="329" t="s">
        <v>378</v>
      </c>
    </row>
    <row r="77" spans="1:28" ht="30" customHeight="1">
      <c r="A77" s="333" t="s">
        <v>2590</v>
      </c>
      <c r="B77" s="333" t="s">
        <v>2577</v>
      </c>
      <c r="C77" s="333" t="s">
        <v>2589</v>
      </c>
      <c r="D77" s="376" t="s">
        <v>265</v>
      </c>
      <c r="E77" s="377">
        <v>0</v>
      </c>
      <c r="F77" s="333" t="s">
        <v>378</v>
      </c>
      <c r="G77" s="377">
        <v>105000</v>
      </c>
      <c r="H77" s="333" t="s">
        <v>3292</v>
      </c>
      <c r="I77" s="377">
        <v>102000</v>
      </c>
      <c r="J77" s="333" t="s">
        <v>3293</v>
      </c>
      <c r="K77" s="377">
        <v>95000</v>
      </c>
      <c r="L77" s="333" t="s">
        <v>3294</v>
      </c>
      <c r="M77" s="377">
        <v>0</v>
      </c>
      <c r="N77" s="333" t="s">
        <v>378</v>
      </c>
      <c r="O77" s="377">
        <f t="shared" si="1"/>
        <v>84115.85</v>
      </c>
      <c r="P77" s="377">
        <v>0</v>
      </c>
      <c r="Q77" s="377">
        <v>0</v>
      </c>
      <c r="R77" s="377">
        <v>0</v>
      </c>
      <c r="S77" s="377">
        <v>0</v>
      </c>
      <c r="T77" s="377">
        <v>0</v>
      </c>
      <c r="U77" s="377">
        <v>0</v>
      </c>
      <c r="V77" s="377">
        <v>0</v>
      </c>
      <c r="W77" s="333" t="s">
        <v>3345</v>
      </c>
      <c r="X77" s="333" t="s">
        <v>378</v>
      </c>
      <c r="Y77" s="329" t="s">
        <v>378</v>
      </c>
      <c r="Z77" s="329" t="s">
        <v>378</v>
      </c>
      <c r="AA77" s="378"/>
      <c r="AB77" s="329" t="s">
        <v>378</v>
      </c>
    </row>
    <row r="78" spans="1:28" ht="30" customHeight="1">
      <c r="A78" s="333" t="s">
        <v>2460</v>
      </c>
      <c r="B78" s="333" t="s">
        <v>2459</v>
      </c>
      <c r="C78" s="333" t="s">
        <v>386</v>
      </c>
      <c r="D78" s="376" t="s">
        <v>321</v>
      </c>
      <c r="E78" s="377">
        <v>0</v>
      </c>
      <c r="F78" s="333" t="s">
        <v>378</v>
      </c>
      <c r="G78" s="377">
        <v>0</v>
      </c>
      <c r="H78" s="333" t="s">
        <v>378</v>
      </c>
      <c r="I78" s="377">
        <v>0</v>
      </c>
      <c r="J78" s="333" t="s">
        <v>378</v>
      </c>
      <c r="K78" s="377">
        <v>3500000</v>
      </c>
      <c r="L78" s="333" t="s">
        <v>3294</v>
      </c>
      <c r="M78" s="377">
        <v>0</v>
      </c>
      <c r="N78" s="333" t="s">
        <v>378</v>
      </c>
      <c r="O78" s="377">
        <f t="shared" si="1"/>
        <v>3099005</v>
      </c>
      <c r="P78" s="377">
        <v>0</v>
      </c>
      <c r="Q78" s="377">
        <v>0</v>
      </c>
      <c r="R78" s="377">
        <v>0</v>
      </c>
      <c r="S78" s="377">
        <v>0</v>
      </c>
      <c r="T78" s="377">
        <v>0</v>
      </c>
      <c r="U78" s="377">
        <v>0</v>
      </c>
      <c r="V78" s="377">
        <v>0</v>
      </c>
      <c r="W78" s="333" t="s">
        <v>3346</v>
      </c>
      <c r="X78" s="333" t="s">
        <v>378</v>
      </c>
      <c r="Y78" s="329" t="s">
        <v>378</v>
      </c>
      <c r="Z78" s="329" t="s">
        <v>378</v>
      </c>
      <c r="AA78" s="378"/>
      <c r="AB78" s="329" t="s">
        <v>378</v>
      </c>
    </row>
    <row r="79" spans="1:28" ht="30" customHeight="1">
      <c r="A79" s="333" t="s">
        <v>2700</v>
      </c>
      <c r="B79" s="333" t="s">
        <v>418</v>
      </c>
      <c r="C79" s="333" t="s">
        <v>431</v>
      </c>
      <c r="D79" s="376" t="s">
        <v>321</v>
      </c>
      <c r="E79" s="377">
        <v>0</v>
      </c>
      <c r="F79" s="333" t="s">
        <v>378</v>
      </c>
      <c r="G79" s="377">
        <v>0</v>
      </c>
      <c r="H79" s="333" t="s">
        <v>378</v>
      </c>
      <c r="I79" s="377">
        <v>0</v>
      </c>
      <c r="J79" s="333" t="s">
        <v>378</v>
      </c>
      <c r="K79" s="377">
        <v>0</v>
      </c>
      <c r="L79" s="333" t="s">
        <v>378</v>
      </c>
      <c r="M79" s="377">
        <v>0</v>
      </c>
      <c r="N79" s="333" t="s">
        <v>378</v>
      </c>
      <c r="O79" s="377"/>
      <c r="P79" s="377">
        <v>0</v>
      </c>
      <c r="Q79" s="377">
        <v>0</v>
      </c>
      <c r="R79" s="377">
        <v>0</v>
      </c>
      <c r="S79" s="377">
        <v>0</v>
      </c>
      <c r="T79" s="377">
        <v>0</v>
      </c>
      <c r="U79" s="377">
        <v>0</v>
      </c>
      <c r="V79" s="377">
        <v>0</v>
      </c>
      <c r="W79" s="333" t="s">
        <v>3347</v>
      </c>
      <c r="X79" s="333" t="s">
        <v>378</v>
      </c>
      <c r="Y79" s="329" t="s">
        <v>378</v>
      </c>
      <c r="Z79" s="329" t="s">
        <v>378</v>
      </c>
      <c r="AA79" s="378"/>
      <c r="AB79" s="329" t="s">
        <v>378</v>
      </c>
    </row>
    <row r="80" spans="1:28" ht="30" customHeight="1">
      <c r="A80" s="333" t="s">
        <v>2705</v>
      </c>
      <c r="B80" s="333" t="s">
        <v>418</v>
      </c>
      <c r="C80" s="333" t="s">
        <v>432</v>
      </c>
      <c r="D80" s="376" t="s">
        <v>321</v>
      </c>
      <c r="E80" s="377">
        <v>0</v>
      </c>
      <c r="F80" s="333" t="s">
        <v>378</v>
      </c>
      <c r="G80" s="377">
        <v>0</v>
      </c>
      <c r="H80" s="333" t="s">
        <v>378</v>
      </c>
      <c r="I80" s="377">
        <v>0</v>
      </c>
      <c r="J80" s="333" t="s">
        <v>378</v>
      </c>
      <c r="K80" s="377">
        <v>0</v>
      </c>
      <c r="L80" s="333" t="s">
        <v>378</v>
      </c>
      <c r="M80" s="377">
        <v>0</v>
      </c>
      <c r="N80" s="333" t="s">
        <v>378</v>
      </c>
      <c r="O80" s="377"/>
      <c r="P80" s="377">
        <v>0</v>
      </c>
      <c r="Q80" s="377">
        <v>0</v>
      </c>
      <c r="R80" s="377">
        <v>0</v>
      </c>
      <c r="S80" s="377">
        <v>0</v>
      </c>
      <c r="T80" s="377">
        <v>0</v>
      </c>
      <c r="U80" s="377">
        <v>0</v>
      </c>
      <c r="V80" s="377">
        <v>0</v>
      </c>
      <c r="W80" s="333" t="s">
        <v>3348</v>
      </c>
      <c r="X80" s="333" t="s">
        <v>378</v>
      </c>
      <c r="Y80" s="329" t="s">
        <v>378</v>
      </c>
      <c r="Z80" s="329" t="s">
        <v>378</v>
      </c>
      <c r="AA80" s="378"/>
      <c r="AB80" s="329" t="s">
        <v>378</v>
      </c>
    </row>
    <row r="81" spans="1:28" ht="30" customHeight="1">
      <c r="A81" s="333" t="s">
        <v>2710</v>
      </c>
      <c r="B81" s="333" t="s">
        <v>418</v>
      </c>
      <c r="C81" s="333" t="s">
        <v>433</v>
      </c>
      <c r="D81" s="376" t="s">
        <v>321</v>
      </c>
      <c r="E81" s="377">
        <v>0</v>
      </c>
      <c r="F81" s="333" t="s">
        <v>378</v>
      </c>
      <c r="G81" s="377">
        <v>0</v>
      </c>
      <c r="H81" s="333" t="s">
        <v>378</v>
      </c>
      <c r="I81" s="377">
        <v>0</v>
      </c>
      <c r="J81" s="333" t="s">
        <v>378</v>
      </c>
      <c r="K81" s="377">
        <v>0</v>
      </c>
      <c r="L81" s="333" t="s">
        <v>378</v>
      </c>
      <c r="M81" s="377">
        <v>0</v>
      </c>
      <c r="N81" s="333" t="s">
        <v>378</v>
      </c>
      <c r="O81" s="377"/>
      <c r="P81" s="377">
        <v>0</v>
      </c>
      <c r="Q81" s="377">
        <v>0</v>
      </c>
      <c r="R81" s="377">
        <v>0</v>
      </c>
      <c r="S81" s="377">
        <v>0</v>
      </c>
      <c r="T81" s="377">
        <v>0</v>
      </c>
      <c r="U81" s="377">
        <v>0</v>
      </c>
      <c r="V81" s="377">
        <v>0</v>
      </c>
      <c r="W81" s="333" t="s">
        <v>3349</v>
      </c>
      <c r="X81" s="333" t="s">
        <v>378</v>
      </c>
      <c r="Y81" s="329" t="s">
        <v>378</v>
      </c>
      <c r="Z81" s="329" t="s">
        <v>378</v>
      </c>
      <c r="AA81" s="378"/>
      <c r="AB81" s="329" t="s">
        <v>378</v>
      </c>
    </row>
    <row r="82" spans="1:28" ht="30" customHeight="1">
      <c r="A82" s="333" t="s">
        <v>2715</v>
      </c>
      <c r="B82" s="333" t="s">
        <v>418</v>
      </c>
      <c r="C82" s="333" t="s">
        <v>434</v>
      </c>
      <c r="D82" s="376" t="s">
        <v>321</v>
      </c>
      <c r="E82" s="377">
        <v>0</v>
      </c>
      <c r="F82" s="333" t="s">
        <v>378</v>
      </c>
      <c r="G82" s="377">
        <v>0</v>
      </c>
      <c r="H82" s="333" t="s">
        <v>378</v>
      </c>
      <c r="I82" s="377">
        <v>0</v>
      </c>
      <c r="J82" s="333" t="s">
        <v>378</v>
      </c>
      <c r="K82" s="377">
        <v>0</v>
      </c>
      <c r="L82" s="333" t="s">
        <v>378</v>
      </c>
      <c r="M82" s="377">
        <v>0</v>
      </c>
      <c r="N82" s="333" t="s">
        <v>378</v>
      </c>
      <c r="O82" s="377"/>
      <c r="P82" s="377">
        <v>0</v>
      </c>
      <c r="Q82" s="377">
        <v>0</v>
      </c>
      <c r="R82" s="377">
        <v>0</v>
      </c>
      <c r="S82" s="377">
        <v>0</v>
      </c>
      <c r="T82" s="377">
        <v>0</v>
      </c>
      <c r="U82" s="377">
        <v>0</v>
      </c>
      <c r="V82" s="377">
        <v>0</v>
      </c>
      <c r="W82" s="333" t="s">
        <v>3350</v>
      </c>
      <c r="X82" s="333" t="s">
        <v>378</v>
      </c>
      <c r="Y82" s="329" t="s">
        <v>378</v>
      </c>
      <c r="Z82" s="329" t="s">
        <v>378</v>
      </c>
      <c r="AA82" s="378"/>
      <c r="AB82" s="329" t="s">
        <v>378</v>
      </c>
    </row>
    <row r="83" spans="1:28" ht="30" customHeight="1">
      <c r="A83" s="333" t="s">
        <v>2720</v>
      </c>
      <c r="B83" s="333" t="s">
        <v>418</v>
      </c>
      <c r="C83" s="333" t="s">
        <v>435</v>
      </c>
      <c r="D83" s="376" t="s">
        <v>321</v>
      </c>
      <c r="E83" s="377">
        <v>0</v>
      </c>
      <c r="F83" s="333" t="s">
        <v>378</v>
      </c>
      <c r="G83" s="377">
        <v>0</v>
      </c>
      <c r="H83" s="333" t="s">
        <v>378</v>
      </c>
      <c r="I83" s="377">
        <v>0</v>
      </c>
      <c r="J83" s="333" t="s">
        <v>378</v>
      </c>
      <c r="K83" s="377">
        <v>0</v>
      </c>
      <c r="L83" s="333" t="s">
        <v>378</v>
      </c>
      <c r="M83" s="377">
        <v>0</v>
      </c>
      <c r="N83" s="333" t="s">
        <v>378</v>
      </c>
      <c r="O83" s="377"/>
      <c r="P83" s="377">
        <v>0</v>
      </c>
      <c r="Q83" s="377">
        <v>0</v>
      </c>
      <c r="R83" s="377">
        <v>0</v>
      </c>
      <c r="S83" s="377">
        <v>0</v>
      </c>
      <c r="T83" s="377">
        <v>0</v>
      </c>
      <c r="U83" s="377">
        <v>0</v>
      </c>
      <c r="V83" s="377">
        <v>0</v>
      </c>
      <c r="W83" s="333" t="s">
        <v>3351</v>
      </c>
      <c r="X83" s="333" t="s">
        <v>378</v>
      </c>
      <c r="Y83" s="329" t="s">
        <v>378</v>
      </c>
      <c r="Z83" s="329" t="s">
        <v>378</v>
      </c>
      <c r="AA83" s="378"/>
      <c r="AB83" s="329" t="s">
        <v>378</v>
      </c>
    </row>
    <row r="84" spans="1:28" ht="30" customHeight="1">
      <c r="A84" s="333" t="s">
        <v>2520</v>
      </c>
      <c r="B84" s="333" t="s">
        <v>266</v>
      </c>
      <c r="C84" s="333" t="s">
        <v>2519</v>
      </c>
      <c r="D84" s="376" t="s">
        <v>265</v>
      </c>
      <c r="E84" s="377">
        <v>0</v>
      </c>
      <c r="F84" s="333" t="s">
        <v>378</v>
      </c>
      <c r="G84" s="377">
        <v>4200</v>
      </c>
      <c r="H84" s="333" t="s">
        <v>3352</v>
      </c>
      <c r="I84" s="377">
        <v>2690</v>
      </c>
      <c r="J84" s="333" t="s">
        <v>3353</v>
      </c>
      <c r="K84" s="377">
        <v>0</v>
      </c>
      <c r="L84" s="333" t="s">
        <v>378</v>
      </c>
      <c r="M84" s="377">
        <v>0</v>
      </c>
      <c r="N84" s="333" t="s">
        <v>378</v>
      </c>
      <c r="O84" s="377">
        <f t="shared" si="1"/>
        <v>2381.8067000000001</v>
      </c>
      <c r="P84" s="377">
        <v>0</v>
      </c>
      <c r="Q84" s="377">
        <v>0</v>
      </c>
      <c r="R84" s="377">
        <v>0</v>
      </c>
      <c r="S84" s="377">
        <v>0</v>
      </c>
      <c r="T84" s="377">
        <v>0</v>
      </c>
      <c r="U84" s="377">
        <v>0</v>
      </c>
      <c r="V84" s="377">
        <v>0</v>
      </c>
      <c r="W84" s="333" t="s">
        <v>3354</v>
      </c>
      <c r="X84" s="333" t="s">
        <v>378</v>
      </c>
      <c r="Y84" s="329" t="s">
        <v>378</v>
      </c>
      <c r="Z84" s="329" t="s">
        <v>378</v>
      </c>
      <c r="AA84" s="378"/>
      <c r="AB84" s="329" t="s">
        <v>378</v>
      </c>
    </row>
    <row r="85" spans="1:28" s="340" customFormat="1" ht="30" customHeight="1">
      <c r="A85" s="336" t="s">
        <v>2801</v>
      </c>
      <c r="B85" s="336" t="s">
        <v>451</v>
      </c>
      <c r="C85" s="336" t="s">
        <v>2800</v>
      </c>
      <c r="D85" s="379" t="s">
        <v>265</v>
      </c>
      <c r="E85" s="380">
        <v>583</v>
      </c>
      <c r="F85" s="336" t="s">
        <v>378</v>
      </c>
      <c r="G85" s="380"/>
      <c r="H85" s="336"/>
      <c r="I85" s="380">
        <v>583</v>
      </c>
      <c r="J85" s="336" t="s">
        <v>3355</v>
      </c>
      <c r="K85" s="380">
        <v>650</v>
      </c>
      <c r="L85" s="336" t="s">
        <v>3356</v>
      </c>
      <c r="M85" s="380">
        <v>0</v>
      </c>
      <c r="N85" s="336" t="s">
        <v>378</v>
      </c>
      <c r="O85" s="377">
        <f t="shared" si="1"/>
        <v>516.20569</v>
      </c>
      <c r="P85" s="380">
        <v>0</v>
      </c>
      <c r="Q85" s="380">
        <v>0</v>
      </c>
      <c r="R85" s="380">
        <v>0</v>
      </c>
      <c r="S85" s="380">
        <v>0</v>
      </c>
      <c r="T85" s="380">
        <v>0</v>
      </c>
      <c r="U85" s="380">
        <v>0</v>
      </c>
      <c r="V85" s="380">
        <v>0</v>
      </c>
      <c r="W85" s="336" t="s">
        <v>3357</v>
      </c>
      <c r="X85" s="336" t="s">
        <v>378</v>
      </c>
      <c r="Y85" s="339" t="s">
        <v>378</v>
      </c>
      <c r="Z85" s="339" t="s">
        <v>378</v>
      </c>
      <c r="AA85" s="381"/>
      <c r="AB85" s="339" t="s">
        <v>378</v>
      </c>
    </row>
    <row r="86" spans="1:28" s="340" customFormat="1" ht="30" customHeight="1">
      <c r="A86" s="336" t="s">
        <v>2785</v>
      </c>
      <c r="B86" s="336" t="s">
        <v>2735</v>
      </c>
      <c r="C86" s="336" t="s">
        <v>2784</v>
      </c>
      <c r="D86" s="379" t="s">
        <v>265</v>
      </c>
      <c r="E86" s="380">
        <v>558</v>
      </c>
      <c r="F86" s="336" t="s">
        <v>378</v>
      </c>
      <c r="G86" s="380"/>
      <c r="H86" s="336"/>
      <c r="I86" s="380">
        <v>704</v>
      </c>
      <c r="J86" s="336" t="s">
        <v>3355</v>
      </c>
      <c r="K86" s="380">
        <v>790</v>
      </c>
      <c r="L86" s="336" t="s">
        <v>3356</v>
      </c>
      <c r="M86" s="380">
        <v>0</v>
      </c>
      <c r="N86" s="336" t="s">
        <v>378</v>
      </c>
      <c r="O86" s="377">
        <f t="shared" si="1"/>
        <v>494.06994000000003</v>
      </c>
      <c r="P86" s="380">
        <v>0</v>
      </c>
      <c r="Q86" s="380">
        <v>0</v>
      </c>
      <c r="R86" s="380">
        <v>0</v>
      </c>
      <c r="S86" s="380">
        <v>0</v>
      </c>
      <c r="T86" s="380">
        <v>0</v>
      </c>
      <c r="U86" s="380">
        <v>0</v>
      </c>
      <c r="V86" s="380">
        <v>0</v>
      </c>
      <c r="W86" s="336" t="s">
        <v>3358</v>
      </c>
      <c r="X86" s="336" t="s">
        <v>378</v>
      </c>
      <c r="Y86" s="339" t="s">
        <v>378</v>
      </c>
      <c r="Z86" s="339" t="s">
        <v>378</v>
      </c>
      <c r="AA86" s="381"/>
      <c r="AB86" s="339" t="s">
        <v>378</v>
      </c>
    </row>
    <row r="87" spans="1:28" s="340" customFormat="1" ht="30" customHeight="1">
      <c r="A87" s="336" t="s">
        <v>2793</v>
      </c>
      <c r="B87" s="336" t="s">
        <v>2735</v>
      </c>
      <c r="C87" s="336" t="s">
        <v>2736</v>
      </c>
      <c r="D87" s="379" t="s">
        <v>265</v>
      </c>
      <c r="E87" s="380"/>
      <c r="F87" s="336" t="s">
        <v>378</v>
      </c>
      <c r="G87" s="380"/>
      <c r="H87" s="336"/>
      <c r="I87" s="380">
        <v>811</v>
      </c>
      <c r="J87" s="336" t="s">
        <v>3355</v>
      </c>
      <c r="K87" s="380">
        <v>920</v>
      </c>
      <c r="L87" s="336" t="s">
        <v>3356</v>
      </c>
      <c r="M87" s="380">
        <v>0</v>
      </c>
      <c r="N87" s="336" t="s">
        <v>378</v>
      </c>
      <c r="O87" s="377">
        <f t="shared" si="1"/>
        <v>718.08373000000006</v>
      </c>
      <c r="P87" s="380">
        <v>0</v>
      </c>
      <c r="Q87" s="380">
        <v>0</v>
      </c>
      <c r="R87" s="380">
        <v>0</v>
      </c>
      <c r="S87" s="380">
        <v>0</v>
      </c>
      <c r="T87" s="380">
        <v>0</v>
      </c>
      <c r="U87" s="380">
        <v>0</v>
      </c>
      <c r="V87" s="380">
        <v>0</v>
      </c>
      <c r="W87" s="336" t="s">
        <v>3359</v>
      </c>
      <c r="X87" s="336" t="s">
        <v>378</v>
      </c>
      <c r="Y87" s="339" t="s">
        <v>378</v>
      </c>
      <c r="Z87" s="339" t="s">
        <v>378</v>
      </c>
      <c r="AA87" s="381"/>
      <c r="AB87" s="339" t="s">
        <v>378</v>
      </c>
    </row>
    <row r="88" spans="1:28" s="340" customFormat="1" ht="30" customHeight="1">
      <c r="A88" s="336" t="s">
        <v>2737</v>
      </c>
      <c r="B88" s="336" t="s">
        <v>2735</v>
      </c>
      <c r="C88" s="336" t="s">
        <v>2736</v>
      </c>
      <c r="D88" s="379" t="s">
        <v>265</v>
      </c>
      <c r="E88" s="380"/>
      <c r="F88" s="336" t="s">
        <v>378</v>
      </c>
      <c r="G88" s="380"/>
      <c r="H88" s="336"/>
      <c r="I88" s="380">
        <v>1003</v>
      </c>
      <c r="J88" s="336" t="s">
        <v>3355</v>
      </c>
      <c r="K88" s="380">
        <v>920</v>
      </c>
      <c r="L88" s="336" t="s">
        <v>3356</v>
      </c>
      <c r="M88" s="380">
        <v>0</v>
      </c>
      <c r="N88" s="336" t="s">
        <v>378</v>
      </c>
      <c r="O88" s="377">
        <f t="shared" si="1"/>
        <v>814.59559999999999</v>
      </c>
      <c r="P88" s="380">
        <v>0</v>
      </c>
      <c r="Q88" s="380">
        <v>0</v>
      </c>
      <c r="R88" s="380">
        <v>0</v>
      </c>
      <c r="S88" s="380">
        <v>0</v>
      </c>
      <c r="T88" s="380">
        <v>0</v>
      </c>
      <c r="U88" s="380">
        <v>0</v>
      </c>
      <c r="V88" s="380">
        <v>0</v>
      </c>
      <c r="W88" s="336" t="s">
        <v>3360</v>
      </c>
      <c r="X88" s="336" t="s">
        <v>378</v>
      </c>
      <c r="Y88" s="339" t="s">
        <v>378</v>
      </c>
      <c r="Z88" s="339" t="s">
        <v>378</v>
      </c>
      <c r="AA88" s="381"/>
      <c r="AB88" s="339" t="s">
        <v>378</v>
      </c>
    </row>
    <row r="89" spans="1:28" s="340" customFormat="1" ht="30" customHeight="1">
      <c r="A89" s="336" t="s">
        <v>2788</v>
      </c>
      <c r="B89" s="336" t="s">
        <v>2735</v>
      </c>
      <c r="C89" s="336" t="s">
        <v>2787</v>
      </c>
      <c r="D89" s="379" t="s">
        <v>265</v>
      </c>
      <c r="E89" s="380">
        <v>282</v>
      </c>
      <c r="F89" s="336" t="s">
        <v>378</v>
      </c>
      <c r="G89" s="380"/>
      <c r="H89" s="336"/>
      <c r="I89" s="380">
        <v>286</v>
      </c>
      <c r="J89" s="336" t="s">
        <v>3355</v>
      </c>
      <c r="K89" s="380">
        <v>400</v>
      </c>
      <c r="L89" s="336" t="s">
        <v>3356</v>
      </c>
      <c r="M89" s="380">
        <v>0</v>
      </c>
      <c r="N89" s="336" t="s">
        <v>378</v>
      </c>
      <c r="O89" s="377">
        <f t="shared" si="1"/>
        <v>249.69126000000003</v>
      </c>
      <c r="P89" s="380">
        <v>0</v>
      </c>
      <c r="Q89" s="380">
        <v>0</v>
      </c>
      <c r="R89" s="380">
        <v>0</v>
      </c>
      <c r="S89" s="380">
        <v>0</v>
      </c>
      <c r="T89" s="380">
        <v>0</v>
      </c>
      <c r="U89" s="380">
        <v>0</v>
      </c>
      <c r="V89" s="380">
        <v>0</v>
      </c>
      <c r="W89" s="336" t="s">
        <v>3361</v>
      </c>
      <c r="X89" s="336" t="s">
        <v>378</v>
      </c>
      <c r="Y89" s="339" t="s">
        <v>378</v>
      </c>
      <c r="Z89" s="339" t="s">
        <v>378</v>
      </c>
      <c r="AA89" s="381"/>
      <c r="AB89" s="339" t="s">
        <v>378</v>
      </c>
    </row>
    <row r="90" spans="1:28" s="340" customFormat="1" ht="30" customHeight="1">
      <c r="A90" s="336" t="s">
        <v>2740</v>
      </c>
      <c r="B90" s="336" t="s">
        <v>2735</v>
      </c>
      <c r="C90" s="336" t="s">
        <v>2739</v>
      </c>
      <c r="D90" s="379" t="s">
        <v>265</v>
      </c>
      <c r="E90" s="380">
        <v>286</v>
      </c>
      <c r="F90" s="336" t="s">
        <v>378</v>
      </c>
      <c r="G90" s="380"/>
      <c r="H90" s="336"/>
      <c r="I90" s="380">
        <v>286</v>
      </c>
      <c r="J90" s="336" t="s">
        <v>3355</v>
      </c>
      <c r="K90" s="380">
        <v>400</v>
      </c>
      <c r="L90" s="336" t="s">
        <v>3356</v>
      </c>
      <c r="M90" s="380">
        <v>0</v>
      </c>
      <c r="N90" s="336" t="s">
        <v>378</v>
      </c>
      <c r="O90" s="377">
        <f t="shared" si="1"/>
        <v>253.23298000000003</v>
      </c>
      <c r="P90" s="380">
        <v>0</v>
      </c>
      <c r="Q90" s="380">
        <v>0</v>
      </c>
      <c r="R90" s="380">
        <v>0</v>
      </c>
      <c r="S90" s="380">
        <v>0</v>
      </c>
      <c r="T90" s="380">
        <v>0</v>
      </c>
      <c r="U90" s="380">
        <v>0</v>
      </c>
      <c r="V90" s="380">
        <v>0</v>
      </c>
      <c r="W90" s="336" t="s">
        <v>3362</v>
      </c>
      <c r="X90" s="336" t="s">
        <v>378</v>
      </c>
      <c r="Y90" s="339" t="s">
        <v>378</v>
      </c>
      <c r="Z90" s="339" t="s">
        <v>378</v>
      </c>
      <c r="AA90" s="381"/>
      <c r="AB90" s="339" t="s">
        <v>378</v>
      </c>
    </row>
    <row r="91" spans="1:28" ht="30" customHeight="1">
      <c r="A91" s="333" t="s">
        <v>2804</v>
      </c>
      <c r="B91" s="333" t="s">
        <v>2735</v>
      </c>
      <c r="C91" s="333" t="s">
        <v>2803</v>
      </c>
      <c r="D91" s="376" t="s">
        <v>265</v>
      </c>
      <c r="E91" s="377"/>
      <c r="F91" s="333" t="s">
        <v>378</v>
      </c>
      <c r="G91" s="377">
        <v>400</v>
      </c>
      <c r="H91" s="333" t="s">
        <v>3352</v>
      </c>
      <c r="I91" s="377">
        <v>0</v>
      </c>
      <c r="J91" s="333" t="s">
        <v>378</v>
      </c>
      <c r="K91" s="377">
        <v>400</v>
      </c>
      <c r="L91" s="333" t="s">
        <v>3363</v>
      </c>
      <c r="M91" s="377">
        <v>0</v>
      </c>
      <c r="N91" s="333" t="s">
        <v>378</v>
      </c>
      <c r="O91" s="377">
        <f t="shared" si="1"/>
        <v>354.17200000000003</v>
      </c>
      <c r="P91" s="377">
        <v>0</v>
      </c>
      <c r="Q91" s="377">
        <v>0</v>
      </c>
      <c r="R91" s="377">
        <v>0</v>
      </c>
      <c r="S91" s="377">
        <v>0</v>
      </c>
      <c r="T91" s="377">
        <v>0</v>
      </c>
      <c r="U91" s="377">
        <v>0</v>
      </c>
      <c r="V91" s="377">
        <v>0</v>
      </c>
      <c r="W91" s="333" t="s">
        <v>3364</v>
      </c>
      <c r="X91" s="333" t="s">
        <v>378</v>
      </c>
      <c r="Y91" s="329" t="s">
        <v>378</v>
      </c>
      <c r="Z91" s="329" t="s">
        <v>378</v>
      </c>
      <c r="AA91" s="378"/>
      <c r="AB91" s="329" t="s">
        <v>378</v>
      </c>
    </row>
    <row r="92" spans="1:28" s="340" customFormat="1" ht="30" customHeight="1">
      <c r="A92" s="336" t="s">
        <v>2760</v>
      </c>
      <c r="B92" s="336" t="s">
        <v>512</v>
      </c>
      <c r="C92" s="336" t="s">
        <v>2759</v>
      </c>
      <c r="D92" s="379" t="s">
        <v>265</v>
      </c>
      <c r="E92" s="380">
        <v>1345</v>
      </c>
      <c r="F92" s="336" t="s">
        <v>378</v>
      </c>
      <c r="G92" s="380"/>
      <c r="H92" s="336"/>
      <c r="I92" s="380">
        <v>1879</v>
      </c>
      <c r="J92" s="336" t="s">
        <v>3365</v>
      </c>
      <c r="K92" s="380">
        <v>1920</v>
      </c>
      <c r="L92" s="336" t="s">
        <v>3366</v>
      </c>
      <c r="M92" s="380">
        <v>0</v>
      </c>
      <c r="N92" s="336" t="s">
        <v>378</v>
      </c>
      <c r="O92" s="377">
        <f t="shared" si="1"/>
        <v>1190.90335</v>
      </c>
      <c r="P92" s="380">
        <v>0</v>
      </c>
      <c r="Q92" s="380">
        <v>0</v>
      </c>
      <c r="R92" s="380">
        <v>0</v>
      </c>
      <c r="S92" s="380">
        <v>0</v>
      </c>
      <c r="T92" s="380">
        <v>0</v>
      </c>
      <c r="U92" s="380">
        <v>0</v>
      </c>
      <c r="V92" s="380">
        <v>0</v>
      </c>
      <c r="W92" s="336" t="s">
        <v>3367</v>
      </c>
      <c r="X92" s="336" t="s">
        <v>378</v>
      </c>
      <c r="Y92" s="339" t="s">
        <v>378</v>
      </c>
      <c r="Z92" s="339" t="s">
        <v>378</v>
      </c>
      <c r="AA92" s="381"/>
      <c r="AB92" s="339" t="s">
        <v>378</v>
      </c>
    </row>
    <row r="93" spans="1:28" s="340" customFormat="1" ht="30" customHeight="1">
      <c r="A93" s="336" t="s">
        <v>2766</v>
      </c>
      <c r="B93" s="336" t="s">
        <v>512</v>
      </c>
      <c r="C93" s="336" t="s">
        <v>2765</v>
      </c>
      <c r="D93" s="379" t="s">
        <v>265</v>
      </c>
      <c r="E93" s="380">
        <v>2440</v>
      </c>
      <c r="F93" s="336" t="s">
        <v>378</v>
      </c>
      <c r="G93" s="380"/>
      <c r="H93" s="336"/>
      <c r="I93" s="380">
        <v>3088</v>
      </c>
      <c r="J93" s="336" t="s">
        <v>3365</v>
      </c>
      <c r="K93" s="380">
        <v>4400</v>
      </c>
      <c r="L93" s="336" t="s">
        <v>3366</v>
      </c>
      <c r="M93" s="380">
        <v>0</v>
      </c>
      <c r="N93" s="336" t="s">
        <v>378</v>
      </c>
      <c r="O93" s="377">
        <f t="shared" si="1"/>
        <v>2160.4492</v>
      </c>
      <c r="P93" s="380">
        <v>0</v>
      </c>
      <c r="Q93" s="380">
        <v>0</v>
      </c>
      <c r="R93" s="380">
        <v>0</v>
      </c>
      <c r="S93" s="380">
        <v>0</v>
      </c>
      <c r="T93" s="380">
        <v>0</v>
      </c>
      <c r="U93" s="380">
        <v>0</v>
      </c>
      <c r="V93" s="380">
        <v>0</v>
      </c>
      <c r="W93" s="336" t="s">
        <v>3368</v>
      </c>
      <c r="X93" s="336" t="s">
        <v>378</v>
      </c>
      <c r="Y93" s="339" t="s">
        <v>378</v>
      </c>
      <c r="Z93" s="339" t="s">
        <v>378</v>
      </c>
      <c r="AA93" s="381"/>
      <c r="AB93" s="339" t="s">
        <v>378</v>
      </c>
    </row>
    <row r="94" spans="1:28" ht="30" customHeight="1">
      <c r="A94" s="333" t="s">
        <v>2772</v>
      </c>
      <c r="B94" s="333" t="s">
        <v>2771</v>
      </c>
      <c r="C94" s="333" t="s">
        <v>378</v>
      </c>
      <c r="D94" s="376" t="s">
        <v>265</v>
      </c>
      <c r="E94" s="377">
        <v>0</v>
      </c>
      <c r="F94" s="333" t="s">
        <v>378</v>
      </c>
      <c r="G94" s="377">
        <v>59500</v>
      </c>
      <c r="H94" s="333" t="s">
        <v>3369</v>
      </c>
      <c r="I94" s="377">
        <v>0</v>
      </c>
      <c r="J94" s="333" t="s">
        <v>378</v>
      </c>
      <c r="K94" s="377">
        <v>0</v>
      </c>
      <c r="L94" s="333" t="s">
        <v>378</v>
      </c>
      <c r="M94" s="377">
        <v>0</v>
      </c>
      <c r="N94" s="333" t="s">
        <v>378</v>
      </c>
      <c r="O94" s="377">
        <f t="shared" si="1"/>
        <v>52683.085000000006</v>
      </c>
      <c r="P94" s="377">
        <v>0</v>
      </c>
      <c r="Q94" s="377">
        <v>0</v>
      </c>
      <c r="R94" s="377">
        <v>0</v>
      </c>
      <c r="S94" s="377">
        <v>0</v>
      </c>
      <c r="T94" s="377">
        <v>0</v>
      </c>
      <c r="U94" s="377">
        <v>0</v>
      </c>
      <c r="V94" s="377">
        <v>0</v>
      </c>
      <c r="W94" s="333" t="s">
        <v>3370</v>
      </c>
      <c r="X94" s="333" t="s">
        <v>378</v>
      </c>
      <c r="Y94" s="329" t="s">
        <v>378</v>
      </c>
      <c r="Z94" s="329" t="s">
        <v>378</v>
      </c>
      <c r="AA94" s="378"/>
      <c r="AB94" s="329" t="s">
        <v>378</v>
      </c>
    </row>
    <row r="95" spans="1:28" ht="30" customHeight="1">
      <c r="A95" s="333" t="s">
        <v>2320</v>
      </c>
      <c r="B95" s="333" t="s">
        <v>370</v>
      </c>
      <c r="C95" s="333" t="s">
        <v>2319</v>
      </c>
      <c r="D95" s="376" t="s">
        <v>265</v>
      </c>
      <c r="E95" s="377">
        <v>0</v>
      </c>
      <c r="F95" s="333" t="s">
        <v>378</v>
      </c>
      <c r="G95" s="377">
        <v>629</v>
      </c>
      <c r="H95" s="333" t="s">
        <v>3371</v>
      </c>
      <c r="I95" s="377">
        <v>324</v>
      </c>
      <c r="J95" s="333" t="s">
        <v>3372</v>
      </c>
      <c r="K95" s="377">
        <v>230</v>
      </c>
      <c r="L95" s="333" t="s">
        <v>3373</v>
      </c>
      <c r="M95" s="377">
        <v>0</v>
      </c>
      <c r="N95" s="333" t="s">
        <v>378</v>
      </c>
      <c r="O95" s="377">
        <f t="shared" si="1"/>
        <v>203.6489</v>
      </c>
      <c r="P95" s="377">
        <v>0</v>
      </c>
      <c r="Q95" s="377">
        <v>0</v>
      </c>
      <c r="R95" s="377">
        <v>0</v>
      </c>
      <c r="S95" s="377">
        <v>0</v>
      </c>
      <c r="T95" s="377">
        <v>0</v>
      </c>
      <c r="U95" s="377">
        <v>0</v>
      </c>
      <c r="V95" s="377">
        <v>0</v>
      </c>
      <c r="W95" s="333" t="s">
        <v>3374</v>
      </c>
      <c r="X95" s="333" t="s">
        <v>378</v>
      </c>
      <c r="Y95" s="329" t="s">
        <v>378</v>
      </c>
      <c r="Z95" s="329" t="s">
        <v>378</v>
      </c>
      <c r="AA95" s="378"/>
      <c r="AB95" s="329" t="s">
        <v>378</v>
      </c>
    </row>
    <row r="96" spans="1:28" ht="30" customHeight="1">
      <c r="A96" s="333" t="s">
        <v>2326</v>
      </c>
      <c r="B96" s="333" t="s">
        <v>370</v>
      </c>
      <c r="C96" s="333" t="s">
        <v>2325</v>
      </c>
      <c r="D96" s="376" t="s">
        <v>265</v>
      </c>
      <c r="E96" s="377">
        <v>0</v>
      </c>
      <c r="F96" s="333" t="s">
        <v>378</v>
      </c>
      <c r="G96" s="377">
        <v>720</v>
      </c>
      <c r="H96" s="333" t="s">
        <v>3371</v>
      </c>
      <c r="I96" s="377">
        <v>496</v>
      </c>
      <c r="J96" s="333" t="s">
        <v>3372</v>
      </c>
      <c r="K96" s="377">
        <v>340</v>
      </c>
      <c r="L96" s="333" t="s">
        <v>3373</v>
      </c>
      <c r="M96" s="377">
        <v>0</v>
      </c>
      <c r="N96" s="333" t="s">
        <v>378</v>
      </c>
      <c r="O96" s="377">
        <f t="shared" si="1"/>
        <v>301.0462</v>
      </c>
      <c r="P96" s="377">
        <v>0</v>
      </c>
      <c r="Q96" s="377">
        <v>0</v>
      </c>
      <c r="R96" s="377">
        <v>0</v>
      </c>
      <c r="S96" s="377">
        <v>0</v>
      </c>
      <c r="T96" s="377">
        <v>0</v>
      </c>
      <c r="U96" s="377">
        <v>0</v>
      </c>
      <c r="V96" s="377">
        <v>0</v>
      </c>
      <c r="W96" s="333" t="s">
        <v>3375</v>
      </c>
      <c r="X96" s="333" t="s">
        <v>378</v>
      </c>
      <c r="Y96" s="329" t="s">
        <v>378</v>
      </c>
      <c r="Z96" s="329" t="s">
        <v>378</v>
      </c>
      <c r="AA96" s="378"/>
      <c r="AB96" s="329" t="s">
        <v>378</v>
      </c>
    </row>
    <row r="97" spans="1:28" ht="30" customHeight="1">
      <c r="A97" s="333" t="s">
        <v>2332</v>
      </c>
      <c r="B97" s="333" t="s">
        <v>370</v>
      </c>
      <c r="C97" s="333" t="s">
        <v>2331</v>
      </c>
      <c r="D97" s="376" t="s">
        <v>265</v>
      </c>
      <c r="E97" s="377">
        <v>0</v>
      </c>
      <c r="F97" s="333" t="s">
        <v>378</v>
      </c>
      <c r="G97" s="377">
        <v>1368</v>
      </c>
      <c r="H97" s="333" t="s">
        <v>3371</v>
      </c>
      <c r="I97" s="377">
        <v>1020</v>
      </c>
      <c r="J97" s="333" t="s">
        <v>3301</v>
      </c>
      <c r="K97" s="377">
        <v>690</v>
      </c>
      <c r="L97" s="333" t="s">
        <v>3373</v>
      </c>
      <c r="M97" s="377">
        <v>0</v>
      </c>
      <c r="N97" s="333" t="s">
        <v>378</v>
      </c>
      <c r="O97" s="377">
        <f t="shared" si="1"/>
        <v>610.94670000000008</v>
      </c>
      <c r="P97" s="377">
        <v>0</v>
      </c>
      <c r="Q97" s="377">
        <v>0</v>
      </c>
      <c r="R97" s="377">
        <v>0</v>
      </c>
      <c r="S97" s="377">
        <v>0</v>
      </c>
      <c r="T97" s="377">
        <v>0</v>
      </c>
      <c r="U97" s="377">
        <v>0</v>
      </c>
      <c r="V97" s="377">
        <v>0</v>
      </c>
      <c r="W97" s="333" t="s">
        <v>3376</v>
      </c>
      <c r="X97" s="333" t="s">
        <v>378</v>
      </c>
      <c r="Y97" s="329" t="s">
        <v>378</v>
      </c>
      <c r="Z97" s="329" t="s">
        <v>378</v>
      </c>
      <c r="AA97" s="378"/>
      <c r="AB97" s="329" t="s">
        <v>378</v>
      </c>
    </row>
    <row r="98" spans="1:28" ht="30" customHeight="1">
      <c r="A98" s="333" t="s">
        <v>2689</v>
      </c>
      <c r="B98" s="333" t="s">
        <v>370</v>
      </c>
      <c r="C98" s="333" t="s">
        <v>2688</v>
      </c>
      <c r="D98" s="376" t="s">
        <v>265</v>
      </c>
      <c r="E98" s="377">
        <v>0</v>
      </c>
      <c r="F98" s="333" t="s">
        <v>378</v>
      </c>
      <c r="G98" s="377">
        <v>2521</v>
      </c>
      <c r="H98" s="333" t="s">
        <v>3371</v>
      </c>
      <c r="I98" s="377">
        <v>2234</v>
      </c>
      <c r="J98" s="333" t="s">
        <v>3372</v>
      </c>
      <c r="K98" s="377">
        <v>1550</v>
      </c>
      <c r="L98" s="333" t="s">
        <v>3373</v>
      </c>
      <c r="M98" s="377">
        <v>0</v>
      </c>
      <c r="N98" s="333" t="s">
        <v>378</v>
      </c>
      <c r="O98" s="377">
        <f t="shared" si="1"/>
        <v>1372.4165</v>
      </c>
      <c r="P98" s="377">
        <v>0</v>
      </c>
      <c r="Q98" s="377">
        <v>0</v>
      </c>
      <c r="R98" s="377">
        <v>0</v>
      </c>
      <c r="S98" s="377">
        <v>0</v>
      </c>
      <c r="T98" s="377">
        <v>0</v>
      </c>
      <c r="U98" s="377">
        <v>0</v>
      </c>
      <c r="V98" s="377">
        <v>0</v>
      </c>
      <c r="W98" s="333" t="s">
        <v>3377</v>
      </c>
      <c r="X98" s="333" t="s">
        <v>378</v>
      </c>
      <c r="Y98" s="329" t="s">
        <v>378</v>
      </c>
      <c r="Z98" s="329" t="s">
        <v>378</v>
      </c>
      <c r="AA98" s="378"/>
      <c r="AB98" s="329" t="s">
        <v>378</v>
      </c>
    </row>
    <row r="99" spans="1:28" s="340" customFormat="1" ht="30" customHeight="1">
      <c r="A99" s="336" t="s">
        <v>2695</v>
      </c>
      <c r="B99" s="336" t="s">
        <v>370</v>
      </c>
      <c r="C99" s="336" t="s">
        <v>2694</v>
      </c>
      <c r="D99" s="379" t="s">
        <v>265</v>
      </c>
      <c r="E99" s="380">
        <v>0</v>
      </c>
      <c r="F99" s="336" t="s">
        <v>378</v>
      </c>
      <c r="G99" s="380"/>
      <c r="H99" s="336"/>
      <c r="I99" s="380">
        <v>5473</v>
      </c>
      <c r="J99" s="336" t="s">
        <v>3378</v>
      </c>
      <c r="K99" s="380">
        <v>3210</v>
      </c>
      <c r="L99" s="336" t="s">
        <v>3379</v>
      </c>
      <c r="M99" s="380">
        <v>0</v>
      </c>
      <c r="N99" s="336" t="s">
        <v>378</v>
      </c>
      <c r="O99" s="377">
        <f t="shared" si="1"/>
        <v>2842.2303000000002</v>
      </c>
      <c r="P99" s="380">
        <v>0</v>
      </c>
      <c r="Q99" s="380">
        <v>0</v>
      </c>
      <c r="R99" s="380">
        <v>0</v>
      </c>
      <c r="S99" s="380">
        <v>0</v>
      </c>
      <c r="T99" s="380">
        <v>0</v>
      </c>
      <c r="U99" s="380">
        <v>0</v>
      </c>
      <c r="V99" s="380">
        <v>0</v>
      </c>
      <c r="W99" s="336" t="s">
        <v>3380</v>
      </c>
      <c r="X99" s="336" t="s">
        <v>378</v>
      </c>
      <c r="Y99" s="339" t="s">
        <v>378</v>
      </c>
      <c r="Z99" s="339" t="s">
        <v>378</v>
      </c>
      <c r="AA99" s="381"/>
      <c r="AB99" s="339" t="s">
        <v>378</v>
      </c>
    </row>
    <row r="100" spans="1:28" ht="30" customHeight="1">
      <c r="A100" s="333" t="s">
        <v>2338</v>
      </c>
      <c r="B100" s="333" t="s">
        <v>370</v>
      </c>
      <c r="C100" s="333" t="s">
        <v>2337</v>
      </c>
      <c r="D100" s="376" t="s">
        <v>265</v>
      </c>
      <c r="E100" s="377">
        <v>0</v>
      </c>
      <c r="F100" s="333" t="s">
        <v>378</v>
      </c>
      <c r="G100" s="377">
        <v>7364</v>
      </c>
      <c r="H100" s="333" t="s">
        <v>3371</v>
      </c>
      <c r="I100" s="377">
        <v>8208</v>
      </c>
      <c r="J100" s="333" t="s">
        <v>3372</v>
      </c>
      <c r="K100" s="377">
        <v>5660</v>
      </c>
      <c r="L100" s="333" t="s">
        <v>3373</v>
      </c>
      <c r="M100" s="377">
        <v>0</v>
      </c>
      <c r="N100" s="333" t="s">
        <v>378</v>
      </c>
      <c r="O100" s="377">
        <f t="shared" si="1"/>
        <v>5011.5338000000002</v>
      </c>
      <c r="P100" s="377">
        <v>0</v>
      </c>
      <c r="Q100" s="377">
        <v>0</v>
      </c>
      <c r="R100" s="377">
        <v>0</v>
      </c>
      <c r="S100" s="377">
        <v>0</v>
      </c>
      <c r="T100" s="377">
        <v>0</v>
      </c>
      <c r="U100" s="377">
        <v>0</v>
      </c>
      <c r="V100" s="377">
        <v>0</v>
      </c>
      <c r="W100" s="333" t="s">
        <v>3381</v>
      </c>
      <c r="X100" s="333" t="s">
        <v>378</v>
      </c>
      <c r="Y100" s="329" t="s">
        <v>378</v>
      </c>
      <c r="Z100" s="329" t="s">
        <v>378</v>
      </c>
      <c r="AA100" s="378"/>
      <c r="AB100" s="329" t="s">
        <v>378</v>
      </c>
    </row>
    <row r="101" spans="1:28" ht="30" customHeight="1">
      <c r="A101" s="333" t="s">
        <v>2367</v>
      </c>
      <c r="B101" s="333" t="s">
        <v>337</v>
      </c>
      <c r="C101" s="333" t="s">
        <v>2366</v>
      </c>
      <c r="D101" s="376" t="s">
        <v>265</v>
      </c>
      <c r="E101" s="377">
        <v>0</v>
      </c>
      <c r="F101" s="333" t="s">
        <v>378</v>
      </c>
      <c r="G101" s="377">
        <v>0</v>
      </c>
      <c r="H101" s="333" t="s">
        <v>378</v>
      </c>
      <c r="I101" s="377">
        <v>16500</v>
      </c>
      <c r="J101" s="333" t="s">
        <v>3382</v>
      </c>
      <c r="K101" s="377">
        <v>18000</v>
      </c>
      <c r="L101" s="333" t="s">
        <v>3383</v>
      </c>
      <c r="M101" s="377">
        <v>0</v>
      </c>
      <c r="N101" s="333" t="s">
        <v>378</v>
      </c>
      <c r="O101" s="377">
        <f t="shared" si="1"/>
        <v>14609.595000000001</v>
      </c>
      <c r="P101" s="377">
        <v>0</v>
      </c>
      <c r="Q101" s="377">
        <v>0</v>
      </c>
      <c r="R101" s="377">
        <v>0</v>
      </c>
      <c r="S101" s="377">
        <v>0</v>
      </c>
      <c r="T101" s="377">
        <v>0</v>
      </c>
      <c r="U101" s="377">
        <v>0</v>
      </c>
      <c r="V101" s="377">
        <v>0</v>
      </c>
      <c r="W101" s="333" t="s">
        <v>3384</v>
      </c>
      <c r="X101" s="333" t="s">
        <v>378</v>
      </c>
      <c r="Y101" s="329" t="s">
        <v>378</v>
      </c>
      <c r="Z101" s="329" t="s">
        <v>378</v>
      </c>
      <c r="AA101" s="378"/>
      <c r="AB101" s="329" t="s">
        <v>378</v>
      </c>
    </row>
    <row r="102" spans="1:28" ht="30" customHeight="1">
      <c r="A102" s="333" t="s">
        <v>2643</v>
      </c>
      <c r="B102" s="333" t="s">
        <v>337</v>
      </c>
      <c r="C102" s="333" t="s">
        <v>2366</v>
      </c>
      <c r="D102" s="376" t="s">
        <v>265</v>
      </c>
      <c r="E102" s="377">
        <v>0</v>
      </c>
      <c r="F102" s="333" t="s">
        <v>378</v>
      </c>
      <c r="G102" s="377">
        <v>0</v>
      </c>
      <c r="H102" s="333" t="s">
        <v>378</v>
      </c>
      <c r="I102" s="377">
        <v>16500</v>
      </c>
      <c r="J102" s="333" t="s">
        <v>3382</v>
      </c>
      <c r="K102" s="377">
        <v>18000</v>
      </c>
      <c r="L102" s="333" t="s">
        <v>3383</v>
      </c>
      <c r="M102" s="377">
        <v>0</v>
      </c>
      <c r="N102" s="333" t="s">
        <v>378</v>
      </c>
      <c r="O102" s="377">
        <f t="shared" si="1"/>
        <v>14609.595000000001</v>
      </c>
      <c r="P102" s="377">
        <v>0</v>
      </c>
      <c r="Q102" s="377">
        <v>0</v>
      </c>
      <c r="R102" s="377">
        <v>0</v>
      </c>
      <c r="S102" s="377">
        <v>0</v>
      </c>
      <c r="T102" s="377">
        <v>0</v>
      </c>
      <c r="U102" s="377">
        <v>0</v>
      </c>
      <c r="V102" s="377">
        <v>0</v>
      </c>
      <c r="W102" s="333" t="s">
        <v>3385</v>
      </c>
      <c r="X102" s="333" t="s">
        <v>378</v>
      </c>
      <c r="Y102" s="329" t="s">
        <v>378</v>
      </c>
      <c r="Z102" s="329" t="s">
        <v>378</v>
      </c>
      <c r="AA102" s="378"/>
      <c r="AB102" s="329" t="s">
        <v>378</v>
      </c>
    </row>
    <row r="103" spans="1:28" ht="30" customHeight="1">
      <c r="A103" s="333" t="s">
        <v>2538</v>
      </c>
      <c r="B103" s="333" t="s">
        <v>305</v>
      </c>
      <c r="C103" s="333" t="s">
        <v>2537</v>
      </c>
      <c r="D103" s="376" t="s">
        <v>265</v>
      </c>
      <c r="E103" s="377">
        <v>0</v>
      </c>
      <c r="F103" s="333" t="s">
        <v>378</v>
      </c>
      <c r="G103" s="377">
        <v>45000</v>
      </c>
      <c r="H103" s="333" t="s">
        <v>3386</v>
      </c>
      <c r="I103" s="377">
        <v>0</v>
      </c>
      <c r="J103" s="333" t="s">
        <v>378</v>
      </c>
      <c r="K103" s="377">
        <v>45000</v>
      </c>
      <c r="L103" s="333" t="s">
        <v>3387</v>
      </c>
      <c r="M103" s="377">
        <v>0</v>
      </c>
      <c r="N103" s="333" t="s">
        <v>378</v>
      </c>
      <c r="O103" s="377">
        <f t="shared" si="1"/>
        <v>39844.350000000006</v>
      </c>
      <c r="P103" s="377">
        <v>0</v>
      </c>
      <c r="Q103" s="377">
        <v>0</v>
      </c>
      <c r="R103" s="377">
        <v>0</v>
      </c>
      <c r="S103" s="377">
        <v>0</v>
      </c>
      <c r="T103" s="377">
        <v>0</v>
      </c>
      <c r="U103" s="377">
        <v>0</v>
      </c>
      <c r="V103" s="377">
        <v>0</v>
      </c>
      <c r="W103" s="333" t="s">
        <v>3388</v>
      </c>
      <c r="X103" s="333" t="s">
        <v>378</v>
      </c>
      <c r="Y103" s="329" t="s">
        <v>378</v>
      </c>
      <c r="Z103" s="329" t="s">
        <v>378</v>
      </c>
      <c r="AA103" s="378"/>
      <c r="AB103" s="329" t="s">
        <v>378</v>
      </c>
    </row>
    <row r="104" spans="1:28" ht="30" customHeight="1">
      <c r="A104" s="333" t="s">
        <v>2371</v>
      </c>
      <c r="B104" s="333" t="s">
        <v>2369</v>
      </c>
      <c r="C104" s="333" t="s">
        <v>2370</v>
      </c>
      <c r="D104" s="376" t="s">
        <v>265</v>
      </c>
      <c r="E104" s="377">
        <v>0</v>
      </c>
      <c r="F104" s="333" t="s">
        <v>378</v>
      </c>
      <c r="G104" s="377">
        <v>3509</v>
      </c>
      <c r="H104" s="333" t="s">
        <v>3389</v>
      </c>
      <c r="I104" s="377">
        <v>0</v>
      </c>
      <c r="J104" s="333" t="s">
        <v>378</v>
      </c>
      <c r="K104" s="377">
        <v>0</v>
      </c>
      <c r="L104" s="333" t="s">
        <v>378</v>
      </c>
      <c r="M104" s="377">
        <v>0</v>
      </c>
      <c r="N104" s="333" t="s">
        <v>378</v>
      </c>
      <c r="O104" s="377">
        <f t="shared" si="1"/>
        <v>3106.9738700000003</v>
      </c>
      <c r="P104" s="377">
        <v>0</v>
      </c>
      <c r="Q104" s="377">
        <v>0</v>
      </c>
      <c r="R104" s="377">
        <v>0</v>
      </c>
      <c r="S104" s="377">
        <v>0</v>
      </c>
      <c r="T104" s="377">
        <v>0</v>
      </c>
      <c r="U104" s="377">
        <v>0</v>
      </c>
      <c r="V104" s="377">
        <v>0</v>
      </c>
      <c r="W104" s="333" t="s">
        <v>3390</v>
      </c>
      <c r="X104" s="333" t="s">
        <v>378</v>
      </c>
      <c r="Y104" s="329" t="s">
        <v>378</v>
      </c>
      <c r="Z104" s="329" t="s">
        <v>378</v>
      </c>
      <c r="AA104" s="378"/>
      <c r="AB104" s="329" t="s">
        <v>378</v>
      </c>
    </row>
    <row r="105" spans="1:28" ht="30" customHeight="1">
      <c r="A105" s="333" t="s">
        <v>2378</v>
      </c>
      <c r="B105" s="333" t="s">
        <v>2375</v>
      </c>
      <c r="C105" s="333" t="s">
        <v>2376</v>
      </c>
      <c r="D105" s="376" t="s">
        <v>2377</v>
      </c>
      <c r="E105" s="377">
        <v>0</v>
      </c>
      <c r="F105" s="333" t="s">
        <v>378</v>
      </c>
      <c r="G105" s="377">
        <v>0</v>
      </c>
      <c r="H105" s="333" t="s">
        <v>378</v>
      </c>
      <c r="I105" s="377">
        <v>20000</v>
      </c>
      <c r="J105" s="333" t="s">
        <v>3391</v>
      </c>
      <c r="K105" s="377">
        <v>25000</v>
      </c>
      <c r="L105" s="333" t="s">
        <v>3383</v>
      </c>
      <c r="M105" s="377">
        <v>0</v>
      </c>
      <c r="N105" s="333" t="s">
        <v>378</v>
      </c>
      <c r="O105" s="377">
        <f t="shared" si="1"/>
        <v>17708.600000000002</v>
      </c>
      <c r="P105" s="377">
        <v>0</v>
      </c>
      <c r="Q105" s="377">
        <v>0</v>
      </c>
      <c r="R105" s="377">
        <v>0</v>
      </c>
      <c r="S105" s="377">
        <v>0</v>
      </c>
      <c r="T105" s="377">
        <v>0</v>
      </c>
      <c r="U105" s="377">
        <v>0</v>
      </c>
      <c r="V105" s="377">
        <v>0</v>
      </c>
      <c r="W105" s="333" t="s">
        <v>3392</v>
      </c>
      <c r="X105" s="333" t="s">
        <v>378</v>
      </c>
      <c r="Y105" s="329" t="s">
        <v>378</v>
      </c>
      <c r="Z105" s="329" t="s">
        <v>378</v>
      </c>
      <c r="AA105" s="378"/>
      <c r="AB105" s="329" t="s">
        <v>378</v>
      </c>
    </row>
    <row r="106" spans="1:28" ht="30" customHeight="1">
      <c r="A106" s="333" t="s">
        <v>2506</v>
      </c>
      <c r="B106" s="333" t="s">
        <v>2504</v>
      </c>
      <c r="C106" s="333" t="s">
        <v>2505</v>
      </c>
      <c r="D106" s="376" t="s">
        <v>265</v>
      </c>
      <c r="E106" s="377">
        <v>0</v>
      </c>
      <c r="F106" s="333" t="s">
        <v>378</v>
      </c>
      <c r="G106" s="377">
        <v>2789</v>
      </c>
      <c r="H106" s="333" t="s">
        <v>3373</v>
      </c>
      <c r="I106" s="377">
        <v>0</v>
      </c>
      <c r="J106" s="333" t="s">
        <v>378</v>
      </c>
      <c r="K106" s="377">
        <v>0</v>
      </c>
      <c r="L106" s="333" t="s">
        <v>378</v>
      </c>
      <c r="M106" s="377">
        <v>0</v>
      </c>
      <c r="N106" s="333" t="s">
        <v>378</v>
      </c>
      <c r="O106" s="377">
        <f t="shared" si="1"/>
        <v>2469.4642699999999</v>
      </c>
      <c r="P106" s="377">
        <v>0</v>
      </c>
      <c r="Q106" s="377">
        <v>0</v>
      </c>
      <c r="R106" s="377">
        <v>0</v>
      </c>
      <c r="S106" s="377">
        <v>0</v>
      </c>
      <c r="T106" s="377">
        <v>0</v>
      </c>
      <c r="U106" s="377">
        <v>0</v>
      </c>
      <c r="V106" s="377">
        <v>0</v>
      </c>
      <c r="W106" s="333" t="s">
        <v>3393</v>
      </c>
      <c r="X106" s="333" t="s">
        <v>378</v>
      </c>
      <c r="Y106" s="329" t="s">
        <v>378</v>
      </c>
      <c r="Z106" s="329" t="s">
        <v>378</v>
      </c>
      <c r="AA106" s="378"/>
      <c r="AB106" s="329" t="s">
        <v>378</v>
      </c>
    </row>
    <row r="107" spans="1:28" ht="30" customHeight="1">
      <c r="A107" s="333" t="s">
        <v>2498</v>
      </c>
      <c r="B107" s="333" t="s">
        <v>2496</v>
      </c>
      <c r="C107" s="333" t="s">
        <v>2497</v>
      </c>
      <c r="D107" s="376" t="s">
        <v>265</v>
      </c>
      <c r="E107" s="377">
        <v>0</v>
      </c>
      <c r="F107" s="333" t="s">
        <v>378</v>
      </c>
      <c r="G107" s="377">
        <v>8666</v>
      </c>
      <c r="H107" s="333" t="s">
        <v>3373</v>
      </c>
      <c r="I107" s="377">
        <v>0</v>
      </c>
      <c r="J107" s="333" t="s">
        <v>378</v>
      </c>
      <c r="K107" s="377">
        <v>0</v>
      </c>
      <c r="L107" s="333" t="s">
        <v>378</v>
      </c>
      <c r="M107" s="377">
        <v>0</v>
      </c>
      <c r="N107" s="333" t="s">
        <v>378</v>
      </c>
      <c r="O107" s="377">
        <f t="shared" si="1"/>
        <v>7673.1363800000008</v>
      </c>
      <c r="P107" s="377">
        <v>0</v>
      </c>
      <c r="Q107" s="377">
        <v>0</v>
      </c>
      <c r="R107" s="377">
        <v>0</v>
      </c>
      <c r="S107" s="377">
        <v>0</v>
      </c>
      <c r="T107" s="377">
        <v>0</v>
      </c>
      <c r="U107" s="377">
        <v>0</v>
      </c>
      <c r="V107" s="377">
        <v>0</v>
      </c>
      <c r="W107" s="333" t="s">
        <v>3394</v>
      </c>
      <c r="X107" s="333" t="s">
        <v>378</v>
      </c>
      <c r="Y107" s="329" t="s">
        <v>378</v>
      </c>
      <c r="Z107" s="329" t="s">
        <v>378</v>
      </c>
      <c r="AA107" s="378"/>
      <c r="AB107" s="329" t="s">
        <v>378</v>
      </c>
    </row>
    <row r="108" spans="1:28" ht="30" customHeight="1">
      <c r="A108" s="333" t="s">
        <v>2313</v>
      </c>
      <c r="B108" s="333" t="s">
        <v>2311</v>
      </c>
      <c r="C108" s="333" t="s">
        <v>2312</v>
      </c>
      <c r="D108" s="376" t="s">
        <v>265</v>
      </c>
      <c r="E108" s="377">
        <v>0</v>
      </c>
      <c r="F108" s="333" t="s">
        <v>378</v>
      </c>
      <c r="G108" s="377">
        <v>297</v>
      </c>
      <c r="H108" s="333" t="s">
        <v>3373</v>
      </c>
      <c r="I108" s="377">
        <v>0</v>
      </c>
      <c r="J108" s="333" t="s">
        <v>378</v>
      </c>
      <c r="K108" s="377">
        <v>0</v>
      </c>
      <c r="L108" s="333" t="s">
        <v>378</v>
      </c>
      <c r="M108" s="377">
        <v>0</v>
      </c>
      <c r="N108" s="333" t="s">
        <v>378</v>
      </c>
      <c r="O108" s="377">
        <f t="shared" si="1"/>
        <v>262.97271000000001</v>
      </c>
      <c r="P108" s="377">
        <v>0</v>
      </c>
      <c r="Q108" s="377">
        <v>0</v>
      </c>
      <c r="R108" s="377">
        <v>0</v>
      </c>
      <c r="S108" s="377">
        <v>0</v>
      </c>
      <c r="T108" s="377">
        <v>0</v>
      </c>
      <c r="U108" s="377">
        <v>0</v>
      </c>
      <c r="V108" s="377">
        <v>0</v>
      </c>
      <c r="W108" s="333" t="s">
        <v>3395</v>
      </c>
      <c r="X108" s="333" t="s">
        <v>378</v>
      </c>
      <c r="Y108" s="329" t="s">
        <v>378</v>
      </c>
      <c r="Z108" s="329" t="s">
        <v>378</v>
      </c>
      <c r="AA108" s="378"/>
      <c r="AB108" s="329" t="s">
        <v>378</v>
      </c>
    </row>
    <row r="109" spans="1:28" ht="30" customHeight="1">
      <c r="A109" s="333" t="s">
        <v>2510</v>
      </c>
      <c r="B109" s="333" t="s">
        <v>2508</v>
      </c>
      <c r="C109" s="333" t="s">
        <v>2509</v>
      </c>
      <c r="D109" s="376" t="s">
        <v>265</v>
      </c>
      <c r="E109" s="377">
        <v>0</v>
      </c>
      <c r="F109" s="333" t="s">
        <v>378</v>
      </c>
      <c r="G109" s="377">
        <v>3067</v>
      </c>
      <c r="H109" s="333" t="s">
        <v>3373</v>
      </c>
      <c r="I109" s="377">
        <v>0</v>
      </c>
      <c r="J109" s="333" t="s">
        <v>378</v>
      </c>
      <c r="K109" s="377">
        <v>0</v>
      </c>
      <c r="L109" s="333" t="s">
        <v>378</v>
      </c>
      <c r="M109" s="377">
        <v>0</v>
      </c>
      <c r="N109" s="333" t="s">
        <v>378</v>
      </c>
      <c r="O109" s="377">
        <f t="shared" si="1"/>
        <v>2715.6138100000003</v>
      </c>
      <c r="P109" s="377">
        <v>0</v>
      </c>
      <c r="Q109" s="377">
        <v>0</v>
      </c>
      <c r="R109" s="377">
        <v>0</v>
      </c>
      <c r="S109" s="377">
        <v>0</v>
      </c>
      <c r="T109" s="377">
        <v>0</v>
      </c>
      <c r="U109" s="377">
        <v>0</v>
      </c>
      <c r="V109" s="377">
        <v>0</v>
      </c>
      <c r="W109" s="333" t="s">
        <v>3396</v>
      </c>
      <c r="X109" s="333" t="s">
        <v>378</v>
      </c>
      <c r="Y109" s="329" t="s">
        <v>378</v>
      </c>
      <c r="Z109" s="329" t="s">
        <v>378</v>
      </c>
      <c r="AA109" s="378"/>
      <c r="AB109" s="329" t="s">
        <v>378</v>
      </c>
    </row>
    <row r="110" spans="1:28" s="340" customFormat="1" ht="30" customHeight="1">
      <c r="A110" s="336" t="s">
        <v>2817</v>
      </c>
      <c r="B110" s="336" t="s">
        <v>2815</v>
      </c>
      <c r="C110" s="336" t="s">
        <v>2816</v>
      </c>
      <c r="D110" s="379" t="s">
        <v>265</v>
      </c>
      <c r="E110" s="380"/>
      <c r="F110" s="336" t="s">
        <v>378</v>
      </c>
      <c r="G110" s="380"/>
      <c r="H110" s="336"/>
      <c r="I110" s="380">
        <v>1698</v>
      </c>
      <c r="J110" s="336" t="s">
        <v>3365</v>
      </c>
      <c r="K110" s="380">
        <v>1670</v>
      </c>
      <c r="L110" s="336" t="s">
        <v>3397</v>
      </c>
      <c r="M110" s="380">
        <v>0</v>
      </c>
      <c r="N110" s="336" t="s">
        <v>378</v>
      </c>
      <c r="O110" s="377">
        <f t="shared" si="1"/>
        <v>1478.6681000000001</v>
      </c>
      <c r="P110" s="380">
        <v>0</v>
      </c>
      <c r="Q110" s="380">
        <v>0</v>
      </c>
      <c r="R110" s="380">
        <v>0</v>
      </c>
      <c r="S110" s="380">
        <v>0</v>
      </c>
      <c r="T110" s="380">
        <v>0</v>
      </c>
      <c r="U110" s="380">
        <v>0</v>
      </c>
      <c r="V110" s="380">
        <v>0</v>
      </c>
      <c r="W110" s="336" t="s">
        <v>3398</v>
      </c>
      <c r="X110" s="336" t="s">
        <v>378</v>
      </c>
      <c r="Y110" s="339" t="s">
        <v>378</v>
      </c>
      <c r="Z110" s="339" t="s">
        <v>378</v>
      </c>
      <c r="AA110" s="381"/>
      <c r="AB110" s="339" t="s">
        <v>378</v>
      </c>
    </row>
    <row r="111" spans="1:28" s="340" customFormat="1" ht="30" customHeight="1">
      <c r="A111" s="336" t="s">
        <v>2823</v>
      </c>
      <c r="B111" s="336" t="s">
        <v>2815</v>
      </c>
      <c r="C111" s="336" t="s">
        <v>2822</v>
      </c>
      <c r="D111" s="379" t="s">
        <v>265</v>
      </c>
      <c r="E111" s="380"/>
      <c r="F111" s="336" t="s">
        <v>378</v>
      </c>
      <c r="G111" s="380"/>
      <c r="H111" s="336"/>
      <c r="I111" s="380">
        <v>2631</v>
      </c>
      <c r="J111" s="336" t="s">
        <v>3365</v>
      </c>
      <c r="K111" s="380">
        <v>2480</v>
      </c>
      <c r="L111" s="336" t="s">
        <v>3397</v>
      </c>
      <c r="M111" s="380">
        <v>0</v>
      </c>
      <c r="N111" s="336" t="s">
        <v>378</v>
      </c>
      <c r="O111" s="377">
        <f t="shared" si="1"/>
        <v>2195.8664000000003</v>
      </c>
      <c r="P111" s="380">
        <v>0</v>
      </c>
      <c r="Q111" s="380">
        <v>0</v>
      </c>
      <c r="R111" s="380">
        <v>0</v>
      </c>
      <c r="S111" s="380">
        <v>0</v>
      </c>
      <c r="T111" s="380">
        <v>0</v>
      </c>
      <c r="U111" s="380">
        <v>0</v>
      </c>
      <c r="V111" s="380">
        <v>0</v>
      </c>
      <c r="W111" s="336" t="s">
        <v>3399</v>
      </c>
      <c r="X111" s="336" t="s">
        <v>378</v>
      </c>
      <c r="Y111" s="339" t="s">
        <v>378</v>
      </c>
      <c r="Z111" s="339" t="s">
        <v>378</v>
      </c>
      <c r="AA111" s="381"/>
      <c r="AB111" s="339" t="s">
        <v>378</v>
      </c>
    </row>
    <row r="112" spans="1:28" s="340" customFormat="1" ht="30" customHeight="1">
      <c r="A112" s="336" t="s">
        <v>2829</v>
      </c>
      <c r="B112" s="336" t="s">
        <v>2815</v>
      </c>
      <c r="C112" s="336" t="s">
        <v>2828</v>
      </c>
      <c r="D112" s="379" t="s">
        <v>265</v>
      </c>
      <c r="E112" s="380"/>
      <c r="F112" s="336" t="s">
        <v>378</v>
      </c>
      <c r="G112" s="380"/>
      <c r="H112" s="336"/>
      <c r="I112" s="380">
        <v>3498</v>
      </c>
      <c r="J112" s="336" t="s">
        <v>3365</v>
      </c>
      <c r="K112" s="380">
        <v>3200</v>
      </c>
      <c r="L112" s="336" t="s">
        <v>3397</v>
      </c>
      <c r="M112" s="380">
        <v>0</v>
      </c>
      <c r="N112" s="336" t="s">
        <v>378</v>
      </c>
      <c r="O112" s="377">
        <f t="shared" si="1"/>
        <v>2833.3760000000002</v>
      </c>
      <c r="P112" s="380">
        <v>0</v>
      </c>
      <c r="Q112" s="380">
        <v>0</v>
      </c>
      <c r="R112" s="380">
        <v>0</v>
      </c>
      <c r="S112" s="380">
        <v>0</v>
      </c>
      <c r="T112" s="380">
        <v>0</v>
      </c>
      <c r="U112" s="380">
        <v>0</v>
      </c>
      <c r="V112" s="380">
        <v>0</v>
      </c>
      <c r="W112" s="336" t="s">
        <v>3400</v>
      </c>
      <c r="X112" s="336" t="s">
        <v>378</v>
      </c>
      <c r="Y112" s="339" t="s">
        <v>378</v>
      </c>
      <c r="Z112" s="339" t="s">
        <v>378</v>
      </c>
      <c r="AA112" s="381"/>
      <c r="AB112" s="339" t="s">
        <v>378</v>
      </c>
    </row>
    <row r="113" spans="1:28" ht="30" customHeight="1">
      <c r="A113" s="333" t="s">
        <v>2835</v>
      </c>
      <c r="B113" s="333" t="s">
        <v>2815</v>
      </c>
      <c r="C113" s="333" t="s">
        <v>2834</v>
      </c>
      <c r="D113" s="376" t="s">
        <v>265</v>
      </c>
      <c r="E113" s="377">
        <v>0</v>
      </c>
      <c r="F113" s="333" t="s">
        <v>378</v>
      </c>
      <c r="G113" s="377">
        <v>11867</v>
      </c>
      <c r="H113" s="333" t="s">
        <v>3369</v>
      </c>
      <c r="I113" s="377">
        <v>5912</v>
      </c>
      <c r="J113" s="333" t="s">
        <v>3401</v>
      </c>
      <c r="K113" s="377">
        <v>12480</v>
      </c>
      <c r="L113" s="333" t="s">
        <v>3402</v>
      </c>
      <c r="M113" s="377">
        <v>0</v>
      </c>
      <c r="N113" s="333" t="s">
        <v>378</v>
      </c>
      <c r="O113" s="377">
        <f t="shared" si="1"/>
        <v>5234.6621599999999</v>
      </c>
      <c r="P113" s="377">
        <v>0</v>
      </c>
      <c r="Q113" s="377">
        <v>0</v>
      </c>
      <c r="R113" s="377">
        <v>0</v>
      </c>
      <c r="S113" s="377">
        <v>0</v>
      </c>
      <c r="T113" s="377">
        <v>0</v>
      </c>
      <c r="U113" s="377">
        <v>0</v>
      </c>
      <c r="V113" s="377">
        <v>0</v>
      </c>
      <c r="W113" s="333" t="s">
        <v>3403</v>
      </c>
      <c r="X113" s="333" t="s">
        <v>378</v>
      </c>
      <c r="Y113" s="329" t="s">
        <v>378</v>
      </c>
      <c r="Z113" s="329" t="s">
        <v>378</v>
      </c>
      <c r="AA113" s="378"/>
      <c r="AB113" s="329" t="s">
        <v>378</v>
      </c>
    </row>
    <row r="114" spans="1:28" ht="30" customHeight="1">
      <c r="A114" s="333" t="s">
        <v>2846</v>
      </c>
      <c r="B114" s="333" t="s">
        <v>493</v>
      </c>
      <c r="C114" s="333" t="s">
        <v>494</v>
      </c>
      <c r="D114" s="376" t="s">
        <v>265</v>
      </c>
      <c r="E114" s="377">
        <v>0</v>
      </c>
      <c r="F114" s="333" t="s">
        <v>378</v>
      </c>
      <c r="G114" s="377">
        <v>0</v>
      </c>
      <c r="H114" s="333" t="s">
        <v>378</v>
      </c>
      <c r="I114" s="377">
        <v>0</v>
      </c>
      <c r="J114" s="333" t="s">
        <v>378</v>
      </c>
      <c r="K114" s="377">
        <v>0</v>
      </c>
      <c r="L114" s="333" t="s">
        <v>378</v>
      </c>
      <c r="M114" s="377">
        <v>0</v>
      </c>
      <c r="N114" s="333" t="s">
        <v>378</v>
      </c>
      <c r="O114" s="377"/>
      <c r="P114" s="377">
        <v>0</v>
      </c>
      <c r="Q114" s="377">
        <v>0</v>
      </c>
      <c r="R114" s="377">
        <v>0</v>
      </c>
      <c r="S114" s="377">
        <v>0</v>
      </c>
      <c r="T114" s="377">
        <v>0</v>
      </c>
      <c r="U114" s="377">
        <v>0</v>
      </c>
      <c r="V114" s="377">
        <v>0</v>
      </c>
      <c r="W114" s="333" t="s">
        <v>3404</v>
      </c>
      <c r="X114" s="333" t="s">
        <v>378</v>
      </c>
      <c r="Y114" s="329" t="s">
        <v>378</v>
      </c>
      <c r="Z114" s="329" t="s">
        <v>378</v>
      </c>
      <c r="AA114" s="378"/>
      <c r="AB114" s="329" t="s">
        <v>378</v>
      </c>
    </row>
    <row r="115" spans="1:28" ht="30" customHeight="1">
      <c r="A115" s="333" t="s">
        <v>2851</v>
      </c>
      <c r="B115" s="333" t="s">
        <v>495</v>
      </c>
      <c r="C115" s="333" t="s">
        <v>496</v>
      </c>
      <c r="D115" s="376" t="s">
        <v>265</v>
      </c>
      <c r="E115" s="377">
        <v>0</v>
      </c>
      <c r="F115" s="333" t="s">
        <v>378</v>
      </c>
      <c r="G115" s="377">
        <v>0</v>
      </c>
      <c r="H115" s="333" t="s">
        <v>378</v>
      </c>
      <c r="I115" s="377">
        <v>0</v>
      </c>
      <c r="J115" s="333" t="s">
        <v>378</v>
      </c>
      <c r="K115" s="377">
        <v>0</v>
      </c>
      <c r="L115" s="333" t="s">
        <v>378</v>
      </c>
      <c r="M115" s="377">
        <v>0</v>
      </c>
      <c r="N115" s="333" t="s">
        <v>378</v>
      </c>
      <c r="O115" s="377"/>
      <c r="P115" s="377">
        <v>0</v>
      </c>
      <c r="Q115" s="377">
        <v>0</v>
      </c>
      <c r="R115" s="377">
        <v>0</v>
      </c>
      <c r="S115" s="377">
        <v>0</v>
      </c>
      <c r="T115" s="377">
        <v>0</v>
      </c>
      <c r="U115" s="377">
        <v>0</v>
      </c>
      <c r="V115" s="377">
        <v>0</v>
      </c>
      <c r="W115" s="333" t="s">
        <v>3405</v>
      </c>
      <c r="X115" s="333" t="s">
        <v>378</v>
      </c>
      <c r="Y115" s="329" t="s">
        <v>378</v>
      </c>
      <c r="Z115" s="329" t="s">
        <v>378</v>
      </c>
      <c r="AA115" s="378"/>
      <c r="AB115" s="329" t="s">
        <v>378</v>
      </c>
    </row>
    <row r="116" spans="1:28" ht="30" customHeight="1">
      <c r="A116" s="333" t="s">
        <v>2856</v>
      </c>
      <c r="B116" s="333" t="s">
        <v>497</v>
      </c>
      <c r="C116" s="333" t="s">
        <v>498</v>
      </c>
      <c r="D116" s="376" t="s">
        <v>265</v>
      </c>
      <c r="E116" s="377">
        <v>0</v>
      </c>
      <c r="F116" s="333" t="s">
        <v>378</v>
      </c>
      <c r="G116" s="377">
        <v>0</v>
      </c>
      <c r="H116" s="333" t="s">
        <v>378</v>
      </c>
      <c r="I116" s="377">
        <v>0</v>
      </c>
      <c r="J116" s="333" t="s">
        <v>378</v>
      </c>
      <c r="K116" s="377">
        <v>0</v>
      </c>
      <c r="L116" s="333" t="s">
        <v>378</v>
      </c>
      <c r="M116" s="377">
        <v>0</v>
      </c>
      <c r="N116" s="333" t="s">
        <v>378</v>
      </c>
      <c r="O116" s="377"/>
      <c r="P116" s="377">
        <v>0</v>
      </c>
      <c r="Q116" s="377">
        <v>0</v>
      </c>
      <c r="R116" s="377">
        <v>0</v>
      </c>
      <c r="S116" s="377">
        <v>0</v>
      </c>
      <c r="T116" s="377">
        <v>0</v>
      </c>
      <c r="U116" s="377">
        <v>0</v>
      </c>
      <c r="V116" s="377">
        <v>0</v>
      </c>
      <c r="W116" s="333" t="s">
        <v>3406</v>
      </c>
      <c r="X116" s="333" t="s">
        <v>378</v>
      </c>
      <c r="Y116" s="329" t="s">
        <v>378</v>
      </c>
      <c r="Z116" s="329" t="s">
        <v>378</v>
      </c>
      <c r="AA116" s="378"/>
      <c r="AB116" s="329" t="s">
        <v>378</v>
      </c>
    </row>
    <row r="117" spans="1:28" ht="30" customHeight="1">
      <c r="A117" s="333" t="s">
        <v>2861</v>
      </c>
      <c r="B117" s="333" t="s">
        <v>499</v>
      </c>
      <c r="C117" s="333" t="s">
        <v>500</v>
      </c>
      <c r="D117" s="376" t="s">
        <v>265</v>
      </c>
      <c r="E117" s="377">
        <v>0</v>
      </c>
      <c r="F117" s="333" t="s">
        <v>378</v>
      </c>
      <c r="G117" s="377">
        <v>0</v>
      </c>
      <c r="H117" s="333" t="s">
        <v>378</v>
      </c>
      <c r="I117" s="377">
        <v>0</v>
      </c>
      <c r="J117" s="333" t="s">
        <v>378</v>
      </c>
      <c r="K117" s="377">
        <v>0</v>
      </c>
      <c r="L117" s="333" t="s">
        <v>378</v>
      </c>
      <c r="M117" s="377">
        <v>0</v>
      </c>
      <c r="N117" s="333" t="s">
        <v>378</v>
      </c>
      <c r="O117" s="377"/>
      <c r="P117" s="377">
        <v>0</v>
      </c>
      <c r="Q117" s="377">
        <v>0</v>
      </c>
      <c r="R117" s="377">
        <v>0</v>
      </c>
      <c r="S117" s="377">
        <v>0</v>
      </c>
      <c r="T117" s="377">
        <v>0</v>
      </c>
      <c r="U117" s="377">
        <v>0</v>
      </c>
      <c r="V117" s="377">
        <v>0</v>
      </c>
      <c r="W117" s="333" t="s">
        <v>3407</v>
      </c>
      <c r="X117" s="333" t="s">
        <v>378</v>
      </c>
      <c r="Y117" s="329" t="s">
        <v>378</v>
      </c>
      <c r="Z117" s="329" t="s">
        <v>378</v>
      </c>
      <c r="AA117" s="378"/>
      <c r="AB117" s="329" t="s">
        <v>378</v>
      </c>
    </row>
    <row r="118" spans="1:28" ht="30" customHeight="1">
      <c r="A118" s="333" t="s">
        <v>2866</v>
      </c>
      <c r="B118" s="333" t="s">
        <v>501</v>
      </c>
      <c r="C118" s="333" t="s">
        <v>502</v>
      </c>
      <c r="D118" s="376" t="s">
        <v>265</v>
      </c>
      <c r="E118" s="377">
        <v>0</v>
      </c>
      <c r="F118" s="333" t="s">
        <v>378</v>
      </c>
      <c r="G118" s="377">
        <v>0</v>
      </c>
      <c r="H118" s="333" t="s">
        <v>378</v>
      </c>
      <c r="I118" s="377">
        <v>0</v>
      </c>
      <c r="J118" s="333" t="s">
        <v>378</v>
      </c>
      <c r="K118" s="377">
        <v>0</v>
      </c>
      <c r="L118" s="333" t="s">
        <v>378</v>
      </c>
      <c r="M118" s="377">
        <v>0</v>
      </c>
      <c r="N118" s="333" t="s">
        <v>378</v>
      </c>
      <c r="O118" s="377"/>
      <c r="P118" s="377">
        <v>0</v>
      </c>
      <c r="Q118" s="377">
        <v>0</v>
      </c>
      <c r="R118" s="377">
        <v>0</v>
      </c>
      <c r="S118" s="377">
        <v>0</v>
      </c>
      <c r="T118" s="377">
        <v>0</v>
      </c>
      <c r="U118" s="377">
        <v>0</v>
      </c>
      <c r="V118" s="377">
        <v>0</v>
      </c>
      <c r="W118" s="333" t="s">
        <v>3408</v>
      </c>
      <c r="X118" s="333" t="s">
        <v>378</v>
      </c>
      <c r="Y118" s="329" t="s">
        <v>378</v>
      </c>
      <c r="Z118" s="329" t="s">
        <v>378</v>
      </c>
      <c r="AA118" s="378"/>
      <c r="AB118" s="329" t="s">
        <v>378</v>
      </c>
    </row>
    <row r="119" spans="1:28" ht="30" customHeight="1">
      <c r="A119" s="333" t="s">
        <v>2871</v>
      </c>
      <c r="B119" s="333" t="s">
        <v>503</v>
      </c>
      <c r="C119" s="333" t="s">
        <v>504</v>
      </c>
      <c r="D119" s="376" t="s">
        <v>265</v>
      </c>
      <c r="E119" s="377">
        <v>0</v>
      </c>
      <c r="F119" s="333" t="s">
        <v>378</v>
      </c>
      <c r="G119" s="377">
        <v>0</v>
      </c>
      <c r="H119" s="333" t="s">
        <v>378</v>
      </c>
      <c r="I119" s="377">
        <v>0</v>
      </c>
      <c r="J119" s="333" t="s">
        <v>378</v>
      </c>
      <c r="K119" s="377">
        <v>0</v>
      </c>
      <c r="L119" s="333" t="s">
        <v>378</v>
      </c>
      <c r="M119" s="377">
        <v>0</v>
      </c>
      <c r="N119" s="333" t="s">
        <v>378</v>
      </c>
      <c r="O119" s="377"/>
      <c r="P119" s="377">
        <v>0</v>
      </c>
      <c r="Q119" s="377">
        <v>0</v>
      </c>
      <c r="R119" s="377">
        <v>0</v>
      </c>
      <c r="S119" s="377">
        <v>0</v>
      </c>
      <c r="T119" s="377">
        <v>0</v>
      </c>
      <c r="U119" s="377">
        <v>0</v>
      </c>
      <c r="V119" s="377">
        <v>0</v>
      </c>
      <c r="W119" s="333" t="s">
        <v>3409</v>
      </c>
      <c r="X119" s="333" t="s">
        <v>378</v>
      </c>
      <c r="Y119" s="329" t="s">
        <v>378</v>
      </c>
      <c r="Z119" s="329" t="s">
        <v>378</v>
      </c>
      <c r="AA119" s="378"/>
      <c r="AB119" s="329" t="s">
        <v>378</v>
      </c>
    </row>
    <row r="120" spans="1:28" ht="30" customHeight="1">
      <c r="A120" s="333" t="s">
        <v>2876</v>
      </c>
      <c r="B120" s="333" t="s">
        <v>505</v>
      </c>
      <c r="C120" s="333" t="s">
        <v>506</v>
      </c>
      <c r="D120" s="376" t="s">
        <v>265</v>
      </c>
      <c r="E120" s="377">
        <v>0</v>
      </c>
      <c r="F120" s="333" t="s">
        <v>378</v>
      </c>
      <c r="G120" s="377">
        <v>0</v>
      </c>
      <c r="H120" s="333" t="s">
        <v>378</v>
      </c>
      <c r="I120" s="377">
        <v>0</v>
      </c>
      <c r="J120" s="333" t="s">
        <v>378</v>
      </c>
      <c r="K120" s="377">
        <v>0</v>
      </c>
      <c r="L120" s="333" t="s">
        <v>378</v>
      </c>
      <c r="M120" s="377">
        <v>0</v>
      </c>
      <c r="N120" s="333" t="s">
        <v>378</v>
      </c>
      <c r="O120" s="377"/>
      <c r="P120" s="377">
        <v>0</v>
      </c>
      <c r="Q120" s="377">
        <v>0</v>
      </c>
      <c r="R120" s="377">
        <v>0</v>
      </c>
      <c r="S120" s="377">
        <v>0</v>
      </c>
      <c r="T120" s="377">
        <v>0</v>
      </c>
      <c r="U120" s="377">
        <v>0</v>
      </c>
      <c r="V120" s="377">
        <v>0</v>
      </c>
      <c r="W120" s="333" t="s">
        <v>3410</v>
      </c>
      <c r="X120" s="333" t="s">
        <v>378</v>
      </c>
      <c r="Y120" s="329" t="s">
        <v>378</v>
      </c>
      <c r="Z120" s="329" t="s">
        <v>378</v>
      </c>
      <c r="AA120" s="378"/>
      <c r="AB120" s="329" t="s">
        <v>378</v>
      </c>
    </row>
    <row r="121" spans="1:28" ht="30" customHeight="1">
      <c r="A121" s="333" t="s">
        <v>2881</v>
      </c>
      <c r="B121" s="333" t="s">
        <v>507</v>
      </c>
      <c r="C121" s="333" t="s">
        <v>508</v>
      </c>
      <c r="D121" s="376" t="s">
        <v>265</v>
      </c>
      <c r="E121" s="377">
        <v>0</v>
      </c>
      <c r="F121" s="333" t="s">
        <v>378</v>
      </c>
      <c r="G121" s="377">
        <v>0</v>
      </c>
      <c r="H121" s="333" t="s">
        <v>378</v>
      </c>
      <c r="I121" s="377">
        <v>0</v>
      </c>
      <c r="J121" s="333" t="s">
        <v>378</v>
      </c>
      <c r="K121" s="377">
        <v>0</v>
      </c>
      <c r="L121" s="333" t="s">
        <v>378</v>
      </c>
      <c r="M121" s="377">
        <v>0</v>
      </c>
      <c r="N121" s="333" t="s">
        <v>378</v>
      </c>
      <c r="O121" s="377"/>
      <c r="P121" s="377">
        <v>0</v>
      </c>
      <c r="Q121" s="377">
        <v>0</v>
      </c>
      <c r="R121" s="377">
        <v>0</v>
      </c>
      <c r="S121" s="377">
        <v>0</v>
      </c>
      <c r="T121" s="377">
        <v>0</v>
      </c>
      <c r="U121" s="377">
        <v>0</v>
      </c>
      <c r="V121" s="377">
        <v>0</v>
      </c>
      <c r="W121" s="333" t="s">
        <v>3411</v>
      </c>
      <c r="X121" s="333" t="s">
        <v>378</v>
      </c>
      <c r="Y121" s="329" t="s">
        <v>378</v>
      </c>
      <c r="Z121" s="329" t="s">
        <v>378</v>
      </c>
      <c r="AA121" s="378"/>
      <c r="AB121" s="329" t="s">
        <v>378</v>
      </c>
    </row>
    <row r="122" spans="1:28" ht="30" customHeight="1">
      <c r="A122" s="333" t="s">
        <v>2886</v>
      </c>
      <c r="B122" s="333" t="s">
        <v>509</v>
      </c>
      <c r="C122" s="333" t="s">
        <v>510</v>
      </c>
      <c r="D122" s="376" t="s">
        <v>265</v>
      </c>
      <c r="E122" s="377">
        <v>0</v>
      </c>
      <c r="F122" s="333" t="s">
        <v>378</v>
      </c>
      <c r="G122" s="377">
        <v>0</v>
      </c>
      <c r="H122" s="333" t="s">
        <v>378</v>
      </c>
      <c r="I122" s="377">
        <v>0</v>
      </c>
      <c r="J122" s="333" t="s">
        <v>378</v>
      </c>
      <c r="K122" s="377">
        <v>0</v>
      </c>
      <c r="L122" s="333" t="s">
        <v>378</v>
      </c>
      <c r="M122" s="377">
        <v>0</v>
      </c>
      <c r="N122" s="333" t="s">
        <v>378</v>
      </c>
      <c r="O122" s="377"/>
      <c r="P122" s="377">
        <v>0</v>
      </c>
      <c r="Q122" s="377">
        <v>0</v>
      </c>
      <c r="R122" s="377">
        <v>0</v>
      </c>
      <c r="S122" s="377">
        <v>0</v>
      </c>
      <c r="T122" s="377">
        <v>0</v>
      </c>
      <c r="U122" s="377">
        <v>0</v>
      </c>
      <c r="V122" s="377">
        <v>0</v>
      </c>
      <c r="W122" s="333" t="s">
        <v>3412</v>
      </c>
      <c r="X122" s="333" t="s">
        <v>378</v>
      </c>
      <c r="Y122" s="329" t="s">
        <v>378</v>
      </c>
      <c r="Z122" s="329" t="s">
        <v>378</v>
      </c>
      <c r="AA122" s="378"/>
      <c r="AB122" s="329" t="s">
        <v>378</v>
      </c>
    </row>
    <row r="123" spans="1:28" ht="30" customHeight="1">
      <c r="A123" s="333" t="s">
        <v>2551</v>
      </c>
      <c r="B123" s="333" t="s">
        <v>2550</v>
      </c>
      <c r="C123" s="333" t="s">
        <v>315</v>
      </c>
      <c r="D123" s="376" t="s">
        <v>265</v>
      </c>
      <c r="E123" s="377">
        <v>0</v>
      </c>
      <c r="F123" s="333" t="s">
        <v>378</v>
      </c>
      <c r="G123" s="377">
        <v>0</v>
      </c>
      <c r="H123" s="333" t="s">
        <v>378</v>
      </c>
      <c r="I123" s="377">
        <v>0</v>
      </c>
      <c r="J123" s="333" t="s">
        <v>378</v>
      </c>
      <c r="K123" s="377">
        <v>0</v>
      </c>
      <c r="L123" s="333" t="s">
        <v>378</v>
      </c>
      <c r="M123" s="377">
        <v>0</v>
      </c>
      <c r="N123" s="333" t="s">
        <v>378</v>
      </c>
      <c r="O123" s="377"/>
      <c r="P123" s="377">
        <v>0</v>
      </c>
      <c r="Q123" s="377">
        <v>0</v>
      </c>
      <c r="R123" s="377">
        <v>0</v>
      </c>
      <c r="S123" s="377">
        <v>0</v>
      </c>
      <c r="T123" s="377">
        <v>0</v>
      </c>
      <c r="U123" s="377">
        <v>0</v>
      </c>
      <c r="V123" s="377">
        <v>0</v>
      </c>
      <c r="W123" s="333" t="s">
        <v>3413</v>
      </c>
      <c r="X123" s="333" t="s">
        <v>378</v>
      </c>
      <c r="Y123" s="329" t="s">
        <v>378</v>
      </c>
      <c r="Z123" s="329" t="s">
        <v>378</v>
      </c>
      <c r="AA123" s="378"/>
      <c r="AB123" s="329" t="s">
        <v>378</v>
      </c>
    </row>
    <row r="124" spans="1:28" ht="30" customHeight="1">
      <c r="A124" s="333" t="s">
        <v>2557</v>
      </c>
      <c r="B124" s="333" t="s">
        <v>2556</v>
      </c>
      <c r="C124" s="333" t="s">
        <v>317</v>
      </c>
      <c r="D124" s="376" t="s">
        <v>265</v>
      </c>
      <c r="E124" s="377">
        <v>0</v>
      </c>
      <c r="F124" s="333" t="s">
        <v>378</v>
      </c>
      <c r="G124" s="377">
        <v>0</v>
      </c>
      <c r="H124" s="333" t="s">
        <v>378</v>
      </c>
      <c r="I124" s="377">
        <v>0</v>
      </c>
      <c r="J124" s="333" t="s">
        <v>378</v>
      </c>
      <c r="K124" s="377">
        <v>0</v>
      </c>
      <c r="L124" s="333" t="s">
        <v>378</v>
      </c>
      <c r="M124" s="377">
        <v>0</v>
      </c>
      <c r="N124" s="333" t="s">
        <v>378</v>
      </c>
      <c r="O124" s="377"/>
      <c r="P124" s="377">
        <v>0</v>
      </c>
      <c r="Q124" s="377">
        <v>0</v>
      </c>
      <c r="R124" s="377">
        <v>0</v>
      </c>
      <c r="S124" s="377">
        <v>0</v>
      </c>
      <c r="T124" s="377">
        <v>0</v>
      </c>
      <c r="U124" s="377">
        <v>0</v>
      </c>
      <c r="V124" s="377">
        <v>0</v>
      </c>
      <c r="W124" s="333" t="s">
        <v>3414</v>
      </c>
      <c r="X124" s="333" t="s">
        <v>378</v>
      </c>
      <c r="Y124" s="329" t="s">
        <v>378</v>
      </c>
      <c r="Z124" s="329" t="s">
        <v>378</v>
      </c>
      <c r="AA124" s="378"/>
      <c r="AB124" s="329" t="s">
        <v>378</v>
      </c>
    </row>
    <row r="125" spans="1:28" ht="30" customHeight="1">
      <c r="A125" s="333" t="s">
        <v>2228</v>
      </c>
      <c r="B125" s="333" t="s">
        <v>2226</v>
      </c>
      <c r="C125" s="333" t="s">
        <v>2227</v>
      </c>
      <c r="D125" s="376" t="s">
        <v>300</v>
      </c>
      <c r="E125" s="377">
        <v>0</v>
      </c>
      <c r="F125" s="333" t="s">
        <v>378</v>
      </c>
      <c r="G125" s="377">
        <v>13950</v>
      </c>
      <c r="H125" s="333" t="s">
        <v>3415</v>
      </c>
      <c r="I125" s="377">
        <v>27050</v>
      </c>
      <c r="J125" s="333" t="s">
        <v>3416</v>
      </c>
      <c r="K125" s="377">
        <v>26460</v>
      </c>
      <c r="L125" s="333" t="s">
        <v>3417</v>
      </c>
      <c r="M125" s="377">
        <v>0</v>
      </c>
      <c r="N125" s="333" t="s">
        <v>378</v>
      </c>
      <c r="O125" s="377">
        <f t="shared" si="1"/>
        <v>12351.748500000002</v>
      </c>
      <c r="P125" s="377">
        <v>0</v>
      </c>
      <c r="Q125" s="377">
        <v>0</v>
      </c>
      <c r="R125" s="377">
        <v>0</v>
      </c>
      <c r="S125" s="377">
        <v>0</v>
      </c>
      <c r="T125" s="377">
        <v>0</v>
      </c>
      <c r="U125" s="377">
        <v>0</v>
      </c>
      <c r="V125" s="377">
        <v>0</v>
      </c>
      <c r="W125" s="333" t="s">
        <v>3418</v>
      </c>
      <c r="X125" s="333" t="s">
        <v>378</v>
      </c>
      <c r="Y125" s="329" t="s">
        <v>378</v>
      </c>
      <c r="Z125" s="329" t="s">
        <v>378</v>
      </c>
      <c r="AA125" s="378"/>
      <c r="AB125" s="329" t="s">
        <v>378</v>
      </c>
    </row>
    <row r="126" spans="1:28" ht="30" customHeight="1">
      <c r="A126" s="333" t="s">
        <v>2232</v>
      </c>
      <c r="B126" s="333" t="s">
        <v>2230</v>
      </c>
      <c r="C126" s="333" t="s">
        <v>2231</v>
      </c>
      <c r="D126" s="376" t="s">
        <v>300</v>
      </c>
      <c r="E126" s="377">
        <v>0</v>
      </c>
      <c r="F126" s="333" t="s">
        <v>378</v>
      </c>
      <c r="G126" s="377">
        <v>22200</v>
      </c>
      <c r="H126" s="333" t="s">
        <v>3415</v>
      </c>
      <c r="I126" s="377">
        <v>43100</v>
      </c>
      <c r="J126" s="333" t="s">
        <v>3416</v>
      </c>
      <c r="K126" s="377">
        <v>43530</v>
      </c>
      <c r="L126" s="333" t="s">
        <v>3417</v>
      </c>
      <c r="M126" s="377">
        <v>0</v>
      </c>
      <c r="N126" s="333" t="s">
        <v>378</v>
      </c>
      <c r="O126" s="377">
        <f t="shared" si="1"/>
        <v>19656.546000000002</v>
      </c>
      <c r="P126" s="377">
        <v>0</v>
      </c>
      <c r="Q126" s="377">
        <v>0</v>
      </c>
      <c r="R126" s="377">
        <v>0</v>
      </c>
      <c r="S126" s="377">
        <v>0</v>
      </c>
      <c r="T126" s="377">
        <v>0</v>
      </c>
      <c r="U126" s="377">
        <v>0</v>
      </c>
      <c r="V126" s="377">
        <v>0</v>
      </c>
      <c r="W126" s="333" t="s">
        <v>3419</v>
      </c>
      <c r="X126" s="333" t="s">
        <v>378</v>
      </c>
      <c r="Y126" s="329" t="s">
        <v>378</v>
      </c>
      <c r="Z126" s="329" t="s">
        <v>378</v>
      </c>
      <c r="AA126" s="378"/>
      <c r="AB126" s="329" t="s">
        <v>378</v>
      </c>
    </row>
    <row r="127" spans="1:28" ht="30" customHeight="1">
      <c r="A127" s="333" t="s">
        <v>2545</v>
      </c>
      <c r="B127" s="333" t="s">
        <v>2543</v>
      </c>
      <c r="C127" s="333" t="s">
        <v>2544</v>
      </c>
      <c r="D127" s="376" t="s">
        <v>300</v>
      </c>
      <c r="E127" s="377">
        <v>0</v>
      </c>
      <c r="F127" s="333" t="s">
        <v>378</v>
      </c>
      <c r="G127" s="377">
        <v>15000</v>
      </c>
      <c r="H127" s="333" t="s">
        <v>3420</v>
      </c>
      <c r="I127" s="377">
        <v>15000</v>
      </c>
      <c r="J127" s="333" t="s">
        <v>3421</v>
      </c>
      <c r="K127" s="377">
        <v>4620</v>
      </c>
      <c r="L127" s="333" t="s">
        <v>3422</v>
      </c>
      <c r="M127" s="377">
        <v>0</v>
      </c>
      <c r="N127" s="333" t="s">
        <v>378</v>
      </c>
      <c r="O127" s="377">
        <f t="shared" si="1"/>
        <v>4090.6866000000005</v>
      </c>
      <c r="P127" s="377">
        <v>0</v>
      </c>
      <c r="Q127" s="377">
        <v>0</v>
      </c>
      <c r="R127" s="377">
        <v>0</v>
      </c>
      <c r="S127" s="377">
        <v>0</v>
      </c>
      <c r="T127" s="377">
        <v>0</v>
      </c>
      <c r="U127" s="377">
        <v>0</v>
      </c>
      <c r="V127" s="377">
        <v>0</v>
      </c>
      <c r="W127" s="333" t="s">
        <v>3423</v>
      </c>
      <c r="X127" s="333" t="s">
        <v>378</v>
      </c>
      <c r="Y127" s="329" t="s">
        <v>378</v>
      </c>
      <c r="Z127" s="329" t="s">
        <v>378</v>
      </c>
      <c r="AA127" s="378"/>
      <c r="AB127" s="329" t="s">
        <v>378</v>
      </c>
    </row>
    <row r="128" spans="1:28" s="340" customFormat="1" ht="30" customHeight="1">
      <c r="A128" s="336" t="s">
        <v>2649</v>
      </c>
      <c r="B128" s="336" t="s">
        <v>344</v>
      </c>
      <c r="C128" s="336" t="s">
        <v>345</v>
      </c>
      <c r="D128" s="379" t="s">
        <v>300</v>
      </c>
      <c r="E128" s="380">
        <v>764</v>
      </c>
      <c r="F128" s="336" t="s">
        <v>378</v>
      </c>
      <c r="G128" s="380"/>
      <c r="H128" s="336"/>
      <c r="I128" s="380">
        <v>1249</v>
      </c>
      <c r="J128" s="336" t="s">
        <v>3424</v>
      </c>
      <c r="K128" s="380">
        <v>1375</v>
      </c>
      <c r="L128" s="336" t="s">
        <v>3425</v>
      </c>
      <c r="M128" s="380">
        <v>0</v>
      </c>
      <c r="N128" s="336" t="s">
        <v>378</v>
      </c>
      <c r="O128" s="377">
        <f t="shared" si="1"/>
        <v>676.46852000000001</v>
      </c>
      <c r="P128" s="380">
        <v>0</v>
      </c>
      <c r="Q128" s="380">
        <v>0</v>
      </c>
      <c r="R128" s="380">
        <v>0</v>
      </c>
      <c r="S128" s="380">
        <v>0</v>
      </c>
      <c r="T128" s="380">
        <v>0</v>
      </c>
      <c r="U128" s="380">
        <v>0</v>
      </c>
      <c r="V128" s="380">
        <v>0</v>
      </c>
      <c r="W128" s="336" t="s">
        <v>3426</v>
      </c>
      <c r="X128" s="336" t="s">
        <v>378</v>
      </c>
      <c r="Y128" s="339" t="s">
        <v>378</v>
      </c>
      <c r="Z128" s="339" t="s">
        <v>378</v>
      </c>
      <c r="AA128" s="381"/>
      <c r="AB128" s="339" t="s">
        <v>378</v>
      </c>
    </row>
    <row r="129" spans="1:28" ht="30" customHeight="1">
      <c r="A129" s="333" t="s">
        <v>2655</v>
      </c>
      <c r="B129" s="333" t="s">
        <v>344</v>
      </c>
      <c r="C129" s="333" t="s">
        <v>423</v>
      </c>
      <c r="D129" s="376" t="s">
        <v>300</v>
      </c>
      <c r="E129" s="377">
        <v>0</v>
      </c>
      <c r="F129" s="333" t="s">
        <v>378</v>
      </c>
      <c r="G129" s="377">
        <v>2081</v>
      </c>
      <c r="H129" s="333" t="s">
        <v>3427</v>
      </c>
      <c r="I129" s="377">
        <v>2546</v>
      </c>
      <c r="J129" s="333" t="s">
        <v>3428</v>
      </c>
      <c r="K129" s="377">
        <v>2360</v>
      </c>
      <c r="L129" s="333" t="s">
        <v>3429</v>
      </c>
      <c r="M129" s="377">
        <v>0</v>
      </c>
      <c r="N129" s="333" t="s">
        <v>378</v>
      </c>
      <c r="O129" s="377">
        <f t="shared" si="1"/>
        <v>1842.5798300000001</v>
      </c>
      <c r="P129" s="377">
        <v>0</v>
      </c>
      <c r="Q129" s="377">
        <v>0</v>
      </c>
      <c r="R129" s="377">
        <v>0</v>
      </c>
      <c r="S129" s="377">
        <v>0</v>
      </c>
      <c r="T129" s="377">
        <v>0</v>
      </c>
      <c r="U129" s="377">
        <v>0</v>
      </c>
      <c r="V129" s="377">
        <v>0</v>
      </c>
      <c r="W129" s="333" t="s">
        <v>3430</v>
      </c>
      <c r="X129" s="333" t="s">
        <v>378</v>
      </c>
      <c r="Y129" s="329" t="s">
        <v>378</v>
      </c>
      <c r="Z129" s="329" t="s">
        <v>378</v>
      </c>
      <c r="AA129" s="378"/>
      <c r="AB129" s="329" t="s">
        <v>378</v>
      </c>
    </row>
    <row r="130" spans="1:28" s="340" customFormat="1" ht="30" customHeight="1">
      <c r="A130" s="336" t="s">
        <v>2207</v>
      </c>
      <c r="B130" s="336" t="s">
        <v>344</v>
      </c>
      <c r="C130" s="336" t="s">
        <v>2206</v>
      </c>
      <c r="D130" s="379" t="s">
        <v>300</v>
      </c>
      <c r="E130" s="380">
        <v>3697</v>
      </c>
      <c r="F130" s="336" t="s">
        <v>378</v>
      </c>
      <c r="G130" s="380"/>
      <c r="H130" s="336"/>
      <c r="I130" s="380">
        <v>5375</v>
      </c>
      <c r="J130" s="336" t="s">
        <v>3424</v>
      </c>
      <c r="K130" s="380">
        <v>5500</v>
      </c>
      <c r="L130" s="336" t="s">
        <v>3425</v>
      </c>
      <c r="M130" s="380">
        <v>0</v>
      </c>
      <c r="N130" s="336" t="s">
        <v>378</v>
      </c>
      <c r="O130" s="377">
        <f t="shared" si="1"/>
        <v>3273.43471</v>
      </c>
      <c r="P130" s="380">
        <v>0</v>
      </c>
      <c r="Q130" s="380">
        <v>0</v>
      </c>
      <c r="R130" s="380">
        <v>0</v>
      </c>
      <c r="S130" s="380">
        <v>0</v>
      </c>
      <c r="T130" s="380">
        <v>0</v>
      </c>
      <c r="U130" s="380">
        <v>0</v>
      </c>
      <c r="V130" s="380">
        <v>0</v>
      </c>
      <c r="W130" s="336" t="s">
        <v>3431</v>
      </c>
      <c r="X130" s="336" t="s">
        <v>378</v>
      </c>
      <c r="Y130" s="339" t="s">
        <v>378</v>
      </c>
      <c r="Z130" s="339" t="s">
        <v>378</v>
      </c>
      <c r="AA130" s="381"/>
      <c r="AB130" s="339" t="s">
        <v>378</v>
      </c>
    </row>
    <row r="131" spans="1:28" s="340" customFormat="1" ht="30" customHeight="1">
      <c r="A131" s="336" t="s">
        <v>2387</v>
      </c>
      <c r="B131" s="336" t="s">
        <v>2385</v>
      </c>
      <c r="C131" s="336" t="s">
        <v>2386</v>
      </c>
      <c r="D131" s="379" t="s">
        <v>300</v>
      </c>
      <c r="E131" s="380">
        <v>305</v>
      </c>
      <c r="F131" s="336" t="s">
        <v>378</v>
      </c>
      <c r="G131" s="380"/>
      <c r="H131" s="336"/>
      <c r="I131" s="380">
        <v>439</v>
      </c>
      <c r="J131" s="336" t="s">
        <v>3424</v>
      </c>
      <c r="K131" s="380">
        <v>320</v>
      </c>
      <c r="L131" s="336" t="s">
        <v>3432</v>
      </c>
      <c r="M131" s="380">
        <v>0</v>
      </c>
      <c r="N131" s="336" t="s">
        <v>378</v>
      </c>
      <c r="O131" s="377">
        <f t="shared" si="1"/>
        <v>270.05615</v>
      </c>
      <c r="P131" s="380">
        <v>0</v>
      </c>
      <c r="Q131" s="380">
        <v>0</v>
      </c>
      <c r="R131" s="380">
        <v>0</v>
      </c>
      <c r="S131" s="380">
        <v>0</v>
      </c>
      <c r="T131" s="380">
        <v>0</v>
      </c>
      <c r="U131" s="380">
        <v>0</v>
      </c>
      <c r="V131" s="380">
        <v>0</v>
      </c>
      <c r="W131" s="336" t="s">
        <v>3433</v>
      </c>
      <c r="X131" s="336" t="s">
        <v>378</v>
      </c>
      <c r="Y131" s="339" t="s">
        <v>378</v>
      </c>
      <c r="Z131" s="339" t="s">
        <v>378</v>
      </c>
      <c r="AA131" s="381"/>
      <c r="AB131" s="339" t="s">
        <v>378</v>
      </c>
    </row>
    <row r="132" spans="1:28" s="340" customFormat="1" ht="30" customHeight="1">
      <c r="A132" s="336" t="s">
        <v>2399</v>
      </c>
      <c r="B132" s="336" t="s">
        <v>2385</v>
      </c>
      <c r="C132" s="336" t="s">
        <v>2398</v>
      </c>
      <c r="D132" s="379" t="s">
        <v>300</v>
      </c>
      <c r="E132" s="380">
        <v>409</v>
      </c>
      <c r="F132" s="336" t="s">
        <v>378</v>
      </c>
      <c r="G132" s="380"/>
      <c r="H132" s="336"/>
      <c r="I132" s="380">
        <v>552</v>
      </c>
      <c r="J132" s="336" t="s">
        <v>3424</v>
      </c>
      <c r="K132" s="380">
        <v>430</v>
      </c>
      <c r="L132" s="336" t="s">
        <v>3432</v>
      </c>
      <c r="M132" s="380">
        <v>0</v>
      </c>
      <c r="N132" s="336" t="s">
        <v>378</v>
      </c>
      <c r="O132" s="377">
        <f t="shared" si="1"/>
        <v>362.14087000000001</v>
      </c>
      <c r="P132" s="380">
        <v>0</v>
      </c>
      <c r="Q132" s="380">
        <v>0</v>
      </c>
      <c r="R132" s="380">
        <v>0</v>
      </c>
      <c r="S132" s="380">
        <v>0</v>
      </c>
      <c r="T132" s="380">
        <v>0</v>
      </c>
      <c r="U132" s="380">
        <v>0</v>
      </c>
      <c r="V132" s="380">
        <v>0</v>
      </c>
      <c r="W132" s="336" t="s">
        <v>3434</v>
      </c>
      <c r="X132" s="336" t="s">
        <v>378</v>
      </c>
      <c r="Y132" s="339" t="s">
        <v>378</v>
      </c>
      <c r="Z132" s="339" t="s">
        <v>378</v>
      </c>
      <c r="AA132" s="381"/>
      <c r="AB132" s="339" t="s">
        <v>378</v>
      </c>
    </row>
    <row r="133" spans="1:28" ht="30" customHeight="1">
      <c r="A133" s="333" t="s">
        <v>2408</v>
      </c>
      <c r="B133" s="333" t="s">
        <v>2385</v>
      </c>
      <c r="C133" s="333" t="s">
        <v>2407</v>
      </c>
      <c r="D133" s="376" t="s">
        <v>300</v>
      </c>
      <c r="E133" s="377">
        <v>0</v>
      </c>
      <c r="F133" s="333" t="s">
        <v>378</v>
      </c>
      <c r="G133" s="377">
        <v>750</v>
      </c>
      <c r="H133" s="333" t="s">
        <v>3435</v>
      </c>
      <c r="I133" s="377">
        <v>860</v>
      </c>
      <c r="J133" s="333" t="s">
        <v>3421</v>
      </c>
      <c r="K133" s="377">
        <v>730</v>
      </c>
      <c r="L133" s="333" t="s">
        <v>3436</v>
      </c>
      <c r="M133" s="377">
        <v>0</v>
      </c>
      <c r="N133" s="333" t="s">
        <v>378</v>
      </c>
      <c r="O133" s="377">
        <f t="shared" si="1"/>
        <v>646.36390000000006</v>
      </c>
      <c r="P133" s="377">
        <v>0</v>
      </c>
      <c r="Q133" s="377">
        <v>0</v>
      </c>
      <c r="R133" s="377">
        <v>0</v>
      </c>
      <c r="S133" s="377">
        <v>0</v>
      </c>
      <c r="T133" s="377">
        <v>0</v>
      </c>
      <c r="U133" s="377">
        <v>0</v>
      </c>
      <c r="V133" s="377">
        <v>0</v>
      </c>
      <c r="W133" s="333" t="s">
        <v>3437</v>
      </c>
      <c r="X133" s="333" t="s">
        <v>378</v>
      </c>
      <c r="Y133" s="329" t="s">
        <v>378</v>
      </c>
      <c r="Z133" s="329" t="s">
        <v>378</v>
      </c>
      <c r="AA133" s="378"/>
      <c r="AB133" s="329" t="s">
        <v>378</v>
      </c>
    </row>
    <row r="134" spans="1:28" s="340" customFormat="1" ht="30" customHeight="1">
      <c r="A134" s="336" t="s">
        <v>2416</v>
      </c>
      <c r="B134" s="336" t="s">
        <v>2385</v>
      </c>
      <c r="C134" s="336" t="s">
        <v>2415</v>
      </c>
      <c r="D134" s="379" t="s">
        <v>300</v>
      </c>
      <c r="E134" s="380">
        <v>872</v>
      </c>
      <c r="F134" s="336" t="s">
        <v>378</v>
      </c>
      <c r="G134" s="380"/>
      <c r="H134" s="336"/>
      <c r="I134" s="380">
        <v>1127</v>
      </c>
      <c r="J134" s="336" t="s">
        <v>3424</v>
      </c>
      <c r="K134" s="380">
        <v>960</v>
      </c>
      <c r="L134" s="336" t="s">
        <v>3432</v>
      </c>
      <c r="M134" s="380">
        <v>0</v>
      </c>
      <c r="N134" s="336" t="s">
        <v>378</v>
      </c>
      <c r="O134" s="377">
        <f t="shared" si="1"/>
        <v>772.09496000000001</v>
      </c>
      <c r="P134" s="380">
        <v>0</v>
      </c>
      <c r="Q134" s="380">
        <v>0</v>
      </c>
      <c r="R134" s="380">
        <v>0</v>
      </c>
      <c r="S134" s="380">
        <v>0</v>
      </c>
      <c r="T134" s="380">
        <v>0</v>
      </c>
      <c r="U134" s="380">
        <v>0</v>
      </c>
      <c r="V134" s="380">
        <v>0</v>
      </c>
      <c r="W134" s="336" t="s">
        <v>3438</v>
      </c>
      <c r="X134" s="336" t="s">
        <v>378</v>
      </c>
      <c r="Y134" s="339" t="s">
        <v>378</v>
      </c>
      <c r="Z134" s="339" t="s">
        <v>378</v>
      </c>
      <c r="AA134" s="381"/>
      <c r="AB134" s="339" t="s">
        <v>378</v>
      </c>
    </row>
    <row r="135" spans="1:28" ht="30" customHeight="1">
      <c r="A135" s="333" t="s">
        <v>2425</v>
      </c>
      <c r="B135" s="333" t="s">
        <v>2385</v>
      </c>
      <c r="C135" s="333" t="s">
        <v>2424</v>
      </c>
      <c r="D135" s="376" t="s">
        <v>300</v>
      </c>
      <c r="E135" s="377">
        <v>0</v>
      </c>
      <c r="F135" s="333" t="s">
        <v>378</v>
      </c>
      <c r="G135" s="377">
        <v>2188</v>
      </c>
      <c r="H135" s="333" t="s">
        <v>3435</v>
      </c>
      <c r="I135" s="377">
        <v>2214</v>
      </c>
      <c r="J135" s="333" t="s">
        <v>3439</v>
      </c>
      <c r="K135" s="377">
        <v>1980</v>
      </c>
      <c r="L135" s="333" t="s">
        <v>3436</v>
      </c>
      <c r="M135" s="377">
        <v>0</v>
      </c>
      <c r="N135" s="333" t="s">
        <v>378</v>
      </c>
      <c r="O135" s="377">
        <f t="shared" ref="O135:O145" si="2">SMALL(E135:M135,COUNTIF(E135:M135,0)+1)*$AD$3</f>
        <v>1753.1514000000002</v>
      </c>
      <c r="P135" s="377">
        <v>0</v>
      </c>
      <c r="Q135" s="377">
        <v>0</v>
      </c>
      <c r="R135" s="377">
        <v>0</v>
      </c>
      <c r="S135" s="377">
        <v>0</v>
      </c>
      <c r="T135" s="377">
        <v>0</v>
      </c>
      <c r="U135" s="377">
        <v>0</v>
      </c>
      <c r="V135" s="377">
        <v>0</v>
      </c>
      <c r="W135" s="333" t="s">
        <v>3440</v>
      </c>
      <c r="X135" s="333" t="s">
        <v>378</v>
      </c>
      <c r="Y135" s="329" t="s">
        <v>378</v>
      </c>
      <c r="Z135" s="329" t="s">
        <v>378</v>
      </c>
      <c r="AA135" s="378"/>
      <c r="AB135" s="329" t="s">
        <v>378</v>
      </c>
    </row>
    <row r="136" spans="1:28" ht="30" customHeight="1">
      <c r="A136" s="333" t="s">
        <v>2727</v>
      </c>
      <c r="B136" s="333" t="s">
        <v>2725</v>
      </c>
      <c r="C136" s="333" t="s">
        <v>2726</v>
      </c>
      <c r="D136" s="376" t="s">
        <v>300</v>
      </c>
      <c r="E136" s="377">
        <v>0</v>
      </c>
      <c r="F136" s="333" t="s">
        <v>378</v>
      </c>
      <c r="G136" s="377">
        <v>305</v>
      </c>
      <c r="H136" s="333" t="s">
        <v>3435</v>
      </c>
      <c r="I136" s="377">
        <v>275</v>
      </c>
      <c r="J136" s="333" t="s">
        <v>3428</v>
      </c>
      <c r="K136" s="377">
        <v>170</v>
      </c>
      <c r="L136" s="333" t="s">
        <v>3441</v>
      </c>
      <c r="M136" s="377">
        <v>0</v>
      </c>
      <c r="N136" s="333" t="s">
        <v>378</v>
      </c>
      <c r="O136" s="377">
        <f t="shared" si="2"/>
        <v>150.5231</v>
      </c>
      <c r="P136" s="377">
        <v>0</v>
      </c>
      <c r="Q136" s="377">
        <v>0</v>
      </c>
      <c r="R136" s="377">
        <v>0</v>
      </c>
      <c r="S136" s="377">
        <v>0</v>
      </c>
      <c r="T136" s="377">
        <v>0</v>
      </c>
      <c r="U136" s="377">
        <v>0</v>
      </c>
      <c r="V136" s="377">
        <v>0</v>
      </c>
      <c r="W136" s="333" t="s">
        <v>3442</v>
      </c>
      <c r="X136" s="333" t="s">
        <v>378</v>
      </c>
      <c r="Y136" s="329" t="s">
        <v>378</v>
      </c>
      <c r="Z136" s="329" t="s">
        <v>378</v>
      </c>
      <c r="AA136" s="378"/>
      <c r="AB136" s="329" t="s">
        <v>378</v>
      </c>
    </row>
    <row r="137" spans="1:28" s="340" customFormat="1" ht="30" customHeight="1">
      <c r="A137" s="336" t="s">
        <v>2778</v>
      </c>
      <c r="B137" s="336" t="s">
        <v>446</v>
      </c>
      <c r="C137" s="336" t="s">
        <v>2777</v>
      </c>
      <c r="D137" s="379" t="s">
        <v>255</v>
      </c>
      <c r="E137" s="380">
        <v>360</v>
      </c>
      <c r="F137" s="336" t="s">
        <v>378</v>
      </c>
      <c r="G137" s="380"/>
      <c r="H137" s="336"/>
      <c r="I137" s="380">
        <v>970</v>
      </c>
      <c r="J137" s="336" t="s">
        <v>3443</v>
      </c>
      <c r="K137" s="380">
        <v>400</v>
      </c>
      <c r="L137" s="336" t="s">
        <v>3444</v>
      </c>
      <c r="M137" s="380">
        <v>0</v>
      </c>
      <c r="N137" s="336" t="s">
        <v>378</v>
      </c>
      <c r="O137" s="377">
        <f t="shared" si="2"/>
        <v>318.75480000000005</v>
      </c>
      <c r="P137" s="380">
        <v>0</v>
      </c>
      <c r="Q137" s="380">
        <v>0</v>
      </c>
      <c r="R137" s="380">
        <v>0</v>
      </c>
      <c r="S137" s="380">
        <v>0</v>
      </c>
      <c r="T137" s="380">
        <v>0</v>
      </c>
      <c r="U137" s="380">
        <v>0</v>
      </c>
      <c r="V137" s="380">
        <v>0</v>
      </c>
      <c r="W137" s="336" t="s">
        <v>3445</v>
      </c>
      <c r="X137" s="336" t="s">
        <v>378</v>
      </c>
      <c r="Y137" s="339" t="s">
        <v>378</v>
      </c>
      <c r="Z137" s="339" t="s">
        <v>378</v>
      </c>
      <c r="AA137" s="381"/>
      <c r="AB137" s="339" t="s">
        <v>378</v>
      </c>
    </row>
    <row r="138" spans="1:28" s="340" customFormat="1" ht="30" customHeight="1">
      <c r="A138" s="336" t="s">
        <v>2899</v>
      </c>
      <c r="B138" s="336" t="s">
        <v>446</v>
      </c>
      <c r="C138" s="336" t="s">
        <v>2898</v>
      </c>
      <c r="D138" s="379" t="s">
        <v>255</v>
      </c>
      <c r="E138" s="380">
        <v>1380</v>
      </c>
      <c r="F138" s="336" t="s">
        <v>378</v>
      </c>
      <c r="G138" s="380"/>
      <c r="H138" s="336"/>
      <c r="I138" s="380">
        <v>5290</v>
      </c>
      <c r="J138" s="336" t="s">
        <v>3443</v>
      </c>
      <c r="K138" s="380">
        <v>2400</v>
      </c>
      <c r="L138" s="336" t="s">
        <v>3444</v>
      </c>
      <c r="M138" s="380">
        <v>0</v>
      </c>
      <c r="N138" s="336" t="s">
        <v>378</v>
      </c>
      <c r="O138" s="377">
        <f t="shared" si="2"/>
        <v>1221.8934000000002</v>
      </c>
      <c r="P138" s="380">
        <v>0</v>
      </c>
      <c r="Q138" s="380">
        <v>0</v>
      </c>
      <c r="R138" s="380">
        <v>0</v>
      </c>
      <c r="S138" s="380">
        <v>0</v>
      </c>
      <c r="T138" s="380">
        <v>0</v>
      </c>
      <c r="U138" s="380">
        <v>0</v>
      </c>
      <c r="V138" s="380">
        <v>0</v>
      </c>
      <c r="W138" s="336" t="s">
        <v>3446</v>
      </c>
      <c r="X138" s="336" t="s">
        <v>378</v>
      </c>
      <c r="Y138" s="339" t="s">
        <v>378</v>
      </c>
      <c r="Z138" s="339" t="s">
        <v>378</v>
      </c>
      <c r="AA138" s="381"/>
      <c r="AB138" s="339" t="s">
        <v>378</v>
      </c>
    </row>
    <row r="139" spans="1:28" ht="30" customHeight="1">
      <c r="A139" s="333" t="s">
        <v>2892</v>
      </c>
      <c r="B139" s="333" t="s">
        <v>446</v>
      </c>
      <c r="C139" s="333" t="s">
        <v>2891</v>
      </c>
      <c r="D139" s="376" t="s">
        <v>255</v>
      </c>
      <c r="E139" s="377">
        <v>0</v>
      </c>
      <c r="F139" s="333" t="s">
        <v>378</v>
      </c>
      <c r="G139" s="377">
        <v>11880</v>
      </c>
      <c r="H139" s="333" t="s">
        <v>3447</v>
      </c>
      <c r="I139" s="377">
        <v>11880</v>
      </c>
      <c r="J139" s="333" t="s">
        <v>3448</v>
      </c>
      <c r="K139" s="377">
        <v>11880</v>
      </c>
      <c r="L139" s="333" t="s">
        <v>3449</v>
      </c>
      <c r="M139" s="377">
        <v>0</v>
      </c>
      <c r="N139" s="333" t="s">
        <v>378</v>
      </c>
      <c r="O139" s="377">
        <f t="shared" si="2"/>
        <v>10518.9084</v>
      </c>
      <c r="P139" s="377">
        <v>0</v>
      </c>
      <c r="Q139" s="377">
        <v>0</v>
      </c>
      <c r="R139" s="377">
        <v>0</v>
      </c>
      <c r="S139" s="377">
        <v>0</v>
      </c>
      <c r="T139" s="377">
        <v>0</v>
      </c>
      <c r="U139" s="377">
        <v>0</v>
      </c>
      <c r="V139" s="377">
        <v>0</v>
      </c>
      <c r="W139" s="333" t="s">
        <v>3450</v>
      </c>
      <c r="X139" s="333" t="s">
        <v>378</v>
      </c>
      <c r="Y139" s="329" t="s">
        <v>378</v>
      </c>
      <c r="Z139" s="329" t="s">
        <v>378</v>
      </c>
      <c r="AA139" s="378"/>
      <c r="AB139" s="329" t="s">
        <v>378</v>
      </c>
    </row>
    <row r="140" spans="1:28" ht="30" customHeight="1">
      <c r="A140" s="333" t="s">
        <v>1326</v>
      </c>
      <c r="B140" s="333" t="s">
        <v>446</v>
      </c>
      <c r="C140" s="333" t="s">
        <v>480</v>
      </c>
      <c r="D140" s="376" t="s">
        <v>265</v>
      </c>
      <c r="E140" s="377">
        <v>0</v>
      </c>
      <c r="F140" s="333" t="s">
        <v>378</v>
      </c>
      <c r="G140" s="377">
        <v>1110</v>
      </c>
      <c r="H140" s="333" t="s">
        <v>3447</v>
      </c>
      <c r="I140" s="377">
        <v>1100</v>
      </c>
      <c r="J140" s="333" t="s">
        <v>3448</v>
      </c>
      <c r="K140" s="377">
        <v>1100</v>
      </c>
      <c r="L140" s="333" t="s">
        <v>3449</v>
      </c>
      <c r="M140" s="377">
        <v>0</v>
      </c>
      <c r="N140" s="333" t="s">
        <v>378</v>
      </c>
      <c r="O140" s="377">
        <f t="shared" si="2"/>
        <v>973.97300000000007</v>
      </c>
      <c r="P140" s="377">
        <v>0</v>
      </c>
      <c r="Q140" s="377">
        <v>0</v>
      </c>
      <c r="R140" s="377">
        <v>0</v>
      </c>
      <c r="S140" s="377">
        <v>0</v>
      </c>
      <c r="T140" s="377">
        <v>0</v>
      </c>
      <c r="U140" s="377">
        <v>0</v>
      </c>
      <c r="V140" s="377">
        <v>0</v>
      </c>
      <c r="W140" s="333" t="s">
        <v>3451</v>
      </c>
      <c r="X140" s="333" t="s">
        <v>378</v>
      </c>
      <c r="Y140" s="329" t="s">
        <v>378</v>
      </c>
      <c r="Z140" s="329" t="s">
        <v>378</v>
      </c>
      <c r="AA140" s="378"/>
      <c r="AB140" s="329" t="s">
        <v>378</v>
      </c>
    </row>
    <row r="141" spans="1:28" s="340" customFormat="1" ht="30" customHeight="1">
      <c r="A141" s="336" t="s">
        <v>1397</v>
      </c>
      <c r="B141" s="336" t="s">
        <v>446</v>
      </c>
      <c r="C141" s="336" t="s">
        <v>529</v>
      </c>
      <c r="D141" s="379" t="s">
        <v>265</v>
      </c>
      <c r="E141" s="380">
        <v>1400</v>
      </c>
      <c r="F141" s="336" t="s">
        <v>378</v>
      </c>
      <c r="G141" s="380"/>
      <c r="H141" s="336"/>
      <c r="I141" s="380">
        <v>6560</v>
      </c>
      <c r="J141" s="336" t="s">
        <v>3443</v>
      </c>
      <c r="K141" s="380">
        <v>1400</v>
      </c>
      <c r="L141" s="336" t="s">
        <v>3444</v>
      </c>
      <c r="M141" s="380">
        <v>0</v>
      </c>
      <c r="N141" s="336" t="s">
        <v>378</v>
      </c>
      <c r="O141" s="377">
        <f t="shared" si="2"/>
        <v>1239.6020000000001</v>
      </c>
      <c r="P141" s="380">
        <v>0</v>
      </c>
      <c r="Q141" s="380">
        <v>0</v>
      </c>
      <c r="R141" s="380">
        <v>0</v>
      </c>
      <c r="S141" s="380">
        <v>0</v>
      </c>
      <c r="T141" s="380">
        <v>0</v>
      </c>
      <c r="U141" s="380">
        <v>0</v>
      </c>
      <c r="V141" s="380">
        <v>0</v>
      </c>
      <c r="W141" s="336" t="s">
        <v>3452</v>
      </c>
      <c r="X141" s="336" t="s">
        <v>378</v>
      </c>
      <c r="Y141" s="339" t="s">
        <v>378</v>
      </c>
      <c r="Z141" s="339" t="s">
        <v>378</v>
      </c>
      <c r="AA141" s="381"/>
      <c r="AB141" s="339" t="s">
        <v>378</v>
      </c>
    </row>
    <row r="142" spans="1:28" ht="30" customHeight="1">
      <c r="A142" s="333" t="s">
        <v>1399</v>
      </c>
      <c r="B142" s="333" t="s">
        <v>446</v>
      </c>
      <c r="C142" s="333" t="s">
        <v>530</v>
      </c>
      <c r="D142" s="376" t="s">
        <v>265</v>
      </c>
      <c r="E142" s="377">
        <v>0</v>
      </c>
      <c r="F142" s="333" t="s">
        <v>378</v>
      </c>
      <c r="G142" s="377">
        <v>8690</v>
      </c>
      <c r="H142" s="333" t="s">
        <v>3447</v>
      </c>
      <c r="I142" s="377">
        <v>8690</v>
      </c>
      <c r="J142" s="333" t="s">
        <v>3448</v>
      </c>
      <c r="K142" s="377">
        <v>8690</v>
      </c>
      <c r="L142" s="333" t="s">
        <v>3449</v>
      </c>
      <c r="M142" s="377">
        <v>0</v>
      </c>
      <c r="N142" s="333" t="s">
        <v>378</v>
      </c>
      <c r="O142" s="377">
        <f t="shared" si="2"/>
        <v>7694.3867</v>
      </c>
      <c r="P142" s="377">
        <v>0</v>
      </c>
      <c r="Q142" s="377">
        <v>0</v>
      </c>
      <c r="R142" s="377">
        <v>0</v>
      </c>
      <c r="S142" s="377">
        <v>0</v>
      </c>
      <c r="T142" s="377">
        <v>0</v>
      </c>
      <c r="U142" s="377">
        <v>0</v>
      </c>
      <c r="V142" s="377">
        <v>0</v>
      </c>
      <c r="W142" s="333" t="s">
        <v>3453</v>
      </c>
      <c r="X142" s="333" t="s">
        <v>378</v>
      </c>
      <c r="Y142" s="329" t="s">
        <v>378</v>
      </c>
      <c r="Z142" s="329" t="s">
        <v>378</v>
      </c>
      <c r="AA142" s="378"/>
      <c r="AB142" s="329" t="s">
        <v>378</v>
      </c>
    </row>
    <row r="143" spans="1:28" ht="30" customHeight="1">
      <c r="A143" s="333" t="s">
        <v>1357</v>
      </c>
      <c r="B143" s="333" t="s">
        <v>492</v>
      </c>
      <c r="C143" s="333" t="s">
        <v>492</v>
      </c>
      <c r="D143" s="376" t="s">
        <v>265</v>
      </c>
      <c r="E143" s="377">
        <v>0</v>
      </c>
      <c r="F143" s="333" t="s">
        <v>378</v>
      </c>
      <c r="G143" s="377">
        <v>0</v>
      </c>
      <c r="H143" s="333" t="s">
        <v>378</v>
      </c>
      <c r="I143" s="377">
        <v>7000</v>
      </c>
      <c r="J143" s="333" t="s">
        <v>3292</v>
      </c>
      <c r="K143" s="377">
        <v>5000</v>
      </c>
      <c r="L143" s="333" t="s">
        <v>3293</v>
      </c>
      <c r="M143" s="377">
        <v>3000</v>
      </c>
      <c r="N143" s="333" t="s">
        <v>3294</v>
      </c>
      <c r="O143" s="377">
        <f t="shared" si="2"/>
        <v>2656.29</v>
      </c>
      <c r="P143" s="377">
        <v>0</v>
      </c>
      <c r="Q143" s="377">
        <v>0</v>
      </c>
      <c r="R143" s="377">
        <v>0</v>
      </c>
      <c r="S143" s="377">
        <v>0</v>
      </c>
      <c r="T143" s="377">
        <v>0</v>
      </c>
      <c r="U143" s="377">
        <v>0</v>
      </c>
      <c r="V143" s="377">
        <v>0</v>
      </c>
      <c r="W143" s="333" t="s">
        <v>3454</v>
      </c>
      <c r="X143" s="333" t="s">
        <v>378</v>
      </c>
      <c r="Y143" s="329" t="s">
        <v>378</v>
      </c>
      <c r="Z143" s="329" t="s">
        <v>378</v>
      </c>
      <c r="AA143" s="378"/>
      <c r="AB143" s="329" t="s">
        <v>378</v>
      </c>
    </row>
    <row r="144" spans="1:28" ht="30" customHeight="1">
      <c r="A144" s="333" t="s">
        <v>1355</v>
      </c>
      <c r="B144" s="333" t="s">
        <v>491</v>
      </c>
      <c r="C144" s="333" t="s">
        <v>491</v>
      </c>
      <c r="D144" s="376" t="s">
        <v>265</v>
      </c>
      <c r="E144" s="377">
        <v>0</v>
      </c>
      <c r="F144" s="333" t="s">
        <v>378</v>
      </c>
      <c r="G144" s="377">
        <v>0</v>
      </c>
      <c r="H144" s="333" t="s">
        <v>378</v>
      </c>
      <c r="I144" s="377">
        <v>5000</v>
      </c>
      <c r="J144" s="333" t="s">
        <v>3292</v>
      </c>
      <c r="K144" s="377">
        <v>4000</v>
      </c>
      <c r="L144" s="333" t="s">
        <v>3293</v>
      </c>
      <c r="M144" s="377">
        <v>2000</v>
      </c>
      <c r="N144" s="333" t="s">
        <v>3294</v>
      </c>
      <c r="O144" s="377">
        <f t="shared" si="2"/>
        <v>1770.8600000000001</v>
      </c>
      <c r="P144" s="377">
        <v>0</v>
      </c>
      <c r="Q144" s="377">
        <v>0</v>
      </c>
      <c r="R144" s="377">
        <v>0</v>
      </c>
      <c r="S144" s="377">
        <v>0</v>
      </c>
      <c r="T144" s="377">
        <v>0</v>
      </c>
      <c r="U144" s="377">
        <v>0</v>
      </c>
      <c r="V144" s="377">
        <v>0</v>
      </c>
      <c r="W144" s="333" t="s">
        <v>3455</v>
      </c>
      <c r="X144" s="333" t="s">
        <v>378</v>
      </c>
      <c r="Y144" s="329" t="s">
        <v>378</v>
      </c>
      <c r="Z144" s="329" t="s">
        <v>378</v>
      </c>
      <c r="AA144" s="378"/>
      <c r="AB144" s="329" t="s">
        <v>378</v>
      </c>
    </row>
    <row r="145" spans="1:30" ht="30" customHeight="1">
      <c r="A145" s="333"/>
      <c r="B145" s="333" t="s">
        <v>1486</v>
      </c>
      <c r="C145" s="333"/>
      <c r="D145" s="376" t="s">
        <v>1435</v>
      </c>
      <c r="E145" s="377"/>
      <c r="F145" s="333"/>
      <c r="G145" s="377"/>
      <c r="H145" s="333"/>
      <c r="I145" s="377">
        <v>258300000</v>
      </c>
      <c r="J145" s="333" t="s">
        <v>3292</v>
      </c>
      <c r="K145" s="377">
        <v>206644000</v>
      </c>
      <c r="L145" s="333" t="s">
        <v>3293</v>
      </c>
      <c r="M145" s="377">
        <v>202198403</v>
      </c>
      <c r="N145" s="333" t="s">
        <v>3294</v>
      </c>
      <c r="O145" s="377">
        <f t="shared" si="2"/>
        <v>179032531.96829</v>
      </c>
      <c r="P145" s="377"/>
      <c r="Q145" s="377"/>
      <c r="R145" s="377"/>
      <c r="S145" s="377"/>
      <c r="T145" s="377"/>
      <c r="U145" s="377"/>
      <c r="V145" s="377"/>
      <c r="W145" s="333"/>
      <c r="X145" s="333"/>
      <c r="Y145" s="329"/>
      <c r="Z145" s="329"/>
      <c r="AA145" s="378"/>
      <c r="AB145" s="329"/>
    </row>
    <row r="146" spans="1:30" ht="30" customHeight="1">
      <c r="A146" s="333" t="s">
        <v>2353</v>
      </c>
      <c r="B146" s="333" t="s">
        <v>2351</v>
      </c>
      <c r="C146" s="333" t="s">
        <v>2352</v>
      </c>
      <c r="D146" s="376" t="s">
        <v>287</v>
      </c>
      <c r="E146" s="377">
        <v>0</v>
      </c>
      <c r="F146" s="333" t="s">
        <v>378</v>
      </c>
      <c r="G146" s="377">
        <v>0</v>
      </c>
      <c r="H146" s="333" t="s">
        <v>378</v>
      </c>
      <c r="I146" s="377">
        <v>0</v>
      </c>
      <c r="J146" s="333" t="s">
        <v>378</v>
      </c>
      <c r="K146" s="377">
        <v>0</v>
      </c>
      <c r="L146" s="333" t="s">
        <v>378</v>
      </c>
      <c r="M146" s="377">
        <v>0</v>
      </c>
      <c r="N146" s="333" t="s">
        <v>378</v>
      </c>
      <c r="O146" s="377">
        <v>0</v>
      </c>
      <c r="P146" s="377">
        <v>0</v>
      </c>
      <c r="Q146" s="377">
        <v>239</v>
      </c>
      <c r="R146" s="377">
        <v>0</v>
      </c>
      <c r="S146" s="377">
        <v>0</v>
      </c>
      <c r="T146" s="377">
        <v>0</v>
      </c>
      <c r="U146" s="377">
        <v>0</v>
      </c>
      <c r="V146" s="377">
        <f>SMALL(Q146:U146,COUNTIF(Q146:U146,0)+1)*$AD$3</f>
        <v>211.61777000000001</v>
      </c>
      <c r="W146" s="333" t="s">
        <v>3456</v>
      </c>
      <c r="X146" s="333" t="s">
        <v>3457</v>
      </c>
      <c r="Y146" s="329" t="s">
        <v>2221</v>
      </c>
      <c r="Z146" s="329" t="s">
        <v>378</v>
      </c>
      <c r="AA146" s="378"/>
      <c r="AB146" s="329" t="s">
        <v>378</v>
      </c>
    </row>
    <row r="147" spans="1:30" ht="30" customHeight="1">
      <c r="A147" s="333" t="s">
        <v>2357</v>
      </c>
      <c r="B147" s="333" t="s">
        <v>2356</v>
      </c>
      <c r="C147" s="333" t="s">
        <v>2279</v>
      </c>
      <c r="D147" s="376" t="s">
        <v>1852</v>
      </c>
      <c r="E147" s="377">
        <v>0</v>
      </c>
      <c r="F147" s="333" t="s">
        <v>378</v>
      </c>
      <c r="G147" s="377">
        <v>0</v>
      </c>
      <c r="H147" s="333" t="s">
        <v>378</v>
      </c>
      <c r="I147" s="377">
        <v>0</v>
      </c>
      <c r="J147" s="333" t="s">
        <v>378</v>
      </c>
      <c r="K147" s="377">
        <v>0</v>
      </c>
      <c r="L147" s="333" t="s">
        <v>378</v>
      </c>
      <c r="M147" s="377">
        <v>0</v>
      </c>
      <c r="N147" s="333" t="s">
        <v>378</v>
      </c>
      <c r="O147" s="377">
        <v>0</v>
      </c>
      <c r="P147" s="377">
        <f>AD147*$AD$3</f>
        <v>174913.15478000001</v>
      </c>
      <c r="Q147" s="377">
        <v>0</v>
      </c>
      <c r="R147" s="377">
        <v>0</v>
      </c>
      <c r="S147" s="377">
        <v>0</v>
      </c>
      <c r="T147" s="377">
        <v>0</v>
      </c>
      <c r="U147" s="377">
        <v>0</v>
      </c>
      <c r="V147" s="377">
        <v>0</v>
      </c>
      <c r="W147" s="333" t="s">
        <v>3458</v>
      </c>
      <c r="X147" s="333" t="s">
        <v>378</v>
      </c>
      <c r="Y147" s="329" t="s">
        <v>3459</v>
      </c>
      <c r="Z147" s="329" t="s">
        <v>378</v>
      </c>
      <c r="AA147" s="378"/>
      <c r="AB147" s="329" t="s">
        <v>378</v>
      </c>
      <c r="AD147" s="377">
        <v>197546</v>
      </c>
    </row>
    <row r="148" spans="1:30" ht="30" customHeight="1">
      <c r="A148" s="333" t="s">
        <v>2277</v>
      </c>
      <c r="B148" s="333" t="s">
        <v>1889</v>
      </c>
      <c r="C148" s="333" t="s">
        <v>378</v>
      </c>
      <c r="D148" s="376" t="s">
        <v>1852</v>
      </c>
      <c r="E148" s="377">
        <v>0</v>
      </c>
      <c r="F148" s="333" t="s">
        <v>378</v>
      </c>
      <c r="G148" s="377">
        <v>0</v>
      </c>
      <c r="H148" s="333" t="s">
        <v>378</v>
      </c>
      <c r="I148" s="377">
        <v>0</v>
      </c>
      <c r="J148" s="333" t="s">
        <v>378</v>
      </c>
      <c r="K148" s="377">
        <v>0</v>
      </c>
      <c r="L148" s="333" t="s">
        <v>378</v>
      </c>
      <c r="M148" s="377">
        <v>0</v>
      </c>
      <c r="N148" s="333" t="s">
        <v>378</v>
      </c>
      <c r="O148" s="377">
        <v>0</v>
      </c>
      <c r="P148" s="377">
        <f t="shared" ref="P148:P156" si="3">AD148*$AD$3</f>
        <v>139072.71924000001</v>
      </c>
      <c r="Q148" s="377">
        <v>0</v>
      </c>
      <c r="R148" s="377">
        <v>0</v>
      </c>
      <c r="S148" s="377">
        <v>0</v>
      </c>
      <c r="T148" s="377">
        <v>0</v>
      </c>
      <c r="U148" s="377">
        <v>0</v>
      </c>
      <c r="V148" s="377">
        <v>0</v>
      </c>
      <c r="W148" s="333" t="s">
        <v>3460</v>
      </c>
      <c r="X148" s="333" t="s">
        <v>378</v>
      </c>
      <c r="Y148" s="329" t="s">
        <v>3459</v>
      </c>
      <c r="Z148" s="329" t="s">
        <v>378</v>
      </c>
      <c r="AA148" s="378"/>
      <c r="AB148" s="329" t="s">
        <v>378</v>
      </c>
      <c r="AD148" s="377">
        <v>157068</v>
      </c>
    </row>
    <row r="149" spans="1:30" ht="30" customHeight="1">
      <c r="A149" s="333" t="s">
        <v>2359</v>
      </c>
      <c r="B149" s="333" t="s">
        <v>1891</v>
      </c>
      <c r="C149" s="333" t="s">
        <v>2279</v>
      </c>
      <c r="D149" s="376" t="s">
        <v>1852</v>
      </c>
      <c r="E149" s="377">
        <v>0</v>
      </c>
      <c r="F149" s="333" t="s">
        <v>378</v>
      </c>
      <c r="G149" s="377">
        <v>0</v>
      </c>
      <c r="H149" s="333" t="s">
        <v>378</v>
      </c>
      <c r="I149" s="377">
        <v>0</v>
      </c>
      <c r="J149" s="333" t="s">
        <v>378</v>
      </c>
      <c r="K149" s="377">
        <v>0</v>
      </c>
      <c r="L149" s="333" t="s">
        <v>378</v>
      </c>
      <c r="M149" s="377">
        <v>0</v>
      </c>
      <c r="N149" s="333" t="s">
        <v>378</v>
      </c>
      <c r="O149" s="377">
        <v>0</v>
      </c>
      <c r="P149" s="377">
        <f t="shared" si="3"/>
        <v>174828.15350000001</v>
      </c>
      <c r="Q149" s="377">
        <v>0</v>
      </c>
      <c r="R149" s="377">
        <v>0</v>
      </c>
      <c r="S149" s="377">
        <v>0</v>
      </c>
      <c r="T149" s="377">
        <v>0</v>
      </c>
      <c r="U149" s="377">
        <v>0</v>
      </c>
      <c r="V149" s="377">
        <v>0</v>
      </c>
      <c r="W149" s="333" t="s">
        <v>3461</v>
      </c>
      <c r="X149" s="333" t="s">
        <v>378</v>
      </c>
      <c r="Y149" s="329" t="s">
        <v>3459</v>
      </c>
      <c r="Z149" s="329" t="s">
        <v>378</v>
      </c>
      <c r="AA149" s="378"/>
      <c r="AB149" s="329" t="s">
        <v>378</v>
      </c>
      <c r="AD149" s="377">
        <v>197450</v>
      </c>
    </row>
    <row r="150" spans="1:30" ht="30" customHeight="1">
      <c r="A150" s="333" t="s">
        <v>2362</v>
      </c>
      <c r="B150" s="333" t="s">
        <v>2361</v>
      </c>
      <c r="C150" s="333" t="s">
        <v>2279</v>
      </c>
      <c r="D150" s="376" t="s">
        <v>1852</v>
      </c>
      <c r="E150" s="377">
        <v>0</v>
      </c>
      <c r="F150" s="333" t="s">
        <v>378</v>
      </c>
      <c r="G150" s="377">
        <v>0</v>
      </c>
      <c r="H150" s="333" t="s">
        <v>378</v>
      </c>
      <c r="I150" s="377">
        <v>0</v>
      </c>
      <c r="J150" s="333" t="s">
        <v>378</v>
      </c>
      <c r="K150" s="377">
        <v>0</v>
      </c>
      <c r="L150" s="333" t="s">
        <v>378</v>
      </c>
      <c r="M150" s="377">
        <v>0</v>
      </c>
      <c r="N150" s="333" t="s">
        <v>378</v>
      </c>
      <c r="O150" s="377">
        <v>0</v>
      </c>
      <c r="P150" s="377">
        <f t="shared" si="3"/>
        <v>164210.96237000002</v>
      </c>
      <c r="Q150" s="377">
        <v>0</v>
      </c>
      <c r="R150" s="377">
        <v>0</v>
      </c>
      <c r="S150" s="377">
        <v>0</v>
      </c>
      <c r="T150" s="377">
        <v>0</v>
      </c>
      <c r="U150" s="377">
        <v>0</v>
      </c>
      <c r="V150" s="377">
        <v>0</v>
      </c>
      <c r="W150" s="333" t="s">
        <v>3462</v>
      </c>
      <c r="X150" s="333" t="s">
        <v>378</v>
      </c>
      <c r="Y150" s="329" t="s">
        <v>3459</v>
      </c>
      <c r="Z150" s="329" t="s">
        <v>378</v>
      </c>
      <c r="AA150" s="378"/>
      <c r="AB150" s="329" t="s">
        <v>378</v>
      </c>
      <c r="AD150" s="377">
        <v>185459</v>
      </c>
    </row>
    <row r="151" spans="1:30" ht="30" customHeight="1">
      <c r="A151" s="333" t="s">
        <v>2949</v>
      </c>
      <c r="B151" s="333" t="s">
        <v>2948</v>
      </c>
      <c r="C151" s="333" t="s">
        <v>2279</v>
      </c>
      <c r="D151" s="376" t="s">
        <v>1852</v>
      </c>
      <c r="E151" s="377">
        <v>0</v>
      </c>
      <c r="F151" s="333" t="s">
        <v>378</v>
      </c>
      <c r="G151" s="377">
        <v>0</v>
      </c>
      <c r="H151" s="333" t="s">
        <v>378</v>
      </c>
      <c r="I151" s="377">
        <v>0</v>
      </c>
      <c r="J151" s="333" t="s">
        <v>378</v>
      </c>
      <c r="K151" s="377">
        <v>0</v>
      </c>
      <c r="L151" s="333" t="s">
        <v>378</v>
      </c>
      <c r="M151" s="377">
        <v>0</v>
      </c>
      <c r="N151" s="333" t="s">
        <v>378</v>
      </c>
      <c r="O151" s="377">
        <v>0</v>
      </c>
      <c r="P151" s="377">
        <f t="shared" si="3"/>
        <v>215420.69185</v>
      </c>
      <c r="Q151" s="377">
        <v>0</v>
      </c>
      <c r="R151" s="377">
        <v>0</v>
      </c>
      <c r="S151" s="377">
        <v>0</v>
      </c>
      <c r="T151" s="377">
        <v>0</v>
      </c>
      <c r="U151" s="377">
        <v>0</v>
      </c>
      <c r="V151" s="377">
        <v>0</v>
      </c>
      <c r="W151" s="333" t="s">
        <v>3463</v>
      </c>
      <c r="X151" s="333" t="s">
        <v>378</v>
      </c>
      <c r="Y151" s="329" t="s">
        <v>3459</v>
      </c>
      <c r="Z151" s="329" t="s">
        <v>378</v>
      </c>
      <c r="AA151" s="378"/>
      <c r="AB151" s="329" t="s">
        <v>378</v>
      </c>
      <c r="AD151" s="377">
        <v>243295</v>
      </c>
    </row>
    <row r="152" spans="1:30" ht="30" customHeight="1">
      <c r="A152" s="333" t="s">
        <v>2939</v>
      </c>
      <c r="B152" s="333" t="s">
        <v>2938</v>
      </c>
      <c r="C152" s="333" t="s">
        <v>2279</v>
      </c>
      <c r="D152" s="376" t="s">
        <v>1852</v>
      </c>
      <c r="E152" s="377">
        <v>0</v>
      </c>
      <c r="F152" s="333" t="s">
        <v>378</v>
      </c>
      <c r="G152" s="377">
        <v>0</v>
      </c>
      <c r="H152" s="333" t="s">
        <v>378</v>
      </c>
      <c r="I152" s="377">
        <v>0</v>
      </c>
      <c r="J152" s="333" t="s">
        <v>378</v>
      </c>
      <c r="K152" s="377">
        <v>0</v>
      </c>
      <c r="L152" s="333" t="s">
        <v>378</v>
      </c>
      <c r="M152" s="377">
        <v>0</v>
      </c>
      <c r="N152" s="333" t="s">
        <v>378</v>
      </c>
      <c r="O152" s="377">
        <v>0</v>
      </c>
      <c r="P152" s="377">
        <f t="shared" si="3"/>
        <v>184990.23361000002</v>
      </c>
      <c r="Q152" s="377">
        <v>0</v>
      </c>
      <c r="R152" s="377">
        <v>0</v>
      </c>
      <c r="S152" s="377">
        <v>0</v>
      </c>
      <c r="T152" s="377">
        <v>0</v>
      </c>
      <c r="U152" s="377">
        <v>0</v>
      </c>
      <c r="V152" s="377">
        <v>0</v>
      </c>
      <c r="W152" s="333" t="s">
        <v>3464</v>
      </c>
      <c r="X152" s="333" t="s">
        <v>378</v>
      </c>
      <c r="Y152" s="329" t="s">
        <v>3459</v>
      </c>
      <c r="Z152" s="329" t="s">
        <v>378</v>
      </c>
      <c r="AA152" s="378"/>
      <c r="AB152" s="329" t="s">
        <v>378</v>
      </c>
      <c r="AD152" s="377">
        <v>208927</v>
      </c>
    </row>
    <row r="153" spans="1:30" ht="30" customHeight="1">
      <c r="A153" s="333" t="s">
        <v>2961</v>
      </c>
      <c r="B153" s="333" t="s">
        <v>2960</v>
      </c>
      <c r="C153" s="333" t="s">
        <v>2279</v>
      </c>
      <c r="D153" s="376" t="s">
        <v>1852</v>
      </c>
      <c r="E153" s="377">
        <v>0</v>
      </c>
      <c r="F153" s="333" t="s">
        <v>378</v>
      </c>
      <c r="G153" s="377">
        <v>0</v>
      </c>
      <c r="H153" s="333" t="s">
        <v>378</v>
      </c>
      <c r="I153" s="377">
        <v>0</v>
      </c>
      <c r="J153" s="333" t="s">
        <v>378</v>
      </c>
      <c r="K153" s="377">
        <v>0</v>
      </c>
      <c r="L153" s="333" t="s">
        <v>378</v>
      </c>
      <c r="M153" s="377">
        <v>0</v>
      </c>
      <c r="N153" s="333" t="s">
        <v>378</v>
      </c>
      <c r="O153" s="377">
        <v>0</v>
      </c>
      <c r="P153" s="377">
        <f t="shared" si="3"/>
        <v>134292.28267000002</v>
      </c>
      <c r="Q153" s="377">
        <v>0</v>
      </c>
      <c r="R153" s="377">
        <v>0</v>
      </c>
      <c r="S153" s="377">
        <v>0</v>
      </c>
      <c r="T153" s="377">
        <v>0</v>
      </c>
      <c r="U153" s="377">
        <v>0</v>
      </c>
      <c r="V153" s="377">
        <v>0</v>
      </c>
      <c r="W153" s="333" t="s">
        <v>3465</v>
      </c>
      <c r="X153" s="333" t="s">
        <v>378</v>
      </c>
      <c r="Y153" s="329" t="s">
        <v>3459</v>
      </c>
      <c r="Z153" s="329" t="s">
        <v>378</v>
      </c>
      <c r="AA153" s="378"/>
      <c r="AB153" s="329" t="s">
        <v>378</v>
      </c>
      <c r="AD153" s="377">
        <v>151669</v>
      </c>
    </row>
    <row r="154" spans="1:30" ht="30" customHeight="1">
      <c r="A154" s="333" t="s">
        <v>2222</v>
      </c>
      <c r="B154" s="333" t="s">
        <v>1851</v>
      </c>
      <c r="C154" s="333" t="s">
        <v>2221</v>
      </c>
      <c r="D154" s="376" t="s">
        <v>1852</v>
      </c>
      <c r="E154" s="377">
        <v>0</v>
      </c>
      <c r="F154" s="333" t="s">
        <v>378</v>
      </c>
      <c r="G154" s="377">
        <v>0</v>
      </c>
      <c r="H154" s="333" t="s">
        <v>378</v>
      </c>
      <c r="I154" s="377">
        <v>0</v>
      </c>
      <c r="J154" s="333" t="s">
        <v>378</v>
      </c>
      <c r="K154" s="377">
        <v>0</v>
      </c>
      <c r="L154" s="333" t="s">
        <v>378</v>
      </c>
      <c r="M154" s="377">
        <v>0</v>
      </c>
      <c r="N154" s="333" t="s">
        <v>378</v>
      </c>
      <c r="O154" s="377">
        <v>0</v>
      </c>
      <c r="P154" s="377">
        <f t="shared" si="3"/>
        <v>234998.43458</v>
      </c>
      <c r="Q154" s="377">
        <v>0</v>
      </c>
      <c r="R154" s="377">
        <v>0</v>
      </c>
      <c r="S154" s="377">
        <v>0</v>
      </c>
      <c r="T154" s="377">
        <v>0</v>
      </c>
      <c r="U154" s="377">
        <v>0</v>
      </c>
      <c r="V154" s="377">
        <v>0</v>
      </c>
      <c r="W154" s="333" t="s">
        <v>3466</v>
      </c>
      <c r="X154" s="333" t="s">
        <v>378</v>
      </c>
      <c r="Y154" s="329" t="s">
        <v>3459</v>
      </c>
      <c r="Z154" s="329" t="s">
        <v>378</v>
      </c>
      <c r="AA154" s="378"/>
      <c r="AB154" s="329" t="s">
        <v>378</v>
      </c>
      <c r="AD154" s="377">
        <v>265406</v>
      </c>
    </row>
    <row r="155" spans="1:30" ht="30" customHeight="1">
      <c r="A155" s="333" t="s">
        <v>2280</v>
      </c>
      <c r="B155" s="333" t="s">
        <v>1992</v>
      </c>
      <c r="C155" s="333" t="s">
        <v>2279</v>
      </c>
      <c r="D155" s="376" t="s">
        <v>1852</v>
      </c>
      <c r="E155" s="377">
        <v>0</v>
      </c>
      <c r="F155" s="333" t="s">
        <v>378</v>
      </c>
      <c r="G155" s="377">
        <v>0</v>
      </c>
      <c r="H155" s="333" t="s">
        <v>378</v>
      </c>
      <c r="I155" s="377">
        <v>0</v>
      </c>
      <c r="J155" s="333" t="s">
        <v>378</v>
      </c>
      <c r="K155" s="377">
        <v>0</v>
      </c>
      <c r="L155" s="333" t="s">
        <v>378</v>
      </c>
      <c r="M155" s="377">
        <v>0</v>
      </c>
      <c r="N155" s="333" t="s">
        <v>378</v>
      </c>
      <c r="O155" s="377">
        <v>0</v>
      </c>
      <c r="P155" s="377">
        <f t="shared" si="3"/>
        <v>255395.20006</v>
      </c>
      <c r="Q155" s="377">
        <v>0</v>
      </c>
      <c r="R155" s="377">
        <v>0</v>
      </c>
      <c r="S155" s="377">
        <v>0</v>
      </c>
      <c r="T155" s="377">
        <v>0</v>
      </c>
      <c r="U155" s="377">
        <v>0</v>
      </c>
      <c r="V155" s="377">
        <v>0</v>
      </c>
      <c r="W155" s="333" t="s">
        <v>3467</v>
      </c>
      <c r="X155" s="333" t="s">
        <v>378</v>
      </c>
      <c r="Y155" s="329" t="s">
        <v>3459</v>
      </c>
      <c r="Z155" s="329" t="s">
        <v>378</v>
      </c>
      <c r="AA155" s="378"/>
      <c r="AB155" s="329" t="s">
        <v>378</v>
      </c>
      <c r="AD155" s="377">
        <v>288442</v>
      </c>
    </row>
    <row r="156" spans="1:30" ht="30" customHeight="1">
      <c r="A156" s="333" t="s">
        <v>2393</v>
      </c>
      <c r="B156" s="333" t="s">
        <v>2392</v>
      </c>
      <c r="C156" s="333" t="s">
        <v>2279</v>
      </c>
      <c r="D156" s="376" t="s">
        <v>1852</v>
      </c>
      <c r="E156" s="377">
        <v>0</v>
      </c>
      <c r="F156" s="333" t="s">
        <v>378</v>
      </c>
      <c r="G156" s="377">
        <v>0</v>
      </c>
      <c r="H156" s="333" t="s">
        <v>378</v>
      </c>
      <c r="I156" s="377">
        <v>0</v>
      </c>
      <c r="J156" s="333" t="s">
        <v>378</v>
      </c>
      <c r="K156" s="377">
        <v>0</v>
      </c>
      <c r="L156" s="333" t="s">
        <v>378</v>
      </c>
      <c r="M156" s="377">
        <v>0</v>
      </c>
      <c r="N156" s="333" t="s">
        <v>378</v>
      </c>
      <c r="O156" s="377">
        <v>0</v>
      </c>
      <c r="P156" s="377">
        <f t="shared" si="3"/>
        <v>351745.03637000005</v>
      </c>
      <c r="Q156" s="377">
        <v>0</v>
      </c>
      <c r="R156" s="377">
        <v>0</v>
      </c>
      <c r="S156" s="377">
        <v>0</v>
      </c>
      <c r="T156" s="377">
        <v>0</v>
      </c>
      <c r="U156" s="377">
        <v>0</v>
      </c>
      <c r="V156" s="377">
        <v>0</v>
      </c>
      <c r="W156" s="333" t="s">
        <v>3468</v>
      </c>
      <c r="X156" s="333" t="s">
        <v>378</v>
      </c>
      <c r="Y156" s="329" t="s">
        <v>3459</v>
      </c>
      <c r="Z156" s="329" t="s">
        <v>378</v>
      </c>
      <c r="AA156" s="378"/>
      <c r="AB156" s="329" t="s">
        <v>378</v>
      </c>
      <c r="AD156" s="377">
        <v>397259</v>
      </c>
    </row>
    <row r="227" spans="2:2">
      <c r="B227" s="363"/>
    </row>
  </sheetData>
  <mergeCells count="15">
    <mergeCell ref="Y3:Y4"/>
    <mergeCell ref="Z3:Z4"/>
    <mergeCell ref="AA3:AA4"/>
    <mergeCell ref="AB3:AB4"/>
    <mergeCell ref="A1:X1"/>
    <mergeCell ref="A2:X2"/>
    <mergeCell ref="A3:A4"/>
    <mergeCell ref="B3:B4"/>
    <mergeCell ref="C3:C4"/>
    <mergeCell ref="D3:D4"/>
    <mergeCell ref="E3:O3"/>
    <mergeCell ref="P3:P4"/>
    <mergeCell ref="Q3:V3"/>
    <mergeCell ref="W3:W4"/>
    <mergeCell ref="X3:X4"/>
  </mergeCells>
  <phoneticPr fontId="1" type="noConversion"/>
  <pageMargins left="0.78740157480314954" right="0" top="0.39370078740157477" bottom="0.39370078740157477" header="0" footer="0"/>
  <pageSetup paperSize="9" scale="44" fitToHeight="0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B20E3-8B15-49C3-86B6-B606B879F1A7}">
  <sheetPr>
    <pageSetUpPr fitToPage="1"/>
  </sheetPr>
  <dimension ref="A1:AE313"/>
  <sheetViews>
    <sheetView showZeros="0" view="pageBreakPreview" topLeftCell="B1" zoomScaleNormal="100" zoomScaleSheetLayoutView="100" workbookViewId="0">
      <selection sqref="A1:P1"/>
    </sheetView>
  </sheetViews>
  <sheetFormatPr defaultRowHeight="16.5"/>
  <cols>
    <col min="1" max="1" width="11.625" style="330" hidden="1" customWidth="1"/>
    <col min="2" max="3" width="30.625" style="330" customWidth="1"/>
    <col min="4" max="4" width="4.625" style="330" customWidth="1"/>
    <col min="5" max="5" width="12.625" style="330" customWidth="1"/>
    <col min="6" max="7" width="13.625" style="330" customWidth="1"/>
    <col min="8" max="10" width="10.625" style="330" customWidth="1"/>
    <col min="11" max="11" width="13.625" style="330" customWidth="1"/>
    <col min="12" max="12" width="30.625" style="330" customWidth="1"/>
    <col min="13" max="14" width="13.625" style="330" customWidth="1"/>
    <col min="15" max="15" width="8.625" style="330" customWidth="1"/>
    <col min="16" max="16" width="12.625" style="330" customWidth="1"/>
    <col min="17" max="18" width="11.625" style="330" hidden="1" customWidth="1"/>
    <col min="19" max="19" width="13.625" style="330" hidden="1" customWidth="1"/>
    <col min="20" max="20" width="24.625" style="330" hidden="1" customWidth="1"/>
    <col min="21" max="32" width="0" style="330" hidden="1" customWidth="1"/>
    <col min="33" max="16384" width="9" style="330"/>
  </cols>
  <sheetData>
    <row r="1" spans="1:31" ht="30" customHeight="1">
      <c r="A1" s="737" t="s">
        <v>3469</v>
      </c>
      <c r="B1" s="737"/>
      <c r="C1" s="737"/>
      <c r="D1" s="737"/>
      <c r="E1" s="737"/>
      <c r="F1" s="737"/>
      <c r="G1" s="737"/>
      <c r="H1" s="737"/>
      <c r="I1" s="737"/>
      <c r="J1" s="737"/>
      <c r="K1" s="737"/>
      <c r="L1" s="737"/>
      <c r="M1" s="737"/>
      <c r="N1" s="737"/>
      <c r="O1" s="737"/>
      <c r="P1" s="737"/>
    </row>
    <row r="2" spans="1:31" ht="30" customHeight="1">
      <c r="A2" s="733" t="s">
        <v>1058</v>
      </c>
      <c r="B2" s="733"/>
      <c r="C2" s="733"/>
      <c r="D2" s="733"/>
      <c r="E2" s="733"/>
      <c r="F2" s="733"/>
      <c r="G2" s="733"/>
      <c r="H2" s="733"/>
      <c r="I2" s="733"/>
      <c r="J2" s="733"/>
      <c r="K2" s="733"/>
      <c r="L2" s="733"/>
      <c r="M2" s="733"/>
      <c r="N2" s="733"/>
      <c r="O2" s="733"/>
      <c r="P2" s="733"/>
    </row>
    <row r="3" spans="1:31" ht="30" customHeight="1">
      <c r="A3" s="331" t="s">
        <v>1662</v>
      </c>
      <c r="B3" s="331" t="s">
        <v>1059</v>
      </c>
      <c r="C3" s="331" t="s">
        <v>1060</v>
      </c>
      <c r="D3" s="331" t="s">
        <v>246</v>
      </c>
      <c r="E3" s="331" t="s">
        <v>3470</v>
      </c>
      <c r="F3" s="331" t="s">
        <v>251</v>
      </c>
      <c r="G3" s="331" t="s">
        <v>1670</v>
      </c>
      <c r="H3" s="331" t="s">
        <v>3471</v>
      </c>
      <c r="I3" s="331" t="s">
        <v>3472</v>
      </c>
      <c r="J3" s="331" t="s">
        <v>3473</v>
      </c>
      <c r="K3" s="331" t="s">
        <v>3474</v>
      </c>
      <c r="L3" s="331" t="s">
        <v>3475</v>
      </c>
      <c r="M3" s="331" t="s">
        <v>3476</v>
      </c>
      <c r="N3" s="331" t="s">
        <v>111</v>
      </c>
      <c r="O3" s="331" t="s">
        <v>1667</v>
      </c>
      <c r="P3" s="331" t="s">
        <v>3477</v>
      </c>
      <c r="Q3" s="329" t="s">
        <v>378</v>
      </c>
      <c r="R3" s="329" t="s">
        <v>378</v>
      </c>
      <c r="S3" s="329" t="s">
        <v>378</v>
      </c>
      <c r="T3" s="329" t="s">
        <v>3478</v>
      </c>
      <c r="V3" s="329" t="s">
        <v>1851</v>
      </c>
      <c r="W3" s="329" t="s">
        <v>2221</v>
      </c>
      <c r="X3" s="329" t="s">
        <v>1889</v>
      </c>
      <c r="Y3" s="329" t="s">
        <v>378</v>
      </c>
      <c r="Z3" s="329" t="s">
        <v>1992</v>
      </c>
      <c r="AA3" s="329" t="s">
        <v>2279</v>
      </c>
      <c r="AB3" s="329" t="s">
        <v>2356</v>
      </c>
      <c r="AC3" s="329" t="s">
        <v>1891</v>
      </c>
      <c r="AD3" s="329" t="s">
        <v>2361</v>
      </c>
      <c r="AE3" s="329" t="s">
        <v>2392</v>
      </c>
    </row>
    <row r="4" spans="1:31" ht="30" customHeight="1">
      <c r="A4" s="734" t="s">
        <v>3479</v>
      </c>
      <c r="B4" s="734"/>
      <c r="C4" s="734"/>
      <c r="D4" s="734"/>
      <c r="E4" s="734"/>
      <c r="F4" s="734"/>
      <c r="G4" s="734"/>
      <c r="H4" s="734"/>
      <c r="I4" s="734"/>
      <c r="J4" s="734"/>
      <c r="K4" s="734"/>
      <c r="L4" s="734"/>
      <c r="M4" s="734"/>
      <c r="N4" s="734"/>
      <c r="O4" s="734"/>
      <c r="P4" s="734"/>
    </row>
    <row r="5" spans="1:31" ht="30" customHeight="1">
      <c r="A5" s="382" t="s">
        <v>2207</v>
      </c>
      <c r="B5" s="382" t="s">
        <v>344</v>
      </c>
      <c r="C5" s="382" t="s">
        <v>2206</v>
      </c>
      <c r="D5" s="382" t="s">
        <v>300</v>
      </c>
      <c r="E5" s="382" t="s">
        <v>1674</v>
      </c>
      <c r="F5" s="383">
        <v>1</v>
      </c>
      <c r="G5" s="383">
        <v>5</v>
      </c>
      <c r="H5" s="383">
        <v>20</v>
      </c>
      <c r="I5" s="383"/>
      <c r="J5" s="383"/>
      <c r="K5" s="383">
        <v>1.05</v>
      </c>
      <c r="L5" s="382" t="s">
        <v>1851</v>
      </c>
      <c r="M5" s="383">
        <f>0.46*(H5+100)/100*(I5+100)/100*(J5+100)/100</f>
        <v>0.55200000000000005</v>
      </c>
      <c r="N5" s="383">
        <f>F5*M5</f>
        <v>0.55200000000000005</v>
      </c>
      <c r="O5" s="382" t="s">
        <v>3466</v>
      </c>
      <c r="P5" s="382" t="s">
        <v>3480</v>
      </c>
      <c r="Q5" s="329" t="s">
        <v>1103</v>
      </c>
      <c r="R5" s="329" t="s">
        <v>2222</v>
      </c>
      <c r="S5" s="330">
        <v>0.46</v>
      </c>
      <c r="T5" s="329" t="s">
        <v>2208</v>
      </c>
      <c r="V5" s="330">
        <f>N5</f>
        <v>0.55200000000000005</v>
      </c>
    </row>
    <row r="6" spans="1:31" ht="30" customHeight="1">
      <c r="A6" s="382" t="s">
        <v>2222</v>
      </c>
      <c r="B6" s="382" t="s">
        <v>1851</v>
      </c>
      <c r="C6" s="382" t="s">
        <v>2221</v>
      </c>
      <c r="D6" s="382" t="s">
        <v>1852</v>
      </c>
      <c r="E6" s="382" t="s">
        <v>378</v>
      </c>
      <c r="F6" s="383">
        <f>SUM(V5:V5)</f>
        <v>0.55200000000000005</v>
      </c>
      <c r="G6" s="383"/>
      <c r="H6" s="383"/>
      <c r="I6" s="383"/>
      <c r="J6" s="383"/>
      <c r="K6" s="383">
        <f>TRUNC(F6*[4]공량설정_일위대가!B2/100, [4]공량설정_일위대가!C3)</f>
        <v>0.55200000000000005</v>
      </c>
      <c r="L6" s="382" t="s">
        <v>378</v>
      </c>
      <c r="M6" s="383"/>
      <c r="N6" s="383"/>
      <c r="O6" s="383" t="s">
        <v>3466</v>
      </c>
      <c r="P6" s="382" t="s">
        <v>378</v>
      </c>
      <c r="Q6" s="329" t="s">
        <v>1103</v>
      </c>
      <c r="R6" s="329" t="s">
        <v>378</v>
      </c>
      <c r="T6" s="329" t="s">
        <v>2223</v>
      </c>
    </row>
    <row r="7" spans="1:31" ht="30" customHeight="1">
      <c r="A7" s="734" t="s">
        <v>3481</v>
      </c>
      <c r="B7" s="734"/>
      <c r="C7" s="734"/>
      <c r="D7" s="734"/>
      <c r="E7" s="734"/>
      <c r="F7" s="734"/>
      <c r="G7" s="734"/>
      <c r="H7" s="734"/>
      <c r="I7" s="734"/>
      <c r="J7" s="734"/>
      <c r="K7" s="734"/>
      <c r="L7" s="734"/>
      <c r="M7" s="734"/>
      <c r="N7" s="734"/>
      <c r="O7" s="734"/>
      <c r="P7" s="734"/>
    </row>
    <row r="8" spans="1:31" ht="30" customHeight="1">
      <c r="A8" s="382" t="s">
        <v>2228</v>
      </c>
      <c r="B8" s="382" t="s">
        <v>2226</v>
      </c>
      <c r="C8" s="382" t="s">
        <v>2227</v>
      </c>
      <c r="D8" s="382" t="s">
        <v>300</v>
      </c>
      <c r="E8" s="382" t="s">
        <v>1676</v>
      </c>
      <c r="F8" s="383">
        <v>1</v>
      </c>
      <c r="G8" s="383">
        <v>5</v>
      </c>
      <c r="H8" s="383">
        <v>20</v>
      </c>
      <c r="I8" s="383"/>
      <c r="J8" s="383"/>
      <c r="K8" s="383">
        <v>1.05</v>
      </c>
      <c r="L8" s="382" t="s">
        <v>1851</v>
      </c>
      <c r="M8" s="383">
        <f>0.2*(H8+100)/100*(I8+100)/100*(J8+100)/100</f>
        <v>0.24</v>
      </c>
      <c r="N8" s="383">
        <f>F8*M8</f>
        <v>0.24</v>
      </c>
      <c r="O8" s="382" t="s">
        <v>3466</v>
      </c>
      <c r="P8" s="382" t="s">
        <v>3482</v>
      </c>
      <c r="Q8" s="329" t="s">
        <v>1108</v>
      </c>
      <c r="R8" s="329" t="s">
        <v>2222</v>
      </c>
      <c r="S8" s="330">
        <v>0.2</v>
      </c>
      <c r="T8" s="329" t="s">
        <v>2229</v>
      </c>
      <c r="V8" s="330">
        <f>N8</f>
        <v>0.24</v>
      </c>
    </row>
    <row r="9" spans="1:31" ht="30" customHeight="1">
      <c r="A9" s="382" t="s">
        <v>2222</v>
      </c>
      <c r="B9" s="382" t="s">
        <v>1851</v>
      </c>
      <c r="C9" s="382" t="s">
        <v>2221</v>
      </c>
      <c r="D9" s="382" t="s">
        <v>1852</v>
      </c>
      <c r="E9" s="382" t="s">
        <v>378</v>
      </c>
      <c r="F9" s="383">
        <f>SUM(V8:V8)</f>
        <v>0.24</v>
      </c>
      <c r="G9" s="383"/>
      <c r="H9" s="383"/>
      <c r="I9" s="383"/>
      <c r="J9" s="383"/>
      <c r="K9" s="383">
        <f>TRUNC(F9*[4]공량설정_일위대가!B4/100, [4]공량설정_일위대가!C5)</f>
        <v>0.24</v>
      </c>
      <c r="L9" s="382" t="s">
        <v>378</v>
      </c>
      <c r="M9" s="383"/>
      <c r="N9" s="383"/>
      <c r="O9" s="383" t="s">
        <v>3466</v>
      </c>
      <c r="P9" s="382" t="s">
        <v>378</v>
      </c>
      <c r="Q9" s="329" t="s">
        <v>1108</v>
      </c>
      <c r="R9" s="329" t="s">
        <v>378</v>
      </c>
      <c r="T9" s="329" t="s">
        <v>2235</v>
      </c>
    </row>
    <row r="10" spans="1:31" ht="30" customHeight="1">
      <c r="A10" s="734" t="s">
        <v>3483</v>
      </c>
      <c r="B10" s="734"/>
      <c r="C10" s="734"/>
      <c r="D10" s="734"/>
      <c r="E10" s="734"/>
      <c r="F10" s="734"/>
      <c r="G10" s="734"/>
      <c r="H10" s="734"/>
      <c r="I10" s="734"/>
      <c r="J10" s="734"/>
      <c r="K10" s="734"/>
      <c r="L10" s="734"/>
      <c r="M10" s="734"/>
      <c r="N10" s="734"/>
      <c r="O10" s="734"/>
      <c r="P10" s="734"/>
    </row>
    <row r="11" spans="1:31" ht="30" customHeight="1">
      <c r="A11" s="382" t="s">
        <v>2239</v>
      </c>
      <c r="B11" s="382" t="s">
        <v>2237</v>
      </c>
      <c r="C11" s="382" t="s">
        <v>2238</v>
      </c>
      <c r="D11" s="382" t="s">
        <v>300</v>
      </c>
      <c r="E11" s="382" t="s">
        <v>1678</v>
      </c>
      <c r="F11" s="383">
        <v>1</v>
      </c>
      <c r="G11" s="383">
        <v>5</v>
      </c>
      <c r="H11" s="383">
        <v>50</v>
      </c>
      <c r="I11" s="383"/>
      <c r="J11" s="383"/>
      <c r="K11" s="383">
        <v>1.05</v>
      </c>
      <c r="L11" s="382" t="s">
        <v>1851</v>
      </c>
      <c r="M11" s="383">
        <f>0.006*(H11+100)/100*(I11+100)/100*(J11+100)/100</f>
        <v>9.0000000000000011E-3</v>
      </c>
      <c r="N11" s="383">
        <f>F11*M11</f>
        <v>9.0000000000000011E-3</v>
      </c>
      <c r="O11" s="382" t="s">
        <v>3466</v>
      </c>
      <c r="P11" s="382" t="s">
        <v>3484</v>
      </c>
      <c r="Q11" s="329" t="s">
        <v>1111</v>
      </c>
      <c r="R11" s="329" t="s">
        <v>2222</v>
      </c>
      <c r="S11" s="330">
        <v>6.0000000000000001E-3</v>
      </c>
      <c r="T11" s="329" t="s">
        <v>2240</v>
      </c>
      <c r="V11" s="330">
        <f>N11</f>
        <v>9.0000000000000011E-3</v>
      </c>
    </row>
    <row r="12" spans="1:31" ht="30" customHeight="1">
      <c r="A12" s="382" t="s">
        <v>2222</v>
      </c>
      <c r="B12" s="382" t="s">
        <v>1851</v>
      </c>
      <c r="C12" s="382" t="s">
        <v>2221</v>
      </c>
      <c r="D12" s="382" t="s">
        <v>1852</v>
      </c>
      <c r="E12" s="382" t="s">
        <v>378</v>
      </c>
      <c r="F12" s="383">
        <f>SUM(V11:V11)</f>
        <v>9.0000000000000011E-3</v>
      </c>
      <c r="G12" s="383"/>
      <c r="H12" s="383"/>
      <c r="I12" s="383"/>
      <c r="J12" s="383"/>
      <c r="K12" s="383">
        <f>TRUNC(F12*[4]공량설정_일위대가!B6/100, [4]공량설정_일위대가!C7)</f>
        <v>8.9999999999999993E-3</v>
      </c>
      <c r="L12" s="382" t="s">
        <v>378</v>
      </c>
      <c r="M12" s="383"/>
      <c r="N12" s="383"/>
      <c r="O12" s="383" t="s">
        <v>3466</v>
      </c>
      <c r="P12" s="382" t="s">
        <v>378</v>
      </c>
      <c r="Q12" s="329" t="s">
        <v>1111</v>
      </c>
      <c r="R12" s="329" t="s">
        <v>378</v>
      </c>
      <c r="T12" s="329" t="s">
        <v>2242</v>
      </c>
    </row>
    <row r="13" spans="1:31" ht="30" customHeight="1">
      <c r="A13" s="734" t="s">
        <v>3485</v>
      </c>
      <c r="B13" s="734"/>
      <c r="C13" s="734"/>
      <c r="D13" s="734"/>
      <c r="E13" s="734"/>
      <c r="F13" s="734"/>
      <c r="G13" s="734"/>
      <c r="H13" s="734"/>
      <c r="I13" s="734"/>
      <c r="J13" s="734"/>
      <c r="K13" s="734"/>
      <c r="L13" s="734"/>
      <c r="M13" s="734"/>
      <c r="N13" s="734"/>
      <c r="O13" s="734"/>
      <c r="P13" s="734"/>
    </row>
    <row r="14" spans="1:31" ht="30" customHeight="1">
      <c r="A14" s="382" t="s">
        <v>2246</v>
      </c>
      <c r="B14" s="382" t="s">
        <v>2237</v>
      </c>
      <c r="C14" s="382" t="s">
        <v>2245</v>
      </c>
      <c r="D14" s="382" t="s">
        <v>300</v>
      </c>
      <c r="E14" s="382" t="s">
        <v>1678</v>
      </c>
      <c r="F14" s="383">
        <v>1</v>
      </c>
      <c r="G14" s="383">
        <v>10</v>
      </c>
      <c r="H14" s="383"/>
      <c r="I14" s="383"/>
      <c r="J14" s="383"/>
      <c r="K14" s="383">
        <v>1.1000000000000001</v>
      </c>
      <c r="L14" s="382" t="s">
        <v>1851</v>
      </c>
      <c r="M14" s="383">
        <f>0.006*(H14+100)/100*(I14+100)/100*(J14+100)/100</f>
        <v>6.0000000000000001E-3</v>
      </c>
      <c r="N14" s="383">
        <f>F14*M14</f>
        <v>6.0000000000000001E-3</v>
      </c>
      <c r="O14" s="382" t="s">
        <v>3466</v>
      </c>
      <c r="P14" s="382" t="s">
        <v>3486</v>
      </c>
      <c r="Q14" s="329" t="s">
        <v>1113</v>
      </c>
      <c r="R14" s="329" t="s">
        <v>2222</v>
      </c>
      <c r="S14" s="330">
        <v>6.0000000000000001E-3</v>
      </c>
      <c r="T14" s="329" t="s">
        <v>2247</v>
      </c>
      <c r="V14" s="330">
        <f>N14</f>
        <v>6.0000000000000001E-3</v>
      </c>
    </row>
    <row r="15" spans="1:31" ht="30" customHeight="1">
      <c r="A15" s="382" t="s">
        <v>2222</v>
      </c>
      <c r="B15" s="382" t="s">
        <v>1851</v>
      </c>
      <c r="C15" s="382" t="s">
        <v>2221</v>
      </c>
      <c r="D15" s="382" t="s">
        <v>1852</v>
      </c>
      <c r="E15" s="382" t="s">
        <v>378</v>
      </c>
      <c r="F15" s="383">
        <f>SUM(V14:V14)</f>
        <v>6.0000000000000001E-3</v>
      </c>
      <c r="G15" s="383"/>
      <c r="H15" s="383"/>
      <c r="I15" s="383"/>
      <c r="J15" s="383"/>
      <c r="K15" s="383">
        <f>TRUNC(F15*[4]공량설정_일위대가!B8/100, [4]공량설정_일위대가!C9)</f>
        <v>6.0000000000000001E-3</v>
      </c>
      <c r="L15" s="382" t="s">
        <v>378</v>
      </c>
      <c r="M15" s="383"/>
      <c r="N15" s="383"/>
      <c r="O15" s="383" t="s">
        <v>3466</v>
      </c>
      <c r="P15" s="382" t="s">
        <v>378</v>
      </c>
      <c r="Q15" s="329" t="s">
        <v>1113</v>
      </c>
      <c r="R15" s="329" t="s">
        <v>378</v>
      </c>
      <c r="T15" s="329" t="s">
        <v>2249</v>
      </c>
    </row>
    <row r="16" spans="1:31" ht="30" customHeight="1">
      <c r="A16" s="734" t="s">
        <v>3487</v>
      </c>
      <c r="B16" s="734"/>
      <c r="C16" s="734"/>
      <c r="D16" s="734"/>
      <c r="E16" s="734"/>
      <c r="F16" s="734"/>
      <c r="G16" s="734"/>
      <c r="H16" s="734"/>
      <c r="I16" s="734"/>
      <c r="J16" s="734"/>
      <c r="K16" s="734"/>
      <c r="L16" s="734"/>
      <c r="M16" s="734"/>
      <c r="N16" s="734"/>
      <c r="O16" s="734"/>
      <c r="P16" s="734"/>
    </row>
    <row r="17" spans="1:26" ht="30" customHeight="1">
      <c r="A17" s="382" t="s">
        <v>2253</v>
      </c>
      <c r="B17" s="382" t="s">
        <v>2237</v>
      </c>
      <c r="C17" s="382" t="s">
        <v>2252</v>
      </c>
      <c r="D17" s="382" t="s">
        <v>300</v>
      </c>
      <c r="E17" s="382" t="s">
        <v>1678</v>
      </c>
      <c r="F17" s="383">
        <v>1</v>
      </c>
      <c r="G17" s="383">
        <v>10</v>
      </c>
      <c r="H17" s="383">
        <v>50</v>
      </c>
      <c r="I17" s="383"/>
      <c r="J17" s="383"/>
      <c r="K17" s="383">
        <v>1.1000000000000001</v>
      </c>
      <c r="L17" s="382" t="s">
        <v>1851</v>
      </c>
      <c r="M17" s="383">
        <f>0.007*(H17+100)/100*(I17+100)/100*(J17+100)/100</f>
        <v>1.0500000000000001E-2</v>
      </c>
      <c r="N17" s="383">
        <f>F17*M17</f>
        <v>1.0500000000000001E-2</v>
      </c>
      <c r="O17" s="382" t="s">
        <v>3466</v>
      </c>
      <c r="P17" s="382" t="s">
        <v>3488</v>
      </c>
      <c r="Q17" s="329" t="s">
        <v>1116</v>
      </c>
      <c r="R17" s="329" t="s">
        <v>2222</v>
      </c>
      <c r="S17" s="330">
        <v>7.0000000000000001E-3</v>
      </c>
      <c r="T17" s="329" t="s">
        <v>2254</v>
      </c>
      <c r="V17" s="330">
        <f>N17</f>
        <v>1.0500000000000001E-2</v>
      </c>
    </row>
    <row r="18" spans="1:26" ht="30" customHeight="1">
      <c r="A18" s="382" t="s">
        <v>2222</v>
      </c>
      <c r="B18" s="382" t="s">
        <v>1851</v>
      </c>
      <c r="C18" s="382" t="s">
        <v>2221</v>
      </c>
      <c r="D18" s="382" t="s">
        <v>1852</v>
      </c>
      <c r="E18" s="382" t="s">
        <v>378</v>
      </c>
      <c r="F18" s="383">
        <f>SUM(V17:V17)</f>
        <v>1.0500000000000001E-2</v>
      </c>
      <c r="G18" s="383"/>
      <c r="H18" s="383"/>
      <c r="I18" s="383"/>
      <c r="J18" s="383"/>
      <c r="K18" s="383">
        <f>TRUNC(F18*[4]공량설정_일위대가!B10/100, [4]공량설정_일위대가!C11)</f>
        <v>1.0500000000000001E-2</v>
      </c>
      <c r="L18" s="382" t="s">
        <v>378</v>
      </c>
      <c r="M18" s="383"/>
      <c r="N18" s="383"/>
      <c r="O18" s="383" t="s">
        <v>3466</v>
      </c>
      <c r="P18" s="382" t="s">
        <v>378</v>
      </c>
      <c r="Q18" s="329" t="s">
        <v>1116</v>
      </c>
      <c r="R18" s="329" t="s">
        <v>378</v>
      </c>
      <c r="T18" s="329" t="s">
        <v>2257</v>
      </c>
    </row>
    <row r="19" spans="1:26" ht="30" customHeight="1">
      <c r="A19" s="734" t="s">
        <v>3489</v>
      </c>
      <c r="B19" s="734"/>
      <c r="C19" s="734"/>
      <c r="D19" s="734"/>
      <c r="E19" s="734"/>
      <c r="F19" s="734"/>
      <c r="G19" s="734"/>
      <c r="H19" s="734"/>
      <c r="I19" s="734"/>
      <c r="J19" s="734"/>
      <c r="K19" s="734"/>
      <c r="L19" s="734"/>
      <c r="M19" s="734"/>
      <c r="N19" s="734"/>
      <c r="O19" s="734"/>
      <c r="P19" s="734"/>
    </row>
    <row r="20" spans="1:26" ht="30" customHeight="1">
      <c r="A20" s="382" t="s">
        <v>2260</v>
      </c>
      <c r="B20" s="382" t="s">
        <v>2237</v>
      </c>
      <c r="C20" s="382" t="s">
        <v>2259</v>
      </c>
      <c r="D20" s="382" t="s">
        <v>300</v>
      </c>
      <c r="E20" s="382" t="s">
        <v>1678</v>
      </c>
      <c r="F20" s="383">
        <v>1</v>
      </c>
      <c r="G20" s="383">
        <v>10</v>
      </c>
      <c r="H20" s="383">
        <v>50</v>
      </c>
      <c r="I20" s="383"/>
      <c r="J20" s="383"/>
      <c r="K20" s="383">
        <v>1.1000000000000001</v>
      </c>
      <c r="L20" s="382" t="s">
        <v>1851</v>
      </c>
      <c r="M20" s="383">
        <f>0.007*(H20+100)/100*(I20+100)/100*(J20+100)/100</f>
        <v>1.0500000000000001E-2</v>
      </c>
      <c r="N20" s="383">
        <f>F20*M20</f>
        <v>1.0500000000000001E-2</v>
      </c>
      <c r="O20" s="382" t="s">
        <v>3466</v>
      </c>
      <c r="P20" s="382" t="s">
        <v>3488</v>
      </c>
      <c r="Q20" s="329" t="s">
        <v>1119</v>
      </c>
      <c r="R20" s="329" t="s">
        <v>2222</v>
      </c>
      <c r="S20" s="330">
        <v>7.0000000000000001E-3</v>
      </c>
      <c r="T20" s="329" t="s">
        <v>2261</v>
      </c>
      <c r="V20" s="330">
        <f>N20</f>
        <v>1.0500000000000001E-2</v>
      </c>
    </row>
    <row r="21" spans="1:26" ht="30" customHeight="1">
      <c r="A21" s="382" t="s">
        <v>2222</v>
      </c>
      <c r="B21" s="382" t="s">
        <v>1851</v>
      </c>
      <c r="C21" s="382" t="s">
        <v>2221</v>
      </c>
      <c r="D21" s="382" t="s">
        <v>1852</v>
      </c>
      <c r="E21" s="382" t="s">
        <v>378</v>
      </c>
      <c r="F21" s="383">
        <f>SUM(V20:V20)</f>
        <v>1.0500000000000001E-2</v>
      </c>
      <c r="G21" s="383"/>
      <c r="H21" s="383"/>
      <c r="I21" s="383"/>
      <c r="J21" s="383"/>
      <c r="K21" s="383">
        <f>TRUNC(F21*[4]공량설정_일위대가!B12/100, [4]공량설정_일위대가!C13)</f>
        <v>1.0500000000000001E-2</v>
      </c>
      <c r="L21" s="382" t="s">
        <v>378</v>
      </c>
      <c r="M21" s="383"/>
      <c r="N21" s="383"/>
      <c r="O21" s="383" t="s">
        <v>3466</v>
      </c>
      <c r="P21" s="382" t="s">
        <v>378</v>
      </c>
      <c r="Q21" s="329" t="s">
        <v>1119</v>
      </c>
      <c r="R21" s="329" t="s">
        <v>378</v>
      </c>
      <c r="T21" s="329" t="s">
        <v>2264</v>
      </c>
    </row>
    <row r="22" spans="1:26" ht="30" customHeight="1">
      <c r="A22" s="734" t="s">
        <v>3490</v>
      </c>
      <c r="B22" s="734"/>
      <c r="C22" s="734"/>
      <c r="D22" s="734"/>
      <c r="E22" s="734"/>
      <c r="F22" s="734"/>
      <c r="G22" s="734"/>
      <c r="H22" s="734"/>
      <c r="I22" s="734"/>
      <c r="J22" s="734"/>
      <c r="K22" s="734"/>
      <c r="L22" s="734"/>
      <c r="M22" s="734"/>
      <c r="N22" s="734"/>
      <c r="O22" s="734"/>
      <c r="P22" s="734"/>
    </row>
    <row r="23" spans="1:26" ht="30" customHeight="1">
      <c r="A23" s="382" t="s">
        <v>2267</v>
      </c>
      <c r="B23" s="382" t="s">
        <v>2237</v>
      </c>
      <c r="C23" s="382" t="s">
        <v>2266</v>
      </c>
      <c r="D23" s="382" t="s">
        <v>300</v>
      </c>
      <c r="E23" s="382" t="s">
        <v>1678</v>
      </c>
      <c r="F23" s="383">
        <v>1</v>
      </c>
      <c r="G23" s="383">
        <v>10</v>
      </c>
      <c r="H23" s="383">
        <v>50</v>
      </c>
      <c r="I23" s="383"/>
      <c r="J23" s="383"/>
      <c r="K23" s="383">
        <v>1.1000000000000001</v>
      </c>
      <c r="L23" s="382" t="s">
        <v>1851</v>
      </c>
      <c r="M23" s="383">
        <f>0.014*(H23+100)/100*(I23+100)/100*(J23+100)/100</f>
        <v>2.1000000000000001E-2</v>
      </c>
      <c r="N23" s="383">
        <f>F23*M23</f>
        <v>2.1000000000000001E-2</v>
      </c>
      <c r="O23" s="382" t="s">
        <v>3466</v>
      </c>
      <c r="P23" s="382" t="s">
        <v>3491</v>
      </c>
      <c r="Q23" s="329" t="s">
        <v>1122</v>
      </c>
      <c r="R23" s="329" t="s">
        <v>2222</v>
      </c>
      <c r="S23" s="330">
        <v>1.4E-2</v>
      </c>
      <c r="T23" s="329" t="s">
        <v>2268</v>
      </c>
      <c r="V23" s="330">
        <f>N23</f>
        <v>2.1000000000000001E-2</v>
      </c>
    </row>
    <row r="24" spans="1:26" ht="30" customHeight="1">
      <c r="A24" s="382" t="s">
        <v>2222</v>
      </c>
      <c r="B24" s="382" t="s">
        <v>1851</v>
      </c>
      <c r="C24" s="382" t="s">
        <v>2221</v>
      </c>
      <c r="D24" s="382" t="s">
        <v>1852</v>
      </c>
      <c r="E24" s="382" t="s">
        <v>378</v>
      </c>
      <c r="F24" s="383">
        <f>SUM(V23:V23)</f>
        <v>2.1000000000000001E-2</v>
      </c>
      <c r="G24" s="383"/>
      <c r="H24" s="383"/>
      <c r="I24" s="383"/>
      <c r="J24" s="383"/>
      <c r="K24" s="383">
        <f>TRUNC(F24*[4]공량설정_일위대가!B14/100, [4]공량설정_일위대가!C15)</f>
        <v>2.1000000000000001E-2</v>
      </c>
      <c r="L24" s="382" t="s">
        <v>378</v>
      </c>
      <c r="M24" s="383"/>
      <c r="N24" s="383"/>
      <c r="O24" s="383" t="s">
        <v>3466</v>
      </c>
      <c r="P24" s="382" t="s">
        <v>378</v>
      </c>
      <c r="Q24" s="329" t="s">
        <v>1122</v>
      </c>
      <c r="R24" s="329" t="s">
        <v>378</v>
      </c>
      <c r="T24" s="329" t="s">
        <v>2270</v>
      </c>
    </row>
    <row r="25" spans="1:26" ht="30" customHeight="1">
      <c r="A25" s="734" t="s">
        <v>3492</v>
      </c>
      <c r="B25" s="734"/>
      <c r="C25" s="734"/>
      <c r="D25" s="734"/>
      <c r="E25" s="734"/>
      <c r="F25" s="734"/>
      <c r="G25" s="734"/>
      <c r="H25" s="734"/>
      <c r="I25" s="734"/>
      <c r="J25" s="734"/>
      <c r="K25" s="734"/>
      <c r="L25" s="734"/>
      <c r="M25" s="734"/>
      <c r="N25" s="734"/>
      <c r="O25" s="734"/>
      <c r="P25" s="734"/>
    </row>
    <row r="26" spans="1:26" ht="30" customHeight="1">
      <c r="A26" s="382" t="s">
        <v>2274</v>
      </c>
      <c r="B26" s="382" t="s">
        <v>2272</v>
      </c>
      <c r="C26" s="382" t="s">
        <v>2273</v>
      </c>
      <c r="D26" s="382" t="s">
        <v>300</v>
      </c>
      <c r="E26" s="382" t="s">
        <v>1684</v>
      </c>
      <c r="F26" s="383">
        <v>1</v>
      </c>
      <c r="G26" s="383">
        <v>5</v>
      </c>
      <c r="H26" s="383"/>
      <c r="I26" s="383"/>
      <c r="J26" s="383"/>
      <c r="K26" s="383">
        <v>1.05</v>
      </c>
      <c r="L26" s="382" t="s">
        <v>1889</v>
      </c>
      <c r="M26" s="383">
        <f>0.0062*(H26+100)/100*(I26+100)/100*(J26+100)/100</f>
        <v>6.1999999999999998E-3</v>
      </c>
      <c r="N26" s="383">
        <f>F26*M26</f>
        <v>6.1999999999999998E-3</v>
      </c>
      <c r="O26" s="382" t="s">
        <v>3460</v>
      </c>
      <c r="P26" s="382" t="s">
        <v>3493</v>
      </c>
      <c r="Q26" s="329" t="s">
        <v>1125</v>
      </c>
      <c r="R26" s="329" t="s">
        <v>2277</v>
      </c>
      <c r="S26" s="330">
        <v>6.1999999999999998E-3</v>
      </c>
      <c r="T26" s="329" t="s">
        <v>2275</v>
      </c>
      <c r="X26" s="330">
        <f>N26</f>
        <v>6.1999999999999998E-3</v>
      </c>
    </row>
    <row r="27" spans="1:26" ht="30" customHeight="1">
      <c r="A27" s="382" t="s">
        <v>378</v>
      </c>
      <c r="B27" s="382" t="s">
        <v>378</v>
      </c>
      <c r="C27" s="382" t="s">
        <v>378</v>
      </c>
      <c r="D27" s="382" t="s">
        <v>378</v>
      </c>
      <c r="E27" s="382" t="s">
        <v>378</v>
      </c>
      <c r="F27" s="383"/>
      <c r="G27" s="383"/>
      <c r="H27" s="383"/>
      <c r="I27" s="383"/>
      <c r="J27" s="383"/>
      <c r="K27" s="383"/>
      <c r="L27" s="382" t="s">
        <v>1992</v>
      </c>
      <c r="M27" s="383">
        <f>0.0062*(H26+100)/100*(I26+100)/100*(J26+100)/100</f>
        <v>6.1999999999999998E-3</v>
      </c>
      <c r="N27" s="383">
        <f>F26*M27</f>
        <v>6.1999999999999998E-3</v>
      </c>
      <c r="O27" s="382" t="s">
        <v>3467</v>
      </c>
      <c r="P27" s="382" t="s">
        <v>3493</v>
      </c>
      <c r="Q27" s="329" t="s">
        <v>1125</v>
      </c>
      <c r="R27" s="329" t="s">
        <v>2280</v>
      </c>
      <c r="S27" s="330">
        <v>6.1999999999999998E-3</v>
      </c>
      <c r="T27" s="329" t="s">
        <v>2275</v>
      </c>
      <c r="Z27" s="330">
        <f>N27</f>
        <v>6.1999999999999998E-3</v>
      </c>
    </row>
    <row r="28" spans="1:26" ht="30" customHeight="1">
      <c r="A28" s="382" t="s">
        <v>2277</v>
      </c>
      <c r="B28" s="382" t="s">
        <v>1889</v>
      </c>
      <c r="C28" s="382" t="s">
        <v>378</v>
      </c>
      <c r="D28" s="382" t="s">
        <v>1852</v>
      </c>
      <c r="E28" s="382" t="s">
        <v>378</v>
      </c>
      <c r="F28" s="383">
        <f>SUM(X26:X27)</f>
        <v>6.1999999999999998E-3</v>
      </c>
      <c r="G28" s="383"/>
      <c r="H28" s="383"/>
      <c r="I28" s="383"/>
      <c r="J28" s="383"/>
      <c r="K28" s="383">
        <f>TRUNC(F28*[4]공량설정_일위대가!B16/100, [4]공량설정_일위대가!C17)</f>
        <v>6.1999999999999998E-3</v>
      </c>
      <c r="L28" s="382" t="s">
        <v>378</v>
      </c>
      <c r="M28" s="383"/>
      <c r="N28" s="383"/>
      <c r="O28" s="383" t="s">
        <v>3460</v>
      </c>
      <c r="P28" s="382" t="s">
        <v>378</v>
      </c>
      <c r="Q28" s="329" t="s">
        <v>1125</v>
      </c>
      <c r="R28" s="329" t="s">
        <v>378</v>
      </c>
      <c r="T28" s="329" t="s">
        <v>2278</v>
      </c>
    </row>
    <row r="29" spans="1:26" ht="30" customHeight="1">
      <c r="A29" s="382" t="s">
        <v>2280</v>
      </c>
      <c r="B29" s="382" t="s">
        <v>1992</v>
      </c>
      <c r="C29" s="382" t="s">
        <v>2279</v>
      </c>
      <c r="D29" s="382" t="s">
        <v>1852</v>
      </c>
      <c r="E29" s="382" t="s">
        <v>378</v>
      </c>
      <c r="F29" s="383">
        <f>SUM(Z26:Z27)</f>
        <v>6.1999999999999998E-3</v>
      </c>
      <c r="G29" s="383"/>
      <c r="H29" s="383"/>
      <c r="I29" s="383"/>
      <c r="J29" s="383"/>
      <c r="K29" s="383">
        <f>TRUNC(F29*[4]공량설정_일위대가!B16/100, [4]공량설정_일위대가!C18)</f>
        <v>6.1999999999999998E-3</v>
      </c>
      <c r="L29" s="382" t="s">
        <v>378</v>
      </c>
      <c r="M29" s="383"/>
      <c r="N29" s="383"/>
      <c r="O29" s="383" t="s">
        <v>3467</v>
      </c>
      <c r="P29" s="382" t="s">
        <v>378</v>
      </c>
      <c r="Q29" s="329" t="s">
        <v>1125</v>
      </c>
      <c r="R29" s="329" t="s">
        <v>378</v>
      </c>
      <c r="T29" s="329" t="s">
        <v>2281</v>
      </c>
    </row>
    <row r="30" spans="1:26" ht="30" customHeight="1">
      <c r="A30" s="734" t="s">
        <v>3494</v>
      </c>
      <c r="B30" s="734"/>
      <c r="C30" s="734"/>
      <c r="D30" s="734"/>
      <c r="E30" s="734"/>
      <c r="F30" s="734"/>
      <c r="G30" s="734"/>
      <c r="H30" s="734"/>
      <c r="I30" s="734"/>
      <c r="J30" s="734"/>
      <c r="K30" s="734"/>
      <c r="L30" s="734"/>
      <c r="M30" s="734"/>
      <c r="N30" s="734"/>
      <c r="O30" s="734"/>
      <c r="P30" s="734"/>
    </row>
    <row r="31" spans="1:26" ht="30" customHeight="1">
      <c r="A31" s="382" t="s">
        <v>2284</v>
      </c>
      <c r="B31" s="382" t="s">
        <v>2272</v>
      </c>
      <c r="C31" s="382" t="s">
        <v>2283</v>
      </c>
      <c r="D31" s="382" t="s">
        <v>300</v>
      </c>
      <c r="E31" s="382" t="s">
        <v>1684</v>
      </c>
      <c r="F31" s="383">
        <v>1</v>
      </c>
      <c r="G31" s="383">
        <v>5</v>
      </c>
      <c r="H31" s="383"/>
      <c r="I31" s="383"/>
      <c r="J31" s="383"/>
      <c r="K31" s="383">
        <v>1.05</v>
      </c>
      <c r="L31" s="382" t="s">
        <v>1889</v>
      </c>
      <c r="M31" s="383">
        <f>0.013*(H31+100)/100*(I31+100)/100*(J31+100)/100</f>
        <v>1.3000000000000001E-2</v>
      </c>
      <c r="N31" s="383">
        <f>F31*M31</f>
        <v>1.3000000000000001E-2</v>
      </c>
      <c r="O31" s="382" t="s">
        <v>3460</v>
      </c>
      <c r="P31" s="382" t="s">
        <v>3495</v>
      </c>
      <c r="Q31" s="329" t="s">
        <v>1128</v>
      </c>
      <c r="R31" s="329" t="s">
        <v>2277</v>
      </c>
      <c r="S31" s="330">
        <v>1.2999999999999999E-2</v>
      </c>
      <c r="T31" s="329" t="s">
        <v>2285</v>
      </c>
      <c r="X31" s="330">
        <f>N31</f>
        <v>1.3000000000000001E-2</v>
      </c>
    </row>
    <row r="32" spans="1:26" ht="30" customHeight="1">
      <c r="A32" s="382" t="s">
        <v>378</v>
      </c>
      <c r="B32" s="382" t="s">
        <v>378</v>
      </c>
      <c r="C32" s="382" t="s">
        <v>378</v>
      </c>
      <c r="D32" s="382" t="s">
        <v>378</v>
      </c>
      <c r="E32" s="382" t="s">
        <v>378</v>
      </c>
      <c r="F32" s="383"/>
      <c r="G32" s="383"/>
      <c r="H32" s="383"/>
      <c r="I32" s="383"/>
      <c r="J32" s="383"/>
      <c r="K32" s="383"/>
      <c r="L32" s="382" t="s">
        <v>1992</v>
      </c>
      <c r="M32" s="383">
        <f>0.013*(H31+100)/100*(I31+100)/100*(J31+100)/100</f>
        <v>1.3000000000000001E-2</v>
      </c>
      <c r="N32" s="383">
        <f>F31*M32</f>
        <v>1.3000000000000001E-2</v>
      </c>
      <c r="O32" s="382" t="s">
        <v>3467</v>
      </c>
      <c r="P32" s="382" t="s">
        <v>3495</v>
      </c>
      <c r="Q32" s="329" t="s">
        <v>1128</v>
      </c>
      <c r="R32" s="329" t="s">
        <v>2280</v>
      </c>
      <c r="S32" s="330">
        <v>1.2999999999999999E-2</v>
      </c>
      <c r="T32" s="329" t="s">
        <v>2285</v>
      </c>
      <c r="Z32" s="330">
        <f>N32</f>
        <v>1.3000000000000001E-2</v>
      </c>
    </row>
    <row r="33" spans="1:26" ht="30" customHeight="1">
      <c r="A33" s="382" t="s">
        <v>2277</v>
      </c>
      <c r="B33" s="382" t="s">
        <v>1889</v>
      </c>
      <c r="C33" s="382" t="s">
        <v>378</v>
      </c>
      <c r="D33" s="382" t="s">
        <v>1852</v>
      </c>
      <c r="E33" s="382" t="s">
        <v>378</v>
      </c>
      <c r="F33" s="383">
        <f>SUM(X31:X32)</f>
        <v>1.3000000000000001E-2</v>
      </c>
      <c r="G33" s="383"/>
      <c r="H33" s="383"/>
      <c r="I33" s="383"/>
      <c r="J33" s="383"/>
      <c r="K33" s="383">
        <f>TRUNC(F33*[4]공량설정_일위대가!B19/100, [4]공량설정_일위대가!C20)</f>
        <v>1.2999999999999999E-2</v>
      </c>
      <c r="L33" s="382" t="s">
        <v>378</v>
      </c>
      <c r="M33" s="383"/>
      <c r="N33" s="383"/>
      <c r="O33" s="383" t="s">
        <v>3460</v>
      </c>
      <c r="P33" s="382" t="s">
        <v>378</v>
      </c>
      <c r="Q33" s="329" t="s">
        <v>1128</v>
      </c>
      <c r="R33" s="329" t="s">
        <v>378</v>
      </c>
      <c r="T33" s="329" t="s">
        <v>2287</v>
      </c>
    </row>
    <row r="34" spans="1:26" ht="30" customHeight="1">
      <c r="A34" s="382" t="s">
        <v>2280</v>
      </c>
      <c r="B34" s="382" t="s">
        <v>1992</v>
      </c>
      <c r="C34" s="382" t="s">
        <v>2279</v>
      </c>
      <c r="D34" s="382" t="s">
        <v>1852</v>
      </c>
      <c r="E34" s="382" t="s">
        <v>378</v>
      </c>
      <c r="F34" s="383">
        <f>SUM(Z31:Z32)</f>
        <v>1.3000000000000001E-2</v>
      </c>
      <c r="G34" s="383"/>
      <c r="H34" s="383"/>
      <c r="I34" s="383"/>
      <c r="J34" s="383"/>
      <c r="K34" s="383">
        <f>TRUNC(F34*[4]공량설정_일위대가!B19/100, [4]공량설정_일위대가!C21)</f>
        <v>1.2999999999999999E-2</v>
      </c>
      <c r="L34" s="382" t="s">
        <v>378</v>
      </c>
      <c r="M34" s="383"/>
      <c r="N34" s="383"/>
      <c r="O34" s="383" t="s">
        <v>3467</v>
      </c>
      <c r="P34" s="382" t="s">
        <v>378</v>
      </c>
      <c r="Q34" s="329" t="s">
        <v>1128</v>
      </c>
      <c r="R34" s="329" t="s">
        <v>378</v>
      </c>
      <c r="T34" s="329" t="s">
        <v>2288</v>
      </c>
    </row>
    <row r="35" spans="1:26" ht="30" customHeight="1">
      <c r="A35" s="734" t="s">
        <v>3496</v>
      </c>
      <c r="B35" s="734"/>
      <c r="C35" s="734"/>
      <c r="D35" s="734"/>
      <c r="E35" s="734"/>
      <c r="F35" s="734"/>
      <c r="G35" s="734"/>
      <c r="H35" s="734"/>
      <c r="I35" s="734"/>
      <c r="J35" s="734"/>
      <c r="K35" s="734"/>
      <c r="L35" s="734"/>
      <c r="M35" s="734"/>
      <c r="N35" s="734"/>
      <c r="O35" s="734"/>
      <c r="P35" s="734"/>
    </row>
    <row r="36" spans="1:26" ht="30" customHeight="1">
      <c r="A36" s="382" t="s">
        <v>2291</v>
      </c>
      <c r="B36" s="382" t="s">
        <v>2272</v>
      </c>
      <c r="C36" s="382" t="s">
        <v>2290</v>
      </c>
      <c r="D36" s="382" t="s">
        <v>300</v>
      </c>
      <c r="E36" s="382" t="s">
        <v>1688</v>
      </c>
      <c r="F36" s="383">
        <v>1</v>
      </c>
      <c r="G36" s="383">
        <v>5</v>
      </c>
      <c r="H36" s="383"/>
      <c r="I36" s="383"/>
      <c r="J36" s="383"/>
      <c r="K36" s="383">
        <v>1.05</v>
      </c>
      <c r="L36" s="382" t="s">
        <v>1992</v>
      </c>
      <c r="M36" s="383">
        <f>0.016*(H36+100)/100*(I36+100)/100*(J36+100)/100</f>
        <v>1.6E-2</v>
      </c>
      <c r="N36" s="383">
        <f>F36*M36</f>
        <v>1.6E-2</v>
      </c>
      <c r="O36" s="382" t="s">
        <v>3467</v>
      </c>
      <c r="P36" s="382" t="s">
        <v>3497</v>
      </c>
      <c r="Q36" s="329" t="s">
        <v>1130</v>
      </c>
      <c r="R36" s="329" t="s">
        <v>2280</v>
      </c>
      <c r="S36" s="330">
        <v>1.6E-2</v>
      </c>
      <c r="T36" s="329" t="s">
        <v>2292</v>
      </c>
      <c r="Z36" s="330">
        <f>N36</f>
        <v>1.6E-2</v>
      </c>
    </row>
    <row r="37" spans="1:26" ht="30" customHeight="1">
      <c r="A37" s="382" t="s">
        <v>2280</v>
      </c>
      <c r="B37" s="382" t="s">
        <v>1992</v>
      </c>
      <c r="C37" s="382" t="s">
        <v>2279</v>
      </c>
      <c r="D37" s="382" t="s">
        <v>1852</v>
      </c>
      <c r="E37" s="382" t="s">
        <v>378</v>
      </c>
      <c r="F37" s="383">
        <f>SUM(Z36:Z36)</f>
        <v>1.6E-2</v>
      </c>
      <c r="G37" s="383"/>
      <c r="H37" s="383"/>
      <c r="I37" s="383"/>
      <c r="J37" s="383"/>
      <c r="K37" s="383">
        <f>TRUNC(F37*[4]공량설정_일위대가!B22/100, [4]공량설정_일위대가!C23)</f>
        <v>1.6E-2</v>
      </c>
      <c r="L37" s="382" t="s">
        <v>378</v>
      </c>
      <c r="M37" s="383"/>
      <c r="N37" s="383"/>
      <c r="O37" s="383" t="s">
        <v>3467</v>
      </c>
      <c r="P37" s="382" t="s">
        <v>378</v>
      </c>
      <c r="Q37" s="329" t="s">
        <v>1130</v>
      </c>
      <c r="R37" s="329" t="s">
        <v>378</v>
      </c>
      <c r="T37" s="329" t="s">
        <v>2294</v>
      </c>
    </row>
    <row r="38" spans="1:26" ht="30" customHeight="1">
      <c r="A38" s="734" t="s">
        <v>3498</v>
      </c>
      <c r="B38" s="734"/>
      <c r="C38" s="734"/>
      <c r="D38" s="734"/>
      <c r="E38" s="734"/>
      <c r="F38" s="734"/>
      <c r="G38" s="734"/>
      <c r="H38" s="734"/>
      <c r="I38" s="734"/>
      <c r="J38" s="734"/>
      <c r="K38" s="734"/>
      <c r="L38" s="734"/>
      <c r="M38" s="734"/>
      <c r="N38" s="734"/>
      <c r="O38" s="734"/>
      <c r="P38" s="734"/>
    </row>
    <row r="39" spans="1:26" ht="30" customHeight="1">
      <c r="A39" s="382" t="s">
        <v>2298</v>
      </c>
      <c r="B39" s="382" t="s">
        <v>2272</v>
      </c>
      <c r="C39" s="382" t="s">
        <v>2297</v>
      </c>
      <c r="D39" s="382" t="s">
        <v>300</v>
      </c>
      <c r="E39" s="382" t="s">
        <v>1688</v>
      </c>
      <c r="F39" s="383">
        <v>1</v>
      </c>
      <c r="G39" s="383">
        <v>5</v>
      </c>
      <c r="H39" s="383"/>
      <c r="I39" s="383"/>
      <c r="J39" s="383"/>
      <c r="K39" s="383">
        <v>1.05</v>
      </c>
      <c r="L39" s="382" t="s">
        <v>1992</v>
      </c>
      <c r="M39" s="383">
        <f>0.034*(H39+100)/100*(I39+100)/100*(J39+100)/100</f>
        <v>3.4000000000000002E-2</v>
      </c>
      <c r="N39" s="383">
        <f>F39*M39</f>
        <v>3.4000000000000002E-2</v>
      </c>
      <c r="O39" s="382" t="s">
        <v>3467</v>
      </c>
      <c r="P39" s="382" t="s">
        <v>3499</v>
      </c>
      <c r="Q39" s="329" t="s">
        <v>1133</v>
      </c>
      <c r="R39" s="329" t="s">
        <v>2280</v>
      </c>
      <c r="S39" s="330">
        <v>3.4000000000000002E-2</v>
      </c>
      <c r="T39" s="329" t="s">
        <v>2299</v>
      </c>
      <c r="Z39" s="330">
        <f>N39</f>
        <v>3.4000000000000002E-2</v>
      </c>
    </row>
    <row r="40" spans="1:26" ht="30" customHeight="1">
      <c r="A40" s="382" t="s">
        <v>2280</v>
      </c>
      <c r="B40" s="382" t="s">
        <v>1992</v>
      </c>
      <c r="C40" s="382" t="s">
        <v>2279</v>
      </c>
      <c r="D40" s="382" t="s">
        <v>1852</v>
      </c>
      <c r="E40" s="382" t="s">
        <v>378</v>
      </c>
      <c r="F40" s="383">
        <f>SUM(Z39:Z39)</f>
        <v>3.4000000000000002E-2</v>
      </c>
      <c r="G40" s="383"/>
      <c r="H40" s="383"/>
      <c r="I40" s="383"/>
      <c r="J40" s="383"/>
      <c r="K40" s="383">
        <f>TRUNC(F40*[4]공량설정_일위대가!B24/100, [4]공량설정_일위대가!C25)</f>
        <v>3.4000000000000002E-2</v>
      </c>
      <c r="L40" s="382" t="s">
        <v>378</v>
      </c>
      <c r="M40" s="383"/>
      <c r="N40" s="383"/>
      <c r="O40" s="383" t="s">
        <v>3467</v>
      </c>
      <c r="P40" s="382" t="s">
        <v>378</v>
      </c>
      <c r="Q40" s="329" t="s">
        <v>1133</v>
      </c>
      <c r="R40" s="329" t="s">
        <v>378</v>
      </c>
      <c r="T40" s="329" t="s">
        <v>2302</v>
      </c>
    </row>
    <row r="41" spans="1:26" ht="30" customHeight="1">
      <c r="A41" s="734" t="s">
        <v>3500</v>
      </c>
      <c r="B41" s="734"/>
      <c r="C41" s="734"/>
      <c r="D41" s="734"/>
      <c r="E41" s="734"/>
      <c r="F41" s="734"/>
      <c r="G41" s="734"/>
      <c r="H41" s="734"/>
      <c r="I41" s="734"/>
      <c r="J41" s="734"/>
      <c r="K41" s="734"/>
      <c r="L41" s="734"/>
      <c r="M41" s="734"/>
      <c r="N41" s="734"/>
      <c r="O41" s="734"/>
      <c r="P41" s="734"/>
    </row>
    <row r="42" spans="1:26" ht="30" customHeight="1">
      <c r="A42" s="382" t="s">
        <v>2305</v>
      </c>
      <c r="B42" s="382" t="s">
        <v>2272</v>
      </c>
      <c r="C42" s="382" t="s">
        <v>2304</v>
      </c>
      <c r="D42" s="382" t="s">
        <v>300</v>
      </c>
      <c r="E42" s="382" t="s">
        <v>1686</v>
      </c>
      <c r="F42" s="383">
        <v>1</v>
      </c>
      <c r="G42" s="383">
        <v>5</v>
      </c>
      <c r="H42" s="383">
        <v>160</v>
      </c>
      <c r="I42" s="383"/>
      <c r="J42" s="383"/>
      <c r="K42" s="383">
        <v>1.05</v>
      </c>
      <c r="L42" s="382" t="s">
        <v>1992</v>
      </c>
      <c r="M42" s="383">
        <f>0.023*(H42+100)/100*(I42+100)/100*(J42+100)/100</f>
        <v>5.9799999999999992E-2</v>
      </c>
      <c r="N42" s="383">
        <f>F42*M42</f>
        <v>5.9799999999999992E-2</v>
      </c>
      <c r="O42" s="382" t="s">
        <v>3467</v>
      </c>
      <c r="P42" s="382" t="s">
        <v>3501</v>
      </c>
      <c r="Q42" s="329" t="s">
        <v>1136</v>
      </c>
      <c r="R42" s="329" t="s">
        <v>2280</v>
      </c>
      <c r="S42" s="330">
        <v>2.3E-2</v>
      </c>
      <c r="T42" s="329" t="s">
        <v>2306</v>
      </c>
      <c r="Z42" s="330">
        <f>N42</f>
        <v>5.9799999999999992E-2</v>
      </c>
    </row>
    <row r="43" spans="1:26" ht="30" customHeight="1">
      <c r="A43" s="382" t="s">
        <v>2280</v>
      </c>
      <c r="B43" s="382" t="s">
        <v>1992</v>
      </c>
      <c r="C43" s="382" t="s">
        <v>2279</v>
      </c>
      <c r="D43" s="382" t="s">
        <v>1852</v>
      </c>
      <c r="E43" s="382" t="s">
        <v>378</v>
      </c>
      <c r="F43" s="383">
        <f>SUM(Z42:Z42)</f>
        <v>5.9799999999999992E-2</v>
      </c>
      <c r="G43" s="383"/>
      <c r="H43" s="383"/>
      <c r="I43" s="383"/>
      <c r="J43" s="383"/>
      <c r="K43" s="383">
        <f>TRUNC(F43*[4]공량설정_일위대가!B26/100, [4]공량설정_일위대가!C27)</f>
        <v>5.9799999999999999E-2</v>
      </c>
      <c r="L43" s="382" t="s">
        <v>378</v>
      </c>
      <c r="M43" s="383"/>
      <c r="N43" s="383"/>
      <c r="O43" s="383" t="s">
        <v>3467</v>
      </c>
      <c r="P43" s="382" t="s">
        <v>378</v>
      </c>
      <c r="Q43" s="329" t="s">
        <v>1136</v>
      </c>
      <c r="R43" s="329" t="s">
        <v>378</v>
      </c>
      <c r="T43" s="329" t="s">
        <v>2309</v>
      </c>
    </row>
    <row r="44" spans="1:26" ht="30" customHeight="1">
      <c r="A44" s="734" t="s">
        <v>3502</v>
      </c>
      <c r="B44" s="734"/>
      <c r="C44" s="734"/>
      <c r="D44" s="734"/>
      <c r="E44" s="734"/>
      <c r="F44" s="734"/>
      <c r="G44" s="734"/>
      <c r="H44" s="734"/>
      <c r="I44" s="734"/>
      <c r="J44" s="734"/>
      <c r="K44" s="734"/>
      <c r="L44" s="734"/>
      <c r="M44" s="734"/>
      <c r="N44" s="734"/>
      <c r="O44" s="734"/>
      <c r="P44" s="734"/>
    </row>
    <row r="45" spans="1:26" ht="30" customHeight="1">
      <c r="A45" s="382" t="s">
        <v>2313</v>
      </c>
      <c r="B45" s="382" t="s">
        <v>2311</v>
      </c>
      <c r="C45" s="382" t="s">
        <v>2312</v>
      </c>
      <c r="D45" s="382" t="s">
        <v>265</v>
      </c>
      <c r="E45" s="382" t="s">
        <v>1692</v>
      </c>
      <c r="F45" s="383">
        <v>1</v>
      </c>
      <c r="G45" s="383">
        <v>0</v>
      </c>
      <c r="H45" s="383"/>
      <c r="I45" s="383"/>
      <c r="J45" s="383"/>
      <c r="K45" s="383">
        <v>1</v>
      </c>
      <c r="L45" s="382" t="s">
        <v>1889</v>
      </c>
      <c r="M45" s="383">
        <f>0.001*(H45+100)/100*(I45+100)/100*(J45+100)/100</f>
        <v>1E-3</v>
      </c>
      <c r="N45" s="383">
        <f>F45*M45</f>
        <v>1E-3</v>
      </c>
      <c r="O45" s="382" t="s">
        <v>3460</v>
      </c>
      <c r="P45" s="382" t="s">
        <v>3503</v>
      </c>
      <c r="Q45" s="329" t="s">
        <v>1138</v>
      </c>
      <c r="R45" s="329" t="s">
        <v>2277</v>
      </c>
      <c r="S45" s="330">
        <v>1E-3</v>
      </c>
      <c r="T45" s="329" t="s">
        <v>2314</v>
      </c>
      <c r="X45" s="330">
        <f>N45</f>
        <v>1E-3</v>
      </c>
    </row>
    <row r="46" spans="1:26" ht="30" customHeight="1">
      <c r="A46" s="382" t="s">
        <v>378</v>
      </c>
      <c r="B46" s="382" t="s">
        <v>378</v>
      </c>
      <c r="C46" s="382" t="s">
        <v>378</v>
      </c>
      <c r="D46" s="382" t="s">
        <v>378</v>
      </c>
      <c r="E46" s="382" t="s">
        <v>378</v>
      </c>
      <c r="F46" s="383"/>
      <c r="G46" s="383"/>
      <c r="H46" s="383"/>
      <c r="I46" s="383"/>
      <c r="J46" s="383"/>
      <c r="K46" s="383"/>
      <c r="L46" s="382" t="s">
        <v>1992</v>
      </c>
      <c r="M46" s="383">
        <f>0.0005*(H45+100)/100*(I45+100)/100*(J45+100)/100</f>
        <v>5.0000000000000001E-4</v>
      </c>
      <c r="N46" s="383">
        <f>F45*M46</f>
        <v>5.0000000000000001E-4</v>
      </c>
      <c r="O46" s="382" t="s">
        <v>3467</v>
      </c>
      <c r="P46" s="382" t="s">
        <v>3504</v>
      </c>
      <c r="Q46" s="329" t="s">
        <v>1138</v>
      </c>
      <c r="R46" s="329" t="s">
        <v>2280</v>
      </c>
      <c r="S46" s="330">
        <v>5.0000000000000001E-4</v>
      </c>
      <c r="T46" s="329" t="s">
        <v>2314</v>
      </c>
      <c r="Z46" s="330">
        <f>N46</f>
        <v>5.0000000000000001E-4</v>
      </c>
    </row>
    <row r="47" spans="1:26" ht="30" customHeight="1">
      <c r="A47" s="382" t="s">
        <v>2277</v>
      </c>
      <c r="B47" s="382" t="s">
        <v>1889</v>
      </c>
      <c r="C47" s="382" t="s">
        <v>378</v>
      </c>
      <c r="D47" s="382" t="s">
        <v>1852</v>
      </c>
      <c r="E47" s="382" t="s">
        <v>378</v>
      </c>
      <c r="F47" s="383">
        <f>SUM(X45:X46)</f>
        <v>1E-3</v>
      </c>
      <c r="G47" s="383"/>
      <c r="H47" s="383"/>
      <c r="I47" s="383"/>
      <c r="J47" s="383"/>
      <c r="K47" s="383">
        <f>TRUNC(F47*[4]공량설정_일위대가!B28/100, [4]공량설정_일위대가!C29)</f>
        <v>1E-3</v>
      </c>
      <c r="L47" s="382" t="s">
        <v>378</v>
      </c>
      <c r="M47" s="383"/>
      <c r="N47" s="383"/>
      <c r="O47" s="383" t="s">
        <v>3460</v>
      </c>
      <c r="P47" s="382" t="s">
        <v>378</v>
      </c>
      <c r="Q47" s="329" t="s">
        <v>1138</v>
      </c>
      <c r="R47" s="329" t="s">
        <v>378</v>
      </c>
      <c r="T47" s="329" t="s">
        <v>2315</v>
      </c>
    </row>
    <row r="48" spans="1:26" ht="30" customHeight="1">
      <c r="A48" s="382" t="s">
        <v>2280</v>
      </c>
      <c r="B48" s="382" t="s">
        <v>1992</v>
      </c>
      <c r="C48" s="382" t="s">
        <v>2279</v>
      </c>
      <c r="D48" s="382" t="s">
        <v>1852</v>
      </c>
      <c r="E48" s="382" t="s">
        <v>378</v>
      </c>
      <c r="F48" s="383">
        <f>SUM(Z45:Z46)</f>
        <v>5.0000000000000001E-4</v>
      </c>
      <c r="G48" s="383"/>
      <c r="H48" s="383"/>
      <c r="I48" s="383"/>
      <c r="J48" s="383"/>
      <c r="K48" s="383">
        <f>TRUNC(F48*[4]공량설정_일위대가!B28/100, [4]공량설정_일위대가!C30)</f>
        <v>5.0000000000000001E-4</v>
      </c>
      <c r="L48" s="382" t="s">
        <v>378</v>
      </c>
      <c r="M48" s="383"/>
      <c r="N48" s="383"/>
      <c r="O48" s="383" t="s">
        <v>3467</v>
      </c>
      <c r="P48" s="382" t="s">
        <v>378</v>
      </c>
      <c r="Q48" s="329" t="s">
        <v>1138</v>
      </c>
      <c r="R48" s="329" t="s">
        <v>378</v>
      </c>
      <c r="T48" s="329" t="s">
        <v>2316</v>
      </c>
    </row>
    <row r="49" spans="1:30" ht="30" customHeight="1">
      <c r="A49" s="734" t="s">
        <v>3505</v>
      </c>
      <c r="B49" s="734"/>
      <c r="C49" s="734"/>
      <c r="D49" s="734"/>
      <c r="E49" s="734"/>
      <c r="F49" s="734"/>
      <c r="G49" s="734"/>
      <c r="H49" s="734"/>
      <c r="I49" s="734"/>
      <c r="J49" s="734"/>
      <c r="K49" s="734"/>
      <c r="L49" s="734"/>
      <c r="M49" s="734"/>
      <c r="N49" s="734"/>
      <c r="O49" s="734"/>
      <c r="P49" s="734"/>
    </row>
    <row r="50" spans="1:30" ht="30" customHeight="1">
      <c r="A50" s="382" t="s">
        <v>2320</v>
      </c>
      <c r="B50" s="382" t="s">
        <v>370</v>
      </c>
      <c r="C50" s="382" t="s">
        <v>2319</v>
      </c>
      <c r="D50" s="382" t="s">
        <v>265</v>
      </c>
      <c r="E50" s="382" t="s">
        <v>1694</v>
      </c>
      <c r="F50" s="383">
        <v>1</v>
      </c>
      <c r="G50" s="383">
        <v>0</v>
      </c>
      <c r="H50" s="383">
        <v>-70</v>
      </c>
      <c r="I50" s="383"/>
      <c r="J50" s="383"/>
      <c r="K50" s="383">
        <v>1</v>
      </c>
      <c r="L50" s="382" t="s">
        <v>1992</v>
      </c>
      <c r="M50" s="383">
        <f>0.27*(H50+100)/100*(I50+100)/100*(J50+100)/100</f>
        <v>8.1000000000000016E-2</v>
      </c>
      <c r="N50" s="383">
        <f>F50*M50</f>
        <v>8.1000000000000016E-2</v>
      </c>
      <c r="O50" s="382" t="s">
        <v>3467</v>
      </c>
      <c r="P50" s="382" t="s">
        <v>3506</v>
      </c>
      <c r="Q50" s="329" t="s">
        <v>1141</v>
      </c>
      <c r="R50" s="329" t="s">
        <v>2280</v>
      </c>
      <c r="S50" s="330">
        <v>0.27</v>
      </c>
      <c r="T50" s="329" t="s">
        <v>2321</v>
      </c>
      <c r="Z50" s="330">
        <f>N50</f>
        <v>8.1000000000000016E-2</v>
      </c>
    </row>
    <row r="51" spans="1:30" ht="30" customHeight="1">
      <c r="A51" s="382" t="s">
        <v>2280</v>
      </c>
      <c r="B51" s="382" t="s">
        <v>1992</v>
      </c>
      <c r="C51" s="382" t="s">
        <v>2279</v>
      </c>
      <c r="D51" s="382" t="s">
        <v>1852</v>
      </c>
      <c r="E51" s="382" t="s">
        <v>378</v>
      </c>
      <c r="F51" s="383">
        <f>SUM(Z50:Z50)</f>
        <v>8.1000000000000016E-2</v>
      </c>
      <c r="G51" s="383"/>
      <c r="H51" s="383"/>
      <c r="I51" s="383"/>
      <c r="J51" s="383"/>
      <c r="K51" s="383">
        <f>TRUNC(F51*[4]공량설정_일위대가!B31/100, [4]공량설정_일위대가!C32)</f>
        <v>8.1000000000000003E-2</v>
      </c>
      <c r="L51" s="382" t="s">
        <v>378</v>
      </c>
      <c r="M51" s="383"/>
      <c r="N51" s="383"/>
      <c r="O51" s="383" t="s">
        <v>3467</v>
      </c>
      <c r="P51" s="382" t="s">
        <v>378</v>
      </c>
      <c r="Q51" s="329" t="s">
        <v>1141</v>
      </c>
      <c r="R51" s="329" t="s">
        <v>378</v>
      </c>
      <c r="T51" s="329" t="s">
        <v>2322</v>
      </c>
    </row>
    <row r="52" spans="1:30" ht="30" customHeight="1">
      <c r="A52" s="734" t="s">
        <v>3507</v>
      </c>
      <c r="B52" s="734"/>
      <c r="C52" s="734"/>
      <c r="D52" s="734"/>
      <c r="E52" s="734"/>
      <c r="F52" s="734"/>
      <c r="G52" s="734"/>
      <c r="H52" s="734"/>
      <c r="I52" s="734"/>
      <c r="J52" s="734"/>
      <c r="K52" s="734"/>
      <c r="L52" s="734"/>
      <c r="M52" s="734"/>
      <c r="N52" s="734"/>
      <c r="O52" s="734"/>
      <c r="P52" s="734"/>
    </row>
    <row r="53" spans="1:30" ht="30" customHeight="1">
      <c r="A53" s="382" t="s">
        <v>2326</v>
      </c>
      <c r="B53" s="382" t="s">
        <v>370</v>
      </c>
      <c r="C53" s="382" t="s">
        <v>2325</v>
      </c>
      <c r="D53" s="382" t="s">
        <v>265</v>
      </c>
      <c r="E53" s="382" t="s">
        <v>1694</v>
      </c>
      <c r="F53" s="383">
        <v>1</v>
      </c>
      <c r="G53" s="383">
        <v>0</v>
      </c>
      <c r="H53" s="383">
        <v>-70</v>
      </c>
      <c r="I53" s="383"/>
      <c r="J53" s="383"/>
      <c r="K53" s="383">
        <v>1</v>
      </c>
      <c r="L53" s="382" t="s">
        <v>1992</v>
      </c>
      <c r="M53" s="383">
        <f>0.2*(H53+100)/100*(I53+100)/100*(J53+100)/100</f>
        <v>0.06</v>
      </c>
      <c r="N53" s="383">
        <f>F53*M53</f>
        <v>0.06</v>
      </c>
      <c r="O53" s="382" t="s">
        <v>3467</v>
      </c>
      <c r="P53" s="382" t="s">
        <v>3508</v>
      </c>
      <c r="Q53" s="329" t="s">
        <v>1144</v>
      </c>
      <c r="R53" s="329" t="s">
        <v>2280</v>
      </c>
      <c r="S53" s="330">
        <v>0.2</v>
      </c>
      <c r="T53" s="329" t="s">
        <v>2327</v>
      </c>
      <c r="Z53" s="330">
        <f>N53</f>
        <v>0.06</v>
      </c>
    </row>
    <row r="54" spans="1:30" ht="30" customHeight="1">
      <c r="A54" s="382" t="s">
        <v>2280</v>
      </c>
      <c r="B54" s="382" t="s">
        <v>1992</v>
      </c>
      <c r="C54" s="382" t="s">
        <v>2279</v>
      </c>
      <c r="D54" s="382" t="s">
        <v>1852</v>
      </c>
      <c r="E54" s="382" t="s">
        <v>378</v>
      </c>
      <c r="F54" s="383">
        <f>SUM(Z53:Z53)</f>
        <v>0.06</v>
      </c>
      <c r="G54" s="383"/>
      <c r="H54" s="383"/>
      <c r="I54" s="383"/>
      <c r="J54" s="383"/>
      <c r="K54" s="383">
        <f>TRUNC(F54*[4]공량설정_일위대가!B33/100, [4]공량설정_일위대가!C34)</f>
        <v>0.06</v>
      </c>
      <c r="L54" s="382" t="s">
        <v>378</v>
      </c>
      <c r="M54" s="383"/>
      <c r="N54" s="383"/>
      <c r="O54" s="383" t="s">
        <v>3467</v>
      </c>
      <c r="P54" s="382" t="s">
        <v>378</v>
      </c>
      <c r="Q54" s="329" t="s">
        <v>1144</v>
      </c>
      <c r="R54" s="329" t="s">
        <v>378</v>
      </c>
      <c r="T54" s="329" t="s">
        <v>2329</v>
      </c>
    </row>
    <row r="55" spans="1:30" ht="30" customHeight="1">
      <c r="A55" s="734" t="s">
        <v>3509</v>
      </c>
      <c r="B55" s="734"/>
      <c r="C55" s="734"/>
      <c r="D55" s="734"/>
      <c r="E55" s="734"/>
      <c r="F55" s="734"/>
      <c r="G55" s="734"/>
      <c r="H55" s="734"/>
      <c r="I55" s="734"/>
      <c r="J55" s="734"/>
      <c r="K55" s="734"/>
      <c r="L55" s="734"/>
      <c r="M55" s="734"/>
      <c r="N55" s="734"/>
      <c r="O55" s="734"/>
      <c r="P55" s="734"/>
    </row>
    <row r="56" spans="1:30" ht="30" customHeight="1">
      <c r="A56" s="382" t="s">
        <v>2332</v>
      </c>
      <c r="B56" s="382" t="s">
        <v>370</v>
      </c>
      <c r="C56" s="382" t="s">
        <v>2331</v>
      </c>
      <c r="D56" s="382" t="s">
        <v>265</v>
      </c>
      <c r="E56" s="382" t="s">
        <v>1694</v>
      </c>
      <c r="F56" s="383">
        <v>1</v>
      </c>
      <c r="G56" s="383">
        <v>0</v>
      </c>
      <c r="H56" s="383">
        <v>-70</v>
      </c>
      <c r="I56" s="383"/>
      <c r="J56" s="383"/>
      <c r="K56" s="383">
        <v>1</v>
      </c>
      <c r="L56" s="382" t="s">
        <v>1992</v>
      </c>
      <c r="M56" s="383">
        <f>0.4*(H56+100)/100*(I56+100)/100*(J56+100)/100</f>
        <v>0.12</v>
      </c>
      <c r="N56" s="383">
        <f>F56*M56</f>
        <v>0.12</v>
      </c>
      <c r="O56" s="382" t="s">
        <v>3467</v>
      </c>
      <c r="P56" s="382" t="s">
        <v>3510</v>
      </c>
      <c r="Q56" s="329" t="s">
        <v>1147</v>
      </c>
      <c r="R56" s="329" t="s">
        <v>2280</v>
      </c>
      <c r="S56" s="330">
        <v>0.4</v>
      </c>
      <c r="T56" s="329" t="s">
        <v>2333</v>
      </c>
      <c r="Z56" s="330">
        <f>N56</f>
        <v>0.12</v>
      </c>
    </row>
    <row r="57" spans="1:30" ht="30" customHeight="1">
      <c r="A57" s="382" t="s">
        <v>2280</v>
      </c>
      <c r="B57" s="382" t="s">
        <v>1992</v>
      </c>
      <c r="C57" s="382" t="s">
        <v>2279</v>
      </c>
      <c r="D57" s="382" t="s">
        <v>1852</v>
      </c>
      <c r="E57" s="382" t="s">
        <v>378</v>
      </c>
      <c r="F57" s="383">
        <f>SUM(Z56:Z56)</f>
        <v>0.12</v>
      </c>
      <c r="G57" s="383"/>
      <c r="H57" s="383"/>
      <c r="I57" s="383"/>
      <c r="J57" s="383"/>
      <c r="K57" s="383">
        <f>TRUNC(F57*[4]공량설정_일위대가!B35/100, [4]공량설정_일위대가!C36)</f>
        <v>0.12</v>
      </c>
      <c r="L57" s="382" t="s">
        <v>378</v>
      </c>
      <c r="M57" s="383"/>
      <c r="N57" s="383"/>
      <c r="O57" s="383" t="s">
        <v>3467</v>
      </c>
      <c r="P57" s="382" t="s">
        <v>378</v>
      </c>
      <c r="Q57" s="329" t="s">
        <v>1147</v>
      </c>
      <c r="R57" s="329" t="s">
        <v>378</v>
      </c>
      <c r="T57" s="329" t="s">
        <v>2334</v>
      </c>
    </row>
    <row r="58" spans="1:30" ht="30" customHeight="1">
      <c r="A58" s="734" t="s">
        <v>3511</v>
      </c>
      <c r="B58" s="734"/>
      <c r="C58" s="734"/>
      <c r="D58" s="734"/>
      <c r="E58" s="734"/>
      <c r="F58" s="734"/>
      <c r="G58" s="734"/>
      <c r="H58" s="734"/>
      <c r="I58" s="734"/>
      <c r="J58" s="734"/>
      <c r="K58" s="734"/>
      <c r="L58" s="734"/>
      <c r="M58" s="734"/>
      <c r="N58" s="734"/>
      <c r="O58" s="734"/>
      <c r="P58" s="734"/>
    </row>
    <row r="59" spans="1:30" ht="30" customHeight="1">
      <c r="A59" s="382" t="s">
        <v>2338</v>
      </c>
      <c r="B59" s="382" t="s">
        <v>370</v>
      </c>
      <c r="C59" s="382" t="s">
        <v>2337</v>
      </c>
      <c r="D59" s="382" t="s">
        <v>265</v>
      </c>
      <c r="E59" s="382" t="s">
        <v>1694</v>
      </c>
      <c r="F59" s="383">
        <v>1</v>
      </c>
      <c r="G59" s="383">
        <v>0</v>
      </c>
      <c r="H59" s="383">
        <v>-70</v>
      </c>
      <c r="I59" s="383"/>
      <c r="J59" s="383"/>
      <c r="K59" s="383">
        <v>1</v>
      </c>
      <c r="L59" s="382" t="s">
        <v>1992</v>
      </c>
      <c r="M59" s="383">
        <f>0.68*(H59+100)/100*(I59+100)/100*(J59+100)/100</f>
        <v>0.20400000000000001</v>
      </c>
      <c r="N59" s="383">
        <f>F59*M59</f>
        <v>0.20400000000000001</v>
      </c>
      <c r="O59" s="382" t="s">
        <v>3467</v>
      </c>
      <c r="P59" s="382" t="s">
        <v>3512</v>
      </c>
      <c r="Q59" s="329" t="s">
        <v>1150</v>
      </c>
      <c r="R59" s="329" t="s">
        <v>2280</v>
      </c>
      <c r="S59" s="330">
        <v>0.68</v>
      </c>
      <c r="T59" s="329" t="s">
        <v>2339</v>
      </c>
      <c r="Z59" s="330">
        <f>N59</f>
        <v>0.20400000000000001</v>
      </c>
    </row>
    <row r="60" spans="1:30" ht="30" customHeight="1">
      <c r="A60" s="382" t="s">
        <v>2280</v>
      </c>
      <c r="B60" s="382" t="s">
        <v>1992</v>
      </c>
      <c r="C60" s="382" t="s">
        <v>2279</v>
      </c>
      <c r="D60" s="382" t="s">
        <v>1852</v>
      </c>
      <c r="E60" s="382" t="s">
        <v>378</v>
      </c>
      <c r="F60" s="383">
        <f>SUM(Z59:Z59)</f>
        <v>0.20400000000000001</v>
      </c>
      <c r="G60" s="383"/>
      <c r="H60" s="383"/>
      <c r="I60" s="383"/>
      <c r="J60" s="383"/>
      <c r="K60" s="383">
        <f>TRUNC(F60*[4]공량설정_일위대가!B37/100, [4]공량설정_일위대가!C38)</f>
        <v>0.20399999999999999</v>
      </c>
      <c r="L60" s="382" t="s">
        <v>378</v>
      </c>
      <c r="M60" s="383"/>
      <c r="N60" s="383"/>
      <c r="O60" s="383" t="s">
        <v>3467</v>
      </c>
      <c r="P60" s="382" t="s">
        <v>378</v>
      </c>
      <c r="Q60" s="329" t="s">
        <v>1150</v>
      </c>
      <c r="R60" s="329" t="s">
        <v>378</v>
      </c>
      <c r="T60" s="329" t="s">
        <v>2340</v>
      </c>
    </row>
    <row r="61" spans="1:30" ht="30" customHeight="1">
      <c r="A61" s="734" t="s">
        <v>3513</v>
      </c>
      <c r="B61" s="734"/>
      <c r="C61" s="734"/>
      <c r="D61" s="734"/>
      <c r="E61" s="734"/>
      <c r="F61" s="734"/>
      <c r="G61" s="734"/>
      <c r="H61" s="734"/>
      <c r="I61" s="734"/>
      <c r="J61" s="734"/>
      <c r="K61" s="734"/>
      <c r="L61" s="734"/>
      <c r="M61" s="734"/>
      <c r="N61" s="734"/>
      <c r="O61" s="734"/>
      <c r="P61" s="734"/>
    </row>
    <row r="62" spans="1:30" ht="30" customHeight="1">
      <c r="A62" s="382" t="s">
        <v>2344</v>
      </c>
      <c r="B62" s="382" t="s">
        <v>1870</v>
      </c>
      <c r="C62" s="382" t="s">
        <v>2343</v>
      </c>
      <c r="D62" s="382" t="s">
        <v>262</v>
      </c>
      <c r="E62" s="382" t="s">
        <v>1699</v>
      </c>
      <c r="F62" s="383">
        <v>1</v>
      </c>
      <c r="G62" s="383">
        <v>0</v>
      </c>
      <c r="H62" s="383"/>
      <c r="I62" s="383"/>
      <c r="J62" s="383"/>
      <c r="K62" s="383">
        <v>1</v>
      </c>
      <c r="L62" s="382" t="s">
        <v>2356</v>
      </c>
      <c r="M62" s="383">
        <f>0.28*(H62+100)/100*(I62+100)/100*(J62+100)/100</f>
        <v>0.28000000000000003</v>
      </c>
      <c r="N62" s="383">
        <f>F62*M62</f>
        <v>0.28000000000000003</v>
      </c>
      <c r="O62" s="382" t="s">
        <v>3458</v>
      </c>
      <c r="P62" s="382" t="s">
        <v>3514</v>
      </c>
      <c r="Q62" s="329" t="s">
        <v>1153</v>
      </c>
      <c r="R62" s="329" t="s">
        <v>2357</v>
      </c>
      <c r="S62" s="330">
        <v>0.28000000000000003</v>
      </c>
      <c r="T62" s="329" t="s">
        <v>2345</v>
      </c>
      <c r="AB62" s="330">
        <f>N62</f>
        <v>0.28000000000000003</v>
      </c>
    </row>
    <row r="63" spans="1:30" ht="30" customHeight="1">
      <c r="A63" s="382" t="s">
        <v>378</v>
      </c>
      <c r="B63" s="382" t="s">
        <v>378</v>
      </c>
      <c r="C63" s="382" t="s">
        <v>378</v>
      </c>
      <c r="D63" s="382" t="s">
        <v>378</v>
      </c>
      <c r="E63" s="382" t="s">
        <v>378</v>
      </c>
      <c r="F63" s="383"/>
      <c r="G63" s="383"/>
      <c r="H63" s="383"/>
      <c r="I63" s="383"/>
      <c r="J63" s="383"/>
      <c r="K63" s="383"/>
      <c r="L63" s="382" t="s">
        <v>1891</v>
      </c>
      <c r="M63" s="383">
        <f>1.33*(H62+100)/100*(I62+100)/100*(J62+100)/100</f>
        <v>1.33</v>
      </c>
      <c r="N63" s="383">
        <f>F62*M63</f>
        <v>1.33</v>
      </c>
      <c r="O63" s="382" t="s">
        <v>3461</v>
      </c>
      <c r="P63" s="382" t="s">
        <v>3515</v>
      </c>
      <c r="Q63" s="329" t="s">
        <v>1153</v>
      </c>
      <c r="R63" s="329" t="s">
        <v>2359</v>
      </c>
      <c r="S63" s="330">
        <v>1.33</v>
      </c>
      <c r="T63" s="329" t="s">
        <v>2345</v>
      </c>
      <c r="AC63" s="330">
        <f>N63</f>
        <v>1.33</v>
      </c>
    </row>
    <row r="64" spans="1:30" ht="30" customHeight="1">
      <c r="A64" s="382" t="s">
        <v>378</v>
      </c>
      <c r="B64" s="382" t="s">
        <v>378</v>
      </c>
      <c r="C64" s="382" t="s">
        <v>378</v>
      </c>
      <c r="D64" s="382" t="s">
        <v>378</v>
      </c>
      <c r="E64" s="382" t="s">
        <v>378</v>
      </c>
      <c r="F64" s="383"/>
      <c r="G64" s="383"/>
      <c r="H64" s="383"/>
      <c r="I64" s="383"/>
      <c r="J64" s="383"/>
      <c r="K64" s="383"/>
      <c r="L64" s="382" t="s">
        <v>2361</v>
      </c>
      <c r="M64" s="383">
        <f>0.03*(H62+100)/100*(I62+100)/100*(J62+100)/100</f>
        <v>0.03</v>
      </c>
      <c r="N64" s="383">
        <f>F62*M64</f>
        <v>0.03</v>
      </c>
      <c r="O64" s="382" t="s">
        <v>3462</v>
      </c>
      <c r="P64" s="382" t="s">
        <v>3516</v>
      </c>
      <c r="Q64" s="329" t="s">
        <v>1153</v>
      </c>
      <c r="R64" s="329" t="s">
        <v>2362</v>
      </c>
      <c r="S64" s="330">
        <v>0.03</v>
      </c>
      <c r="T64" s="329" t="s">
        <v>2345</v>
      </c>
      <c r="AD64" s="330">
        <f>N64</f>
        <v>0.03</v>
      </c>
    </row>
    <row r="65" spans="1:31" ht="30" customHeight="1">
      <c r="A65" s="382" t="s">
        <v>2357</v>
      </c>
      <c r="B65" s="382" t="s">
        <v>2356</v>
      </c>
      <c r="C65" s="382" t="s">
        <v>2279</v>
      </c>
      <c r="D65" s="382" t="s">
        <v>1852</v>
      </c>
      <c r="E65" s="382" t="s">
        <v>378</v>
      </c>
      <c r="F65" s="383">
        <f>SUM(AB62:AB64)</f>
        <v>0.28000000000000003</v>
      </c>
      <c r="G65" s="383"/>
      <c r="H65" s="383"/>
      <c r="I65" s="383"/>
      <c r="J65" s="383"/>
      <c r="K65" s="383">
        <f>TRUNC(F65*[4]공량설정_일위대가!B39/100, [4]공량설정_일위대가!C40)</f>
        <v>0.28000000000000003</v>
      </c>
      <c r="L65" s="382" t="s">
        <v>378</v>
      </c>
      <c r="M65" s="383"/>
      <c r="N65" s="383"/>
      <c r="O65" s="383" t="s">
        <v>3458</v>
      </c>
      <c r="P65" s="382" t="s">
        <v>378</v>
      </c>
      <c r="Q65" s="329" t="s">
        <v>1153</v>
      </c>
      <c r="R65" s="329" t="s">
        <v>378</v>
      </c>
      <c r="T65" s="329" t="s">
        <v>2358</v>
      </c>
    </row>
    <row r="66" spans="1:31" ht="30" customHeight="1">
      <c r="A66" s="382" t="s">
        <v>2359</v>
      </c>
      <c r="B66" s="382" t="s">
        <v>1891</v>
      </c>
      <c r="C66" s="382" t="s">
        <v>2279</v>
      </c>
      <c r="D66" s="382" t="s">
        <v>1852</v>
      </c>
      <c r="E66" s="382" t="s">
        <v>378</v>
      </c>
      <c r="F66" s="383">
        <f>SUM(AC62:AC64)</f>
        <v>1.33</v>
      </c>
      <c r="G66" s="383"/>
      <c r="H66" s="383"/>
      <c r="I66" s="383"/>
      <c r="J66" s="383"/>
      <c r="K66" s="383">
        <f>TRUNC(F66*[4]공량설정_일위대가!B39/100, [4]공량설정_일위대가!C41)</f>
        <v>1.33</v>
      </c>
      <c r="L66" s="382" t="s">
        <v>378</v>
      </c>
      <c r="M66" s="383"/>
      <c r="N66" s="383"/>
      <c r="O66" s="383" t="s">
        <v>3461</v>
      </c>
      <c r="P66" s="382" t="s">
        <v>378</v>
      </c>
      <c r="Q66" s="329" t="s">
        <v>1153</v>
      </c>
      <c r="R66" s="329" t="s">
        <v>378</v>
      </c>
      <c r="T66" s="329" t="s">
        <v>2360</v>
      </c>
    </row>
    <row r="67" spans="1:31" ht="30" customHeight="1">
      <c r="A67" s="382" t="s">
        <v>2362</v>
      </c>
      <c r="B67" s="382" t="s">
        <v>2361</v>
      </c>
      <c r="C67" s="382" t="s">
        <v>2279</v>
      </c>
      <c r="D67" s="382" t="s">
        <v>1852</v>
      </c>
      <c r="E67" s="382" t="s">
        <v>378</v>
      </c>
      <c r="F67" s="383">
        <f>SUM(AD62:AD64)</f>
        <v>0.03</v>
      </c>
      <c r="G67" s="383"/>
      <c r="H67" s="383"/>
      <c r="I67" s="383"/>
      <c r="J67" s="383"/>
      <c r="K67" s="383">
        <f>TRUNC(F67*[4]공량설정_일위대가!B39/100, [4]공량설정_일위대가!C42)</f>
        <v>0.03</v>
      </c>
      <c r="L67" s="382" t="s">
        <v>378</v>
      </c>
      <c r="M67" s="383"/>
      <c r="N67" s="383"/>
      <c r="O67" s="383" t="s">
        <v>3462</v>
      </c>
      <c r="P67" s="382" t="s">
        <v>378</v>
      </c>
      <c r="Q67" s="329" t="s">
        <v>1153</v>
      </c>
      <c r="R67" s="329" t="s">
        <v>378</v>
      </c>
      <c r="T67" s="329" t="s">
        <v>2363</v>
      </c>
    </row>
    <row r="68" spans="1:31" ht="30" customHeight="1">
      <c r="A68" s="734" t="s">
        <v>3517</v>
      </c>
      <c r="B68" s="734"/>
      <c r="C68" s="734"/>
      <c r="D68" s="734"/>
      <c r="E68" s="734"/>
      <c r="F68" s="734"/>
      <c r="G68" s="734"/>
      <c r="H68" s="734"/>
      <c r="I68" s="734"/>
      <c r="J68" s="734"/>
      <c r="K68" s="734"/>
      <c r="L68" s="734"/>
      <c r="M68" s="734"/>
      <c r="N68" s="734"/>
      <c r="O68" s="734"/>
      <c r="P68" s="734"/>
    </row>
    <row r="69" spans="1:31" ht="30" customHeight="1">
      <c r="A69" s="382" t="s">
        <v>2367</v>
      </c>
      <c r="B69" s="382" t="s">
        <v>337</v>
      </c>
      <c r="C69" s="382" t="s">
        <v>2366</v>
      </c>
      <c r="D69" s="382" t="s">
        <v>265</v>
      </c>
      <c r="E69" s="382" t="s">
        <v>1678</v>
      </c>
      <c r="F69" s="383">
        <v>3</v>
      </c>
      <c r="G69" s="383">
        <v>0</v>
      </c>
      <c r="H69" s="383"/>
      <c r="I69" s="383"/>
      <c r="J69" s="383"/>
      <c r="K69" s="383">
        <v>3</v>
      </c>
      <c r="L69" s="382" t="s">
        <v>1889</v>
      </c>
      <c r="M69" s="383">
        <f>0.0666*(H69+100)/100*(I69+100)/100*(J69+100)/100</f>
        <v>6.6600000000000006E-2</v>
      </c>
      <c r="N69" s="383">
        <f>F69*M69</f>
        <v>0.19980000000000003</v>
      </c>
      <c r="O69" s="382" t="s">
        <v>3460</v>
      </c>
      <c r="P69" s="382" t="s">
        <v>3518</v>
      </c>
      <c r="Q69" s="329" t="s">
        <v>1156</v>
      </c>
      <c r="R69" s="329" t="s">
        <v>2277</v>
      </c>
      <c r="S69" s="330">
        <v>6.6600000000000006E-2</v>
      </c>
      <c r="T69" s="329" t="s">
        <v>2368</v>
      </c>
      <c r="X69" s="330">
        <f>N69</f>
        <v>0.19980000000000003</v>
      </c>
    </row>
    <row r="70" spans="1:31" ht="30" customHeight="1">
      <c r="A70" s="382" t="s">
        <v>378</v>
      </c>
      <c r="B70" s="382" t="s">
        <v>378</v>
      </c>
      <c r="C70" s="382" t="s">
        <v>378</v>
      </c>
      <c r="D70" s="382" t="s">
        <v>378</v>
      </c>
      <c r="E70" s="382" t="s">
        <v>378</v>
      </c>
      <c r="F70" s="383"/>
      <c r="G70" s="383"/>
      <c r="H70" s="383"/>
      <c r="I70" s="383"/>
      <c r="J70" s="383"/>
      <c r="K70" s="383"/>
      <c r="L70" s="382" t="s">
        <v>1851</v>
      </c>
      <c r="M70" s="383">
        <f>0.08*(H69+100)/100*(I69+100)/100*(J69+100)/100</f>
        <v>0.08</v>
      </c>
      <c r="N70" s="383">
        <f>F69*M70</f>
        <v>0.24</v>
      </c>
      <c r="O70" s="382" t="s">
        <v>3466</v>
      </c>
      <c r="P70" s="382" t="s">
        <v>3519</v>
      </c>
      <c r="Q70" s="329" t="s">
        <v>1156</v>
      </c>
      <c r="R70" s="329" t="s">
        <v>2222</v>
      </c>
      <c r="S70" s="330">
        <v>0.08</v>
      </c>
      <c r="T70" s="329" t="s">
        <v>2368</v>
      </c>
      <c r="V70" s="330">
        <f>N70</f>
        <v>0.24</v>
      </c>
    </row>
    <row r="71" spans="1:31" ht="30" customHeight="1">
      <c r="A71" s="382" t="s">
        <v>2267</v>
      </c>
      <c r="B71" s="382" t="s">
        <v>2237</v>
      </c>
      <c r="C71" s="382" t="s">
        <v>2266</v>
      </c>
      <c r="D71" s="382" t="s">
        <v>300</v>
      </c>
      <c r="E71" s="382" t="s">
        <v>1678</v>
      </c>
      <c r="F71" s="383">
        <v>6</v>
      </c>
      <c r="G71" s="383">
        <v>10</v>
      </c>
      <c r="H71" s="383"/>
      <c r="I71" s="383"/>
      <c r="J71" s="383"/>
      <c r="K71" s="383">
        <v>6.6</v>
      </c>
      <c r="L71" s="382" t="s">
        <v>1851</v>
      </c>
      <c r="M71" s="383">
        <f>0.014*(H71+100)/100*(I71+100)/100*(J71+100)/100</f>
        <v>1.4000000000000002E-2</v>
      </c>
      <c r="N71" s="383">
        <f>F71*M71</f>
        <v>8.4000000000000019E-2</v>
      </c>
      <c r="O71" s="382" t="s">
        <v>3466</v>
      </c>
      <c r="P71" s="382" t="s">
        <v>3520</v>
      </c>
      <c r="Q71" s="329" t="s">
        <v>1156</v>
      </c>
      <c r="R71" s="329" t="s">
        <v>2222</v>
      </c>
      <c r="S71" s="330">
        <v>1.4E-2</v>
      </c>
      <c r="T71" s="329" t="s">
        <v>2373</v>
      </c>
      <c r="V71" s="330">
        <f>N71</f>
        <v>8.4000000000000019E-2</v>
      </c>
    </row>
    <row r="72" spans="1:31" ht="30" customHeight="1">
      <c r="A72" s="382" t="s">
        <v>2277</v>
      </c>
      <c r="B72" s="382" t="s">
        <v>1889</v>
      </c>
      <c r="C72" s="382" t="s">
        <v>378</v>
      </c>
      <c r="D72" s="382" t="s">
        <v>1852</v>
      </c>
      <c r="E72" s="382" t="s">
        <v>378</v>
      </c>
      <c r="F72" s="383">
        <f>SUM(X69:X71)</f>
        <v>0.19980000000000003</v>
      </c>
      <c r="G72" s="383"/>
      <c r="H72" s="383"/>
      <c r="I72" s="383"/>
      <c r="J72" s="383"/>
      <c r="K72" s="383">
        <f>TRUNC(F72*[4]공량설정_일위대가!B43/100, [4]공량설정_일위대가!C44)</f>
        <v>0.19980000000000001</v>
      </c>
      <c r="L72" s="382" t="s">
        <v>378</v>
      </c>
      <c r="M72" s="383"/>
      <c r="N72" s="383"/>
      <c r="O72" s="383" t="s">
        <v>3460</v>
      </c>
      <c r="P72" s="382" t="s">
        <v>378</v>
      </c>
      <c r="Q72" s="329" t="s">
        <v>1156</v>
      </c>
      <c r="R72" s="329" t="s">
        <v>378</v>
      </c>
      <c r="T72" s="329" t="s">
        <v>2380</v>
      </c>
    </row>
    <row r="73" spans="1:31" ht="30" customHeight="1">
      <c r="A73" s="382" t="s">
        <v>2222</v>
      </c>
      <c r="B73" s="382" t="s">
        <v>1851</v>
      </c>
      <c r="C73" s="382" t="s">
        <v>2221</v>
      </c>
      <c r="D73" s="382" t="s">
        <v>1852</v>
      </c>
      <c r="E73" s="382" t="s">
        <v>378</v>
      </c>
      <c r="F73" s="383">
        <f>SUM(V69:V71)</f>
        <v>0.32400000000000001</v>
      </c>
      <c r="G73" s="383"/>
      <c r="H73" s="383"/>
      <c r="I73" s="383"/>
      <c r="J73" s="383"/>
      <c r="K73" s="383">
        <f>TRUNC(F73*[4]공량설정_일위대가!B43/100, [4]공량설정_일위대가!C45)</f>
        <v>0.32400000000000001</v>
      </c>
      <c r="L73" s="382" t="s">
        <v>378</v>
      </c>
      <c r="M73" s="383"/>
      <c r="N73" s="383"/>
      <c r="O73" s="383" t="s">
        <v>3466</v>
      </c>
      <c r="P73" s="382" t="s">
        <v>378</v>
      </c>
      <c r="Q73" s="329" t="s">
        <v>1156</v>
      </c>
      <c r="R73" s="329" t="s">
        <v>378</v>
      </c>
      <c r="T73" s="329" t="s">
        <v>2381</v>
      </c>
    </row>
    <row r="74" spans="1:31" ht="30" customHeight="1">
      <c r="A74" s="735" t="s">
        <v>3521</v>
      </c>
      <c r="B74" s="735"/>
      <c r="C74" s="735"/>
      <c r="D74" s="735"/>
      <c r="E74" s="735"/>
      <c r="F74" s="735"/>
      <c r="G74" s="735"/>
      <c r="H74" s="735"/>
      <c r="I74" s="735"/>
      <c r="J74" s="735"/>
      <c r="K74" s="735"/>
      <c r="L74" s="735"/>
      <c r="M74" s="735"/>
      <c r="N74" s="735"/>
      <c r="O74" s="735"/>
      <c r="P74" s="735"/>
    </row>
    <row r="75" spans="1:31" ht="30" customHeight="1">
      <c r="A75" s="384" t="s">
        <v>2387</v>
      </c>
      <c r="B75" s="384" t="s">
        <v>2385</v>
      </c>
      <c r="C75" s="384" t="s">
        <v>2386</v>
      </c>
      <c r="D75" s="384" t="s">
        <v>300</v>
      </c>
      <c r="E75" s="384" t="s">
        <v>1702</v>
      </c>
      <c r="F75" s="385">
        <v>1</v>
      </c>
      <c r="G75" s="385"/>
      <c r="H75" s="385"/>
      <c r="I75" s="385"/>
      <c r="J75" s="385"/>
      <c r="K75" s="385">
        <v>1</v>
      </c>
      <c r="L75" s="384" t="s">
        <v>1889</v>
      </c>
      <c r="M75" s="385">
        <f>0.014*(H75+100)/100*(I75+100)/100*(J75+100)/100</f>
        <v>1.4000000000000002E-2</v>
      </c>
      <c r="N75" s="385">
        <f>F75*M75</f>
        <v>1.4000000000000002E-2</v>
      </c>
      <c r="O75" s="384" t="s">
        <v>3460</v>
      </c>
      <c r="P75" s="384" t="s">
        <v>3520</v>
      </c>
      <c r="Q75" s="329" t="s">
        <v>1159</v>
      </c>
      <c r="R75" s="329" t="s">
        <v>2277</v>
      </c>
      <c r="S75" s="330">
        <v>1.4E-2</v>
      </c>
      <c r="T75" s="329" t="s">
        <v>2388</v>
      </c>
      <c r="X75" s="330">
        <f>N75</f>
        <v>1.4000000000000002E-2</v>
      </c>
    </row>
    <row r="76" spans="1:31" ht="30" customHeight="1">
      <c r="A76" s="384" t="s">
        <v>378</v>
      </c>
      <c r="B76" s="384" t="s">
        <v>378</v>
      </c>
      <c r="C76" s="384" t="s">
        <v>378</v>
      </c>
      <c r="D76" s="384" t="s">
        <v>378</v>
      </c>
      <c r="E76" s="384" t="s">
        <v>378</v>
      </c>
      <c r="F76" s="385"/>
      <c r="G76" s="385"/>
      <c r="H76" s="385"/>
      <c r="I76" s="385"/>
      <c r="J76" s="385"/>
      <c r="K76" s="385"/>
      <c r="L76" s="384" t="s">
        <v>2392</v>
      </c>
      <c r="M76" s="385">
        <f>0.006*(H75+100)/100*(I75+100)/100*(J75+100)/100</f>
        <v>6.0000000000000001E-3</v>
      </c>
      <c r="N76" s="385">
        <f>F75*M76</f>
        <v>6.0000000000000001E-3</v>
      </c>
      <c r="O76" s="384" t="s">
        <v>3468</v>
      </c>
      <c r="P76" s="384" t="s">
        <v>3486</v>
      </c>
      <c r="Q76" s="329" t="s">
        <v>1159</v>
      </c>
      <c r="R76" s="329" t="s">
        <v>2393</v>
      </c>
      <c r="S76" s="330">
        <v>6.0000000000000001E-3</v>
      </c>
      <c r="T76" s="329" t="s">
        <v>2388</v>
      </c>
      <c r="AE76" s="330">
        <f>N76</f>
        <v>6.0000000000000001E-3</v>
      </c>
    </row>
    <row r="77" spans="1:31" ht="30" customHeight="1">
      <c r="A77" s="384" t="s">
        <v>2277</v>
      </c>
      <c r="B77" s="384" t="s">
        <v>1889</v>
      </c>
      <c r="C77" s="384" t="s">
        <v>378</v>
      </c>
      <c r="D77" s="384" t="s">
        <v>1852</v>
      </c>
      <c r="E77" s="384" t="s">
        <v>378</v>
      </c>
      <c r="F77" s="385">
        <f>SUM(X75:X76)</f>
        <v>1.4000000000000002E-2</v>
      </c>
      <c r="G77" s="385"/>
      <c r="H77" s="385"/>
      <c r="I77" s="385"/>
      <c r="J77" s="385"/>
      <c r="K77" s="385">
        <f>TRUNC(F77*[4]공량설정_일위대가!B47/100, [4]공량설정_일위대가!C48)</f>
        <v>1.4E-2</v>
      </c>
      <c r="L77" s="384" t="s">
        <v>378</v>
      </c>
      <c r="M77" s="385"/>
      <c r="N77" s="385"/>
      <c r="O77" s="385" t="s">
        <v>3460</v>
      </c>
      <c r="P77" s="384" t="s">
        <v>378</v>
      </c>
      <c r="Q77" s="329" t="s">
        <v>1159</v>
      </c>
      <c r="R77" s="329" t="s">
        <v>378</v>
      </c>
      <c r="T77" s="329" t="s">
        <v>2391</v>
      </c>
    </row>
    <row r="78" spans="1:31" ht="30" customHeight="1">
      <c r="A78" s="384" t="s">
        <v>2393</v>
      </c>
      <c r="B78" s="384" t="s">
        <v>2392</v>
      </c>
      <c r="C78" s="384" t="s">
        <v>2279</v>
      </c>
      <c r="D78" s="384" t="s">
        <v>1852</v>
      </c>
      <c r="E78" s="384" t="s">
        <v>378</v>
      </c>
      <c r="F78" s="385">
        <f>SUM(AE75:AE76)</f>
        <v>6.0000000000000001E-3</v>
      </c>
      <c r="G78" s="385"/>
      <c r="H78" s="385"/>
      <c r="I78" s="385"/>
      <c r="J78" s="385"/>
      <c r="K78" s="385">
        <f>TRUNC(F78*[4]공량설정_일위대가!B47/100, [4]공량설정_일위대가!C49)</f>
        <v>6.0000000000000001E-3</v>
      </c>
      <c r="L78" s="384" t="s">
        <v>378</v>
      </c>
      <c r="M78" s="385"/>
      <c r="N78" s="385"/>
      <c r="O78" s="385" t="s">
        <v>3468</v>
      </c>
      <c r="P78" s="384" t="s">
        <v>378</v>
      </c>
      <c r="Q78" s="329" t="s">
        <v>1159</v>
      </c>
      <c r="R78" s="329" t="s">
        <v>378</v>
      </c>
      <c r="T78" s="329" t="s">
        <v>2394</v>
      </c>
    </row>
    <row r="79" spans="1:31" ht="30" customHeight="1">
      <c r="A79" s="734" t="s">
        <v>3522</v>
      </c>
      <c r="B79" s="734"/>
      <c r="C79" s="734"/>
      <c r="D79" s="734"/>
      <c r="E79" s="734"/>
      <c r="F79" s="734"/>
      <c r="G79" s="734"/>
      <c r="H79" s="734"/>
      <c r="I79" s="734"/>
      <c r="J79" s="734"/>
      <c r="K79" s="734"/>
      <c r="L79" s="734"/>
      <c r="M79" s="734"/>
      <c r="N79" s="734"/>
      <c r="O79" s="734"/>
      <c r="P79" s="734"/>
    </row>
    <row r="80" spans="1:31" ht="30" customHeight="1">
      <c r="A80" s="382" t="s">
        <v>2399</v>
      </c>
      <c r="B80" s="382" t="s">
        <v>2385</v>
      </c>
      <c r="C80" s="382" t="s">
        <v>2398</v>
      </c>
      <c r="D80" s="382" t="s">
        <v>300</v>
      </c>
      <c r="E80" s="382" t="s">
        <v>1702</v>
      </c>
      <c r="F80" s="383">
        <v>1</v>
      </c>
      <c r="G80" s="383">
        <v>3</v>
      </c>
      <c r="H80" s="383"/>
      <c r="I80" s="383"/>
      <c r="J80" s="383"/>
      <c r="K80" s="383">
        <v>1.03</v>
      </c>
      <c r="L80" s="382" t="s">
        <v>1889</v>
      </c>
      <c r="M80" s="383">
        <f>0.018*(H80+100)/100*(I80+100)/100*(J80+100)/100</f>
        <v>1.7999999999999999E-2</v>
      </c>
      <c r="N80" s="383">
        <f>F80*M80</f>
        <v>1.7999999999999999E-2</v>
      </c>
      <c r="O80" s="382" t="s">
        <v>3460</v>
      </c>
      <c r="P80" s="382" t="s">
        <v>3523</v>
      </c>
      <c r="Q80" s="329" t="s">
        <v>1161</v>
      </c>
      <c r="R80" s="329" t="s">
        <v>2277</v>
      </c>
      <c r="S80" s="330">
        <v>1.7999999999999999E-2</v>
      </c>
      <c r="T80" s="329" t="s">
        <v>2400</v>
      </c>
      <c r="X80" s="330">
        <f>N80</f>
        <v>1.7999999999999999E-2</v>
      </c>
    </row>
    <row r="81" spans="1:31" ht="30" customHeight="1">
      <c r="A81" s="382" t="s">
        <v>378</v>
      </c>
      <c r="B81" s="382" t="s">
        <v>378</v>
      </c>
      <c r="C81" s="382" t="s">
        <v>378</v>
      </c>
      <c r="D81" s="382" t="s">
        <v>378</v>
      </c>
      <c r="E81" s="382" t="s">
        <v>378</v>
      </c>
      <c r="F81" s="383"/>
      <c r="G81" s="383"/>
      <c r="H81" s="383"/>
      <c r="I81" s="383"/>
      <c r="J81" s="383"/>
      <c r="K81" s="383"/>
      <c r="L81" s="382" t="s">
        <v>2392</v>
      </c>
      <c r="M81" s="383">
        <f>0.007*(H80+100)/100*(I80+100)/100*(J80+100)/100</f>
        <v>7.000000000000001E-3</v>
      </c>
      <c r="N81" s="383">
        <f>F80*M81</f>
        <v>7.000000000000001E-3</v>
      </c>
      <c r="O81" s="382" t="s">
        <v>3468</v>
      </c>
      <c r="P81" s="382" t="s">
        <v>3524</v>
      </c>
      <c r="Q81" s="329" t="s">
        <v>1161</v>
      </c>
      <c r="R81" s="329" t="s">
        <v>2393</v>
      </c>
      <c r="S81" s="330">
        <v>7.0000000000000001E-3</v>
      </c>
      <c r="T81" s="329" t="s">
        <v>2400</v>
      </c>
      <c r="AE81" s="330">
        <f>N81</f>
        <v>7.000000000000001E-3</v>
      </c>
    </row>
    <row r="82" spans="1:31" ht="30" customHeight="1">
      <c r="A82" s="382" t="s">
        <v>2277</v>
      </c>
      <c r="B82" s="382" t="s">
        <v>1889</v>
      </c>
      <c r="C82" s="382" t="s">
        <v>378</v>
      </c>
      <c r="D82" s="382" t="s">
        <v>1852</v>
      </c>
      <c r="E82" s="382" t="s">
        <v>378</v>
      </c>
      <c r="F82" s="383">
        <f>SUM(X80:X81)</f>
        <v>1.7999999999999999E-2</v>
      </c>
      <c r="G82" s="383"/>
      <c r="H82" s="383"/>
      <c r="I82" s="383"/>
      <c r="J82" s="383"/>
      <c r="K82" s="383">
        <f>TRUNC(F82*[4]공량설정_일위대가!B50/100, [4]공량설정_일위대가!C51)</f>
        <v>1.7999999999999999E-2</v>
      </c>
      <c r="L82" s="382" t="s">
        <v>378</v>
      </c>
      <c r="M82" s="383"/>
      <c r="N82" s="383"/>
      <c r="O82" s="383" t="s">
        <v>3460</v>
      </c>
      <c r="P82" s="382" t="s">
        <v>378</v>
      </c>
      <c r="Q82" s="329" t="s">
        <v>1161</v>
      </c>
      <c r="R82" s="329" t="s">
        <v>378</v>
      </c>
      <c r="T82" s="329" t="s">
        <v>2403</v>
      </c>
    </row>
    <row r="83" spans="1:31" ht="30" customHeight="1">
      <c r="A83" s="382" t="s">
        <v>2393</v>
      </c>
      <c r="B83" s="382" t="s">
        <v>2392</v>
      </c>
      <c r="C83" s="382" t="s">
        <v>2279</v>
      </c>
      <c r="D83" s="382" t="s">
        <v>1852</v>
      </c>
      <c r="E83" s="382" t="s">
        <v>378</v>
      </c>
      <c r="F83" s="383">
        <f>SUM(AE80:AE81)</f>
        <v>7.000000000000001E-3</v>
      </c>
      <c r="G83" s="383"/>
      <c r="H83" s="383"/>
      <c r="I83" s="383"/>
      <c r="J83" s="383"/>
      <c r="K83" s="383">
        <f>TRUNC(F83*[4]공량설정_일위대가!B50/100, [4]공량설정_일위대가!C52)</f>
        <v>7.0000000000000001E-3</v>
      </c>
      <c r="L83" s="382" t="s">
        <v>378</v>
      </c>
      <c r="M83" s="383"/>
      <c r="N83" s="383"/>
      <c r="O83" s="383" t="s">
        <v>3468</v>
      </c>
      <c r="P83" s="382" t="s">
        <v>378</v>
      </c>
      <c r="Q83" s="329" t="s">
        <v>1161</v>
      </c>
      <c r="R83" s="329" t="s">
        <v>378</v>
      </c>
      <c r="T83" s="329" t="s">
        <v>2404</v>
      </c>
    </row>
    <row r="84" spans="1:31" ht="30" customHeight="1">
      <c r="A84" s="734" t="s">
        <v>3525</v>
      </c>
      <c r="B84" s="734"/>
      <c r="C84" s="734"/>
      <c r="D84" s="734"/>
      <c r="E84" s="734"/>
      <c r="F84" s="734"/>
      <c r="G84" s="734"/>
      <c r="H84" s="734"/>
      <c r="I84" s="734"/>
      <c r="J84" s="734"/>
      <c r="K84" s="734"/>
      <c r="L84" s="734"/>
      <c r="M84" s="734"/>
      <c r="N84" s="734"/>
      <c r="O84" s="734"/>
      <c r="P84" s="734"/>
    </row>
    <row r="85" spans="1:31" ht="30" customHeight="1">
      <c r="A85" s="382" t="s">
        <v>2408</v>
      </c>
      <c r="B85" s="382" t="s">
        <v>2385</v>
      </c>
      <c r="C85" s="382" t="s">
        <v>2407</v>
      </c>
      <c r="D85" s="382" t="s">
        <v>300</v>
      </c>
      <c r="E85" s="382" t="s">
        <v>1702</v>
      </c>
      <c r="F85" s="383">
        <v>1</v>
      </c>
      <c r="G85" s="383">
        <v>3</v>
      </c>
      <c r="H85" s="383"/>
      <c r="I85" s="383"/>
      <c r="J85" s="383"/>
      <c r="K85" s="383">
        <v>1.03</v>
      </c>
      <c r="L85" s="382" t="s">
        <v>1889</v>
      </c>
      <c r="M85" s="383">
        <f>0.018*(H85+100)/100*(I85+100)/100*(J85+100)/100</f>
        <v>1.7999999999999999E-2</v>
      </c>
      <c r="N85" s="383">
        <f>F85*M85</f>
        <v>1.7999999999999999E-2</v>
      </c>
      <c r="O85" s="382" t="s">
        <v>3460</v>
      </c>
      <c r="P85" s="382" t="s">
        <v>3523</v>
      </c>
      <c r="Q85" s="329" t="s">
        <v>1164</v>
      </c>
      <c r="R85" s="329" t="s">
        <v>2277</v>
      </c>
      <c r="S85" s="330">
        <v>1.7999999999999999E-2</v>
      </c>
      <c r="T85" s="329" t="s">
        <v>2409</v>
      </c>
      <c r="X85" s="330">
        <f>N85</f>
        <v>1.7999999999999999E-2</v>
      </c>
    </row>
    <row r="86" spans="1:31" ht="30" customHeight="1">
      <c r="A86" s="382" t="s">
        <v>378</v>
      </c>
      <c r="B86" s="382" t="s">
        <v>378</v>
      </c>
      <c r="C86" s="382" t="s">
        <v>378</v>
      </c>
      <c r="D86" s="382" t="s">
        <v>378</v>
      </c>
      <c r="E86" s="382" t="s">
        <v>378</v>
      </c>
      <c r="F86" s="383"/>
      <c r="G86" s="383"/>
      <c r="H86" s="383"/>
      <c r="I86" s="383"/>
      <c r="J86" s="383"/>
      <c r="K86" s="383"/>
      <c r="L86" s="382" t="s">
        <v>2392</v>
      </c>
      <c r="M86" s="383">
        <f>0.007*(H85+100)/100*(I85+100)/100*(J85+100)/100</f>
        <v>7.000000000000001E-3</v>
      </c>
      <c r="N86" s="383">
        <f>F85*M86</f>
        <v>7.000000000000001E-3</v>
      </c>
      <c r="O86" s="382" t="s">
        <v>3468</v>
      </c>
      <c r="P86" s="382" t="s">
        <v>3524</v>
      </c>
      <c r="Q86" s="329" t="s">
        <v>1164</v>
      </c>
      <c r="R86" s="329" t="s">
        <v>2393</v>
      </c>
      <c r="S86" s="330">
        <v>7.0000000000000001E-3</v>
      </c>
      <c r="T86" s="329" t="s">
        <v>2409</v>
      </c>
      <c r="AE86" s="330">
        <f>N86</f>
        <v>7.000000000000001E-3</v>
      </c>
    </row>
    <row r="87" spans="1:31" ht="30" customHeight="1">
      <c r="A87" s="382" t="s">
        <v>2277</v>
      </c>
      <c r="B87" s="382" t="s">
        <v>1889</v>
      </c>
      <c r="C87" s="382" t="s">
        <v>378</v>
      </c>
      <c r="D87" s="382" t="s">
        <v>1852</v>
      </c>
      <c r="E87" s="382" t="s">
        <v>378</v>
      </c>
      <c r="F87" s="383">
        <f>SUM(X85:X86)</f>
        <v>1.7999999999999999E-2</v>
      </c>
      <c r="G87" s="383"/>
      <c r="H87" s="383"/>
      <c r="I87" s="383"/>
      <c r="J87" s="383"/>
      <c r="K87" s="383">
        <f>TRUNC(F87*[4]공량설정_일위대가!B53/100, [4]공량설정_일위대가!C54)</f>
        <v>1.7999999999999999E-2</v>
      </c>
      <c r="L87" s="382" t="s">
        <v>378</v>
      </c>
      <c r="M87" s="383"/>
      <c r="N87" s="383"/>
      <c r="O87" s="383" t="s">
        <v>3460</v>
      </c>
      <c r="P87" s="382" t="s">
        <v>378</v>
      </c>
      <c r="Q87" s="329" t="s">
        <v>1164</v>
      </c>
      <c r="R87" s="329" t="s">
        <v>378</v>
      </c>
      <c r="T87" s="329" t="s">
        <v>2412</v>
      </c>
    </row>
    <row r="88" spans="1:31" ht="30" customHeight="1">
      <c r="A88" s="382" t="s">
        <v>2393</v>
      </c>
      <c r="B88" s="382" t="s">
        <v>2392</v>
      </c>
      <c r="C88" s="382" t="s">
        <v>2279</v>
      </c>
      <c r="D88" s="382" t="s">
        <v>1852</v>
      </c>
      <c r="E88" s="382" t="s">
        <v>378</v>
      </c>
      <c r="F88" s="383">
        <f>SUM(AE85:AE86)</f>
        <v>7.000000000000001E-3</v>
      </c>
      <c r="G88" s="383"/>
      <c r="H88" s="383"/>
      <c r="I88" s="383"/>
      <c r="J88" s="383"/>
      <c r="K88" s="383">
        <f>TRUNC(F88*[4]공량설정_일위대가!B53/100, [4]공량설정_일위대가!C55)</f>
        <v>7.0000000000000001E-3</v>
      </c>
      <c r="L88" s="382" t="s">
        <v>378</v>
      </c>
      <c r="M88" s="383"/>
      <c r="N88" s="383"/>
      <c r="O88" s="383" t="s">
        <v>3468</v>
      </c>
      <c r="P88" s="382" t="s">
        <v>378</v>
      </c>
      <c r="Q88" s="329" t="s">
        <v>1164</v>
      </c>
      <c r="R88" s="329" t="s">
        <v>378</v>
      </c>
      <c r="T88" s="329" t="s">
        <v>2413</v>
      </c>
    </row>
    <row r="89" spans="1:31" ht="30" customHeight="1">
      <c r="A89" s="734" t="s">
        <v>3526</v>
      </c>
      <c r="B89" s="734"/>
      <c r="C89" s="734"/>
      <c r="D89" s="734"/>
      <c r="E89" s="734"/>
      <c r="F89" s="734"/>
      <c r="G89" s="734"/>
      <c r="H89" s="734"/>
      <c r="I89" s="734"/>
      <c r="J89" s="734"/>
      <c r="K89" s="734"/>
      <c r="L89" s="734"/>
      <c r="M89" s="734"/>
      <c r="N89" s="734"/>
      <c r="O89" s="734"/>
      <c r="P89" s="734"/>
    </row>
    <row r="90" spans="1:31" ht="30" customHeight="1">
      <c r="A90" s="382" t="s">
        <v>2416</v>
      </c>
      <c r="B90" s="382" t="s">
        <v>2385</v>
      </c>
      <c r="C90" s="382" t="s">
        <v>2415</v>
      </c>
      <c r="D90" s="382" t="s">
        <v>300</v>
      </c>
      <c r="E90" s="382" t="s">
        <v>1702</v>
      </c>
      <c r="F90" s="383">
        <v>1</v>
      </c>
      <c r="G90" s="383">
        <v>3</v>
      </c>
      <c r="H90" s="383"/>
      <c r="I90" s="383"/>
      <c r="J90" s="383"/>
      <c r="K90" s="383">
        <v>1.03</v>
      </c>
      <c r="L90" s="382" t="s">
        <v>1889</v>
      </c>
      <c r="M90" s="383">
        <f>0.022*(H90+100)/100*(I90+100)/100*(J90+100)/100</f>
        <v>2.1999999999999999E-2</v>
      </c>
      <c r="N90" s="383">
        <f>F90*M90</f>
        <v>2.1999999999999999E-2</v>
      </c>
      <c r="O90" s="382" t="s">
        <v>3460</v>
      </c>
      <c r="P90" s="382" t="s">
        <v>3527</v>
      </c>
      <c r="Q90" s="329" t="s">
        <v>1167</v>
      </c>
      <c r="R90" s="329" t="s">
        <v>2277</v>
      </c>
      <c r="S90" s="330">
        <v>2.1999999999999999E-2</v>
      </c>
      <c r="T90" s="329" t="s">
        <v>2417</v>
      </c>
      <c r="X90" s="330">
        <f>N90</f>
        <v>2.1999999999999999E-2</v>
      </c>
    </row>
    <row r="91" spans="1:31" ht="30" customHeight="1">
      <c r="A91" s="382" t="s">
        <v>378</v>
      </c>
      <c r="B91" s="382" t="s">
        <v>378</v>
      </c>
      <c r="C91" s="382" t="s">
        <v>378</v>
      </c>
      <c r="D91" s="382" t="s">
        <v>378</v>
      </c>
      <c r="E91" s="382" t="s">
        <v>378</v>
      </c>
      <c r="F91" s="383"/>
      <c r="G91" s="383"/>
      <c r="H91" s="383"/>
      <c r="I91" s="383"/>
      <c r="J91" s="383"/>
      <c r="K91" s="383"/>
      <c r="L91" s="382" t="s">
        <v>2392</v>
      </c>
      <c r="M91" s="383">
        <f>0.009*(H90+100)/100*(I90+100)/100*(J90+100)/100</f>
        <v>8.9999999999999993E-3</v>
      </c>
      <c r="N91" s="383">
        <f>F90*M91</f>
        <v>8.9999999999999993E-3</v>
      </c>
      <c r="O91" s="382" t="s">
        <v>3468</v>
      </c>
      <c r="P91" s="382" t="s">
        <v>3528</v>
      </c>
      <c r="Q91" s="329" t="s">
        <v>1167</v>
      </c>
      <c r="R91" s="329" t="s">
        <v>2393</v>
      </c>
      <c r="S91" s="330">
        <v>8.9999999999999993E-3</v>
      </c>
      <c r="T91" s="329" t="s">
        <v>2417</v>
      </c>
      <c r="AE91" s="330">
        <f>N91</f>
        <v>8.9999999999999993E-3</v>
      </c>
    </row>
    <row r="92" spans="1:31" ht="30" customHeight="1">
      <c r="A92" s="382" t="s">
        <v>2277</v>
      </c>
      <c r="B92" s="382" t="s">
        <v>1889</v>
      </c>
      <c r="C92" s="382" t="s">
        <v>378</v>
      </c>
      <c r="D92" s="382" t="s">
        <v>1852</v>
      </c>
      <c r="E92" s="382" t="s">
        <v>378</v>
      </c>
      <c r="F92" s="383">
        <f>SUM(X90:X91)</f>
        <v>2.1999999999999999E-2</v>
      </c>
      <c r="G92" s="383"/>
      <c r="H92" s="383"/>
      <c r="I92" s="383"/>
      <c r="J92" s="383"/>
      <c r="K92" s="383">
        <f>TRUNC(F92*[4]공량설정_일위대가!B56/100, [4]공량설정_일위대가!C57)</f>
        <v>2.1999999999999999E-2</v>
      </c>
      <c r="L92" s="382" t="s">
        <v>378</v>
      </c>
      <c r="M92" s="383"/>
      <c r="N92" s="383"/>
      <c r="O92" s="383" t="s">
        <v>3460</v>
      </c>
      <c r="P92" s="382" t="s">
        <v>378</v>
      </c>
      <c r="Q92" s="329" t="s">
        <v>1167</v>
      </c>
      <c r="R92" s="329" t="s">
        <v>378</v>
      </c>
      <c r="T92" s="329" t="s">
        <v>2420</v>
      </c>
    </row>
    <row r="93" spans="1:31" ht="30" customHeight="1">
      <c r="A93" s="382" t="s">
        <v>2393</v>
      </c>
      <c r="B93" s="382" t="s">
        <v>2392</v>
      </c>
      <c r="C93" s="382" t="s">
        <v>2279</v>
      </c>
      <c r="D93" s="382" t="s">
        <v>1852</v>
      </c>
      <c r="E93" s="382" t="s">
        <v>378</v>
      </c>
      <c r="F93" s="383">
        <f>SUM(AE90:AE91)</f>
        <v>8.9999999999999993E-3</v>
      </c>
      <c r="G93" s="383"/>
      <c r="H93" s="383"/>
      <c r="I93" s="383"/>
      <c r="J93" s="383"/>
      <c r="K93" s="383">
        <f>TRUNC(F93*[4]공량설정_일위대가!B56/100, [4]공량설정_일위대가!C58)</f>
        <v>8.9999999999999993E-3</v>
      </c>
      <c r="L93" s="382" t="s">
        <v>378</v>
      </c>
      <c r="M93" s="383"/>
      <c r="N93" s="383"/>
      <c r="O93" s="383" t="s">
        <v>3468</v>
      </c>
      <c r="P93" s="382" t="s">
        <v>378</v>
      </c>
      <c r="Q93" s="329" t="s">
        <v>1167</v>
      </c>
      <c r="R93" s="329" t="s">
        <v>378</v>
      </c>
      <c r="T93" s="329" t="s">
        <v>2421</v>
      </c>
    </row>
    <row r="94" spans="1:31" ht="30" customHeight="1">
      <c r="A94" s="734" t="s">
        <v>3529</v>
      </c>
      <c r="B94" s="734"/>
      <c r="C94" s="734"/>
      <c r="D94" s="734"/>
      <c r="E94" s="734"/>
      <c r="F94" s="734"/>
      <c r="G94" s="734"/>
      <c r="H94" s="734"/>
      <c r="I94" s="734"/>
      <c r="J94" s="734"/>
      <c r="K94" s="734"/>
      <c r="L94" s="734"/>
      <c r="M94" s="734"/>
      <c r="N94" s="734"/>
      <c r="O94" s="734"/>
      <c r="P94" s="734"/>
    </row>
    <row r="95" spans="1:31" ht="30" customHeight="1">
      <c r="A95" s="382" t="s">
        <v>2425</v>
      </c>
      <c r="B95" s="382" t="s">
        <v>2385</v>
      </c>
      <c r="C95" s="382" t="s">
        <v>2424</v>
      </c>
      <c r="D95" s="382" t="s">
        <v>300</v>
      </c>
      <c r="E95" s="382" t="s">
        <v>1702</v>
      </c>
      <c r="F95" s="383">
        <v>1</v>
      </c>
      <c r="G95" s="383">
        <v>3</v>
      </c>
      <c r="H95" s="383"/>
      <c r="I95" s="383"/>
      <c r="J95" s="383"/>
      <c r="K95" s="383">
        <v>1.03</v>
      </c>
      <c r="L95" s="382" t="s">
        <v>1889</v>
      </c>
      <c r="M95" s="383">
        <f>0.036*(H95+100)/100*(I95+100)/100*(J95+100)/100</f>
        <v>3.5999999999999997E-2</v>
      </c>
      <c r="N95" s="383">
        <f>F95*M95</f>
        <v>3.5999999999999997E-2</v>
      </c>
      <c r="O95" s="382" t="s">
        <v>3460</v>
      </c>
      <c r="P95" s="382" t="s">
        <v>3530</v>
      </c>
      <c r="Q95" s="329" t="s">
        <v>1170</v>
      </c>
      <c r="R95" s="329" t="s">
        <v>2277</v>
      </c>
      <c r="S95" s="330">
        <v>3.5999999999999997E-2</v>
      </c>
      <c r="T95" s="329" t="s">
        <v>2426</v>
      </c>
      <c r="X95" s="330">
        <f>N95</f>
        <v>3.5999999999999997E-2</v>
      </c>
    </row>
    <row r="96" spans="1:31" ht="30" customHeight="1">
      <c r="A96" s="382" t="s">
        <v>378</v>
      </c>
      <c r="B96" s="382" t="s">
        <v>378</v>
      </c>
      <c r="C96" s="382" t="s">
        <v>378</v>
      </c>
      <c r="D96" s="382" t="s">
        <v>378</v>
      </c>
      <c r="E96" s="382" t="s">
        <v>378</v>
      </c>
      <c r="F96" s="383"/>
      <c r="G96" s="383"/>
      <c r="H96" s="383"/>
      <c r="I96" s="383"/>
      <c r="J96" s="383"/>
      <c r="K96" s="383"/>
      <c r="L96" s="382" t="s">
        <v>2392</v>
      </c>
      <c r="M96" s="383">
        <f>0.012*(H95+100)/100*(I95+100)/100*(J95+100)/100</f>
        <v>1.2E-2</v>
      </c>
      <c r="N96" s="383">
        <f>F95*M96</f>
        <v>1.2E-2</v>
      </c>
      <c r="O96" s="382" t="s">
        <v>3468</v>
      </c>
      <c r="P96" s="382" t="s">
        <v>3531</v>
      </c>
      <c r="Q96" s="329" t="s">
        <v>1170</v>
      </c>
      <c r="R96" s="329" t="s">
        <v>2393</v>
      </c>
      <c r="S96" s="330">
        <v>1.2E-2</v>
      </c>
      <c r="T96" s="329" t="s">
        <v>2426</v>
      </c>
      <c r="AE96" s="330">
        <f>N96</f>
        <v>1.2E-2</v>
      </c>
    </row>
    <row r="97" spans="1:22" ht="30" customHeight="1">
      <c r="A97" s="382" t="s">
        <v>2277</v>
      </c>
      <c r="B97" s="382" t="s">
        <v>1889</v>
      </c>
      <c r="C97" s="382" t="s">
        <v>378</v>
      </c>
      <c r="D97" s="382" t="s">
        <v>1852</v>
      </c>
      <c r="E97" s="382" t="s">
        <v>378</v>
      </c>
      <c r="F97" s="383">
        <f>SUM(X95:X96)</f>
        <v>3.5999999999999997E-2</v>
      </c>
      <c r="G97" s="383"/>
      <c r="H97" s="383"/>
      <c r="I97" s="383"/>
      <c r="J97" s="383"/>
      <c r="K97" s="383">
        <f>TRUNC(F97*[4]공량설정_일위대가!B59/100, [4]공량설정_일위대가!C60)</f>
        <v>3.5999999999999997E-2</v>
      </c>
      <c r="L97" s="382" t="s">
        <v>378</v>
      </c>
      <c r="M97" s="383"/>
      <c r="N97" s="383"/>
      <c r="O97" s="383" t="s">
        <v>3460</v>
      </c>
      <c r="P97" s="382" t="s">
        <v>378</v>
      </c>
      <c r="Q97" s="329" t="s">
        <v>1170</v>
      </c>
      <c r="R97" s="329" t="s">
        <v>378</v>
      </c>
      <c r="T97" s="329" t="s">
        <v>2429</v>
      </c>
    </row>
    <row r="98" spans="1:22" ht="30" customHeight="1">
      <c r="A98" s="382" t="s">
        <v>2393</v>
      </c>
      <c r="B98" s="382" t="s">
        <v>2392</v>
      </c>
      <c r="C98" s="382" t="s">
        <v>2279</v>
      </c>
      <c r="D98" s="382" t="s">
        <v>1852</v>
      </c>
      <c r="E98" s="382" t="s">
        <v>378</v>
      </c>
      <c r="F98" s="383">
        <f>SUM(AE95:AE96)</f>
        <v>1.2E-2</v>
      </c>
      <c r="G98" s="383"/>
      <c r="H98" s="383"/>
      <c r="I98" s="383"/>
      <c r="J98" s="383"/>
      <c r="K98" s="383">
        <f>TRUNC(F98*[4]공량설정_일위대가!B59/100, [4]공량설정_일위대가!C61)</f>
        <v>1.2E-2</v>
      </c>
      <c r="L98" s="382" t="s">
        <v>378</v>
      </c>
      <c r="M98" s="383"/>
      <c r="N98" s="383"/>
      <c r="O98" s="383" t="s">
        <v>3468</v>
      </c>
      <c r="P98" s="382" t="s">
        <v>378</v>
      </c>
      <c r="Q98" s="329" t="s">
        <v>1170</v>
      </c>
      <c r="R98" s="329" t="s">
        <v>378</v>
      </c>
      <c r="T98" s="329" t="s">
        <v>2430</v>
      </c>
    </row>
    <row r="99" spans="1:22" ht="30" customHeight="1">
      <c r="A99" s="734" t="s">
        <v>3532</v>
      </c>
      <c r="B99" s="734"/>
      <c r="C99" s="734"/>
      <c r="D99" s="734"/>
      <c r="E99" s="734"/>
      <c r="F99" s="734"/>
      <c r="G99" s="734"/>
      <c r="H99" s="734"/>
      <c r="I99" s="734"/>
      <c r="J99" s="734"/>
      <c r="K99" s="734"/>
      <c r="L99" s="734"/>
      <c r="M99" s="734"/>
      <c r="N99" s="734"/>
      <c r="O99" s="734"/>
      <c r="P99" s="734"/>
    </row>
    <row r="100" spans="1:22" ht="30" customHeight="1">
      <c r="A100" s="382" t="s">
        <v>2447</v>
      </c>
      <c r="B100" s="382" t="s">
        <v>2445</v>
      </c>
      <c r="C100" s="382" t="s">
        <v>2446</v>
      </c>
      <c r="D100" s="382" t="s">
        <v>321</v>
      </c>
      <c r="E100" s="382" t="s">
        <v>1712</v>
      </c>
      <c r="F100" s="383">
        <v>1</v>
      </c>
      <c r="G100" s="383">
        <v>0</v>
      </c>
      <c r="H100" s="383"/>
      <c r="I100" s="383"/>
      <c r="J100" s="383"/>
      <c r="K100" s="383">
        <v>1</v>
      </c>
      <c r="L100" s="382" t="s">
        <v>1851</v>
      </c>
      <c r="M100" s="383">
        <f>0.95*(H100+100)/100*(I100+100)/100*(J100+100)/100</f>
        <v>0.95</v>
      </c>
      <c r="N100" s="383">
        <f>F100*M100</f>
        <v>0.95</v>
      </c>
      <c r="O100" s="382" t="s">
        <v>3466</v>
      </c>
      <c r="P100" s="382" t="s">
        <v>3533</v>
      </c>
      <c r="Q100" s="329" t="s">
        <v>1175</v>
      </c>
      <c r="R100" s="329" t="s">
        <v>2222</v>
      </c>
      <c r="S100" s="330">
        <v>0.95</v>
      </c>
      <c r="T100" s="329" t="s">
        <v>2448</v>
      </c>
      <c r="V100" s="330">
        <f>N100</f>
        <v>0.95</v>
      </c>
    </row>
    <row r="101" spans="1:22" ht="30" customHeight="1">
      <c r="A101" s="382" t="s">
        <v>2222</v>
      </c>
      <c r="B101" s="382" t="s">
        <v>1851</v>
      </c>
      <c r="C101" s="382" t="s">
        <v>2221</v>
      </c>
      <c r="D101" s="382" t="s">
        <v>1852</v>
      </c>
      <c r="E101" s="382" t="s">
        <v>378</v>
      </c>
      <c r="F101" s="383">
        <f>SUM(V100:V100)</f>
        <v>0.95</v>
      </c>
      <c r="G101" s="383"/>
      <c r="H101" s="383"/>
      <c r="I101" s="383"/>
      <c r="J101" s="383"/>
      <c r="K101" s="383">
        <f>TRUNC(F101*[4]공량설정_일위대가!B63/100, [4]공량설정_일위대가!C64)</f>
        <v>0.95</v>
      </c>
      <c r="L101" s="382" t="s">
        <v>378</v>
      </c>
      <c r="M101" s="383"/>
      <c r="N101" s="383"/>
      <c r="O101" s="383" t="s">
        <v>3466</v>
      </c>
      <c r="P101" s="382" t="s">
        <v>378</v>
      </c>
      <c r="Q101" s="329" t="s">
        <v>1175</v>
      </c>
      <c r="R101" s="329" t="s">
        <v>378</v>
      </c>
      <c r="T101" s="329" t="s">
        <v>2450</v>
      </c>
    </row>
    <row r="102" spans="1:22" ht="30" customHeight="1">
      <c r="A102" s="734" t="s">
        <v>3534</v>
      </c>
      <c r="B102" s="734"/>
      <c r="C102" s="734"/>
      <c r="D102" s="734"/>
      <c r="E102" s="734"/>
      <c r="F102" s="734"/>
      <c r="G102" s="734"/>
      <c r="H102" s="734"/>
      <c r="I102" s="734"/>
      <c r="J102" s="734"/>
      <c r="K102" s="734"/>
      <c r="L102" s="734"/>
      <c r="M102" s="734"/>
      <c r="N102" s="734"/>
      <c r="O102" s="734"/>
      <c r="P102" s="734"/>
    </row>
    <row r="103" spans="1:22" ht="30" customHeight="1">
      <c r="A103" s="382" t="s">
        <v>2454</v>
      </c>
      <c r="B103" s="382" t="s">
        <v>2452</v>
      </c>
      <c r="C103" s="382" t="s">
        <v>2453</v>
      </c>
      <c r="D103" s="382" t="s">
        <v>321</v>
      </c>
      <c r="E103" s="382" t="s">
        <v>1712</v>
      </c>
      <c r="F103" s="383">
        <v>1</v>
      </c>
      <c r="G103" s="383">
        <v>0</v>
      </c>
      <c r="H103" s="383"/>
      <c r="I103" s="383"/>
      <c r="J103" s="383"/>
      <c r="K103" s="383">
        <v>1</v>
      </c>
      <c r="L103" s="382" t="s">
        <v>1851</v>
      </c>
      <c r="M103" s="383">
        <f>1.23*(H103+100)/100*(I103+100)/100*(J103+100)/100</f>
        <v>1.23</v>
      </c>
      <c r="N103" s="383">
        <f>F103*M103</f>
        <v>1.23</v>
      </c>
      <c r="O103" s="382" t="s">
        <v>3466</v>
      </c>
      <c r="P103" s="382" t="s">
        <v>3535</v>
      </c>
      <c r="Q103" s="329" t="s">
        <v>1178</v>
      </c>
      <c r="R103" s="329" t="s">
        <v>2222</v>
      </c>
      <c r="S103" s="330">
        <v>1.23</v>
      </c>
      <c r="T103" s="329" t="s">
        <v>2455</v>
      </c>
      <c r="V103" s="330">
        <f>N103</f>
        <v>1.23</v>
      </c>
    </row>
    <row r="104" spans="1:22" ht="30" customHeight="1">
      <c r="A104" s="382" t="s">
        <v>2222</v>
      </c>
      <c r="B104" s="382" t="s">
        <v>1851</v>
      </c>
      <c r="C104" s="382" t="s">
        <v>2221</v>
      </c>
      <c r="D104" s="382" t="s">
        <v>1852</v>
      </c>
      <c r="E104" s="382" t="s">
        <v>378</v>
      </c>
      <c r="F104" s="383">
        <f>SUM(V103:V103)</f>
        <v>1.23</v>
      </c>
      <c r="G104" s="383"/>
      <c r="H104" s="383"/>
      <c r="I104" s="383"/>
      <c r="J104" s="383"/>
      <c r="K104" s="383">
        <f>TRUNC(F104*[4]공량설정_일위대가!B65/100, [4]공량설정_일위대가!C66)</f>
        <v>1.23</v>
      </c>
      <c r="L104" s="382" t="s">
        <v>378</v>
      </c>
      <c r="M104" s="383"/>
      <c r="N104" s="383"/>
      <c r="O104" s="383" t="s">
        <v>3466</v>
      </c>
      <c r="P104" s="382" t="s">
        <v>378</v>
      </c>
      <c r="Q104" s="329" t="s">
        <v>1178</v>
      </c>
      <c r="R104" s="329" t="s">
        <v>378</v>
      </c>
      <c r="T104" s="329" t="s">
        <v>2457</v>
      </c>
    </row>
    <row r="105" spans="1:22" ht="30" customHeight="1">
      <c r="A105" s="734" t="s">
        <v>3536</v>
      </c>
      <c r="B105" s="734"/>
      <c r="C105" s="734"/>
      <c r="D105" s="734"/>
      <c r="E105" s="734"/>
      <c r="F105" s="734"/>
      <c r="G105" s="734"/>
      <c r="H105" s="734"/>
      <c r="I105" s="734"/>
      <c r="J105" s="734"/>
      <c r="K105" s="734"/>
      <c r="L105" s="734"/>
      <c r="M105" s="734"/>
      <c r="N105" s="734"/>
      <c r="O105" s="734"/>
      <c r="P105" s="734"/>
    </row>
    <row r="106" spans="1:22" ht="30" customHeight="1">
      <c r="A106" s="382" t="s">
        <v>2460</v>
      </c>
      <c r="B106" s="382" t="s">
        <v>2459</v>
      </c>
      <c r="C106" s="382" t="s">
        <v>386</v>
      </c>
      <c r="D106" s="382" t="s">
        <v>321</v>
      </c>
      <c r="E106" s="382" t="s">
        <v>1712</v>
      </c>
      <c r="F106" s="383">
        <v>1</v>
      </c>
      <c r="G106" s="383">
        <v>0</v>
      </c>
      <c r="H106" s="383"/>
      <c r="I106" s="383"/>
      <c r="J106" s="383"/>
      <c r="K106" s="383">
        <v>1</v>
      </c>
      <c r="L106" s="382" t="s">
        <v>1851</v>
      </c>
      <c r="M106" s="383">
        <f>0.95*(H106+100)/100*(I106+100)/100*(J106+100)/100</f>
        <v>0.95</v>
      </c>
      <c r="N106" s="383">
        <f>F106*M106</f>
        <v>0.95</v>
      </c>
      <c r="O106" s="382" t="s">
        <v>3466</v>
      </c>
      <c r="P106" s="382" t="s">
        <v>3533</v>
      </c>
      <c r="Q106" s="329" t="s">
        <v>1181</v>
      </c>
      <c r="R106" s="329" t="s">
        <v>2222</v>
      </c>
      <c r="S106" s="330">
        <v>0.95</v>
      </c>
      <c r="T106" s="329" t="s">
        <v>2461</v>
      </c>
      <c r="V106" s="330">
        <f>N106</f>
        <v>0.95</v>
      </c>
    </row>
    <row r="107" spans="1:22" ht="30" customHeight="1">
      <c r="A107" s="382" t="s">
        <v>2222</v>
      </c>
      <c r="B107" s="382" t="s">
        <v>1851</v>
      </c>
      <c r="C107" s="382" t="s">
        <v>2221</v>
      </c>
      <c r="D107" s="382" t="s">
        <v>1852</v>
      </c>
      <c r="E107" s="382" t="s">
        <v>378</v>
      </c>
      <c r="F107" s="383">
        <f>SUM(V106:V106)</f>
        <v>0.95</v>
      </c>
      <c r="G107" s="383"/>
      <c r="H107" s="383"/>
      <c r="I107" s="383"/>
      <c r="J107" s="383"/>
      <c r="K107" s="383">
        <f>TRUNC(F107*[4]공량설정_일위대가!B67/100, [4]공량설정_일위대가!C68)</f>
        <v>0.95</v>
      </c>
      <c r="L107" s="382" t="s">
        <v>378</v>
      </c>
      <c r="M107" s="383"/>
      <c r="N107" s="383"/>
      <c r="O107" s="383" t="s">
        <v>3466</v>
      </c>
      <c r="P107" s="382" t="s">
        <v>378</v>
      </c>
      <c r="Q107" s="329" t="s">
        <v>1181</v>
      </c>
      <c r="R107" s="329" t="s">
        <v>378</v>
      </c>
      <c r="T107" s="329" t="s">
        <v>2462</v>
      </c>
    </row>
    <row r="108" spans="1:22" ht="30" customHeight="1">
      <c r="A108" s="734" t="s">
        <v>3537</v>
      </c>
      <c r="B108" s="734"/>
      <c r="C108" s="734"/>
      <c r="D108" s="734"/>
      <c r="E108" s="734"/>
      <c r="F108" s="734"/>
      <c r="G108" s="734"/>
      <c r="H108" s="734"/>
      <c r="I108" s="734"/>
      <c r="J108" s="734"/>
      <c r="K108" s="734"/>
      <c r="L108" s="734"/>
      <c r="M108" s="734"/>
      <c r="N108" s="734"/>
      <c r="O108" s="734"/>
      <c r="P108" s="734"/>
    </row>
    <row r="109" spans="1:22" ht="30" customHeight="1">
      <c r="A109" s="382" t="s">
        <v>2466</v>
      </c>
      <c r="B109" s="382" t="s">
        <v>2465</v>
      </c>
      <c r="C109" s="382" t="s">
        <v>320</v>
      </c>
      <c r="D109" s="382" t="s">
        <v>321</v>
      </c>
      <c r="E109" s="382" t="s">
        <v>1715</v>
      </c>
      <c r="F109" s="383">
        <v>1</v>
      </c>
      <c r="G109" s="383">
        <v>0</v>
      </c>
      <c r="H109" s="383"/>
      <c r="I109" s="383"/>
      <c r="J109" s="383"/>
      <c r="K109" s="383">
        <v>1</v>
      </c>
      <c r="L109" s="382" t="s">
        <v>1851</v>
      </c>
      <c r="M109" s="383">
        <f>1.02*(H109+100)/100*(I109+100)/100*(J109+100)/100</f>
        <v>1.02</v>
      </c>
      <c r="N109" s="383">
        <f>F109*M109</f>
        <v>1.02</v>
      </c>
      <c r="O109" s="382" t="s">
        <v>3466</v>
      </c>
      <c r="P109" s="382" t="s">
        <v>3538</v>
      </c>
      <c r="Q109" s="329" t="s">
        <v>1184</v>
      </c>
      <c r="R109" s="329" t="s">
        <v>2222</v>
      </c>
      <c r="S109" s="330">
        <v>1.02</v>
      </c>
      <c r="T109" s="329" t="s">
        <v>2467</v>
      </c>
      <c r="V109" s="330">
        <f>N109</f>
        <v>1.02</v>
      </c>
    </row>
    <row r="110" spans="1:22" ht="30" customHeight="1">
      <c r="A110" s="382" t="s">
        <v>2222</v>
      </c>
      <c r="B110" s="382" t="s">
        <v>1851</v>
      </c>
      <c r="C110" s="382" t="s">
        <v>2221</v>
      </c>
      <c r="D110" s="382" t="s">
        <v>1852</v>
      </c>
      <c r="E110" s="382" t="s">
        <v>378</v>
      </c>
      <c r="F110" s="383">
        <f>SUM(V109:V109)</f>
        <v>1.02</v>
      </c>
      <c r="G110" s="383"/>
      <c r="H110" s="383"/>
      <c r="I110" s="383"/>
      <c r="J110" s="383"/>
      <c r="K110" s="383">
        <f>TRUNC(F110*[4]공량설정_일위대가!B69/100, [4]공량설정_일위대가!C70)</f>
        <v>1.02</v>
      </c>
      <c r="L110" s="382" t="s">
        <v>378</v>
      </c>
      <c r="M110" s="383"/>
      <c r="N110" s="383"/>
      <c r="O110" s="383" t="s">
        <v>3466</v>
      </c>
      <c r="P110" s="382" t="s">
        <v>378</v>
      </c>
      <c r="Q110" s="329" t="s">
        <v>1184</v>
      </c>
      <c r="R110" s="329" t="s">
        <v>378</v>
      </c>
      <c r="T110" s="329" t="s">
        <v>2469</v>
      </c>
    </row>
    <row r="111" spans="1:22" ht="30" customHeight="1">
      <c r="A111" s="734" t="s">
        <v>3539</v>
      </c>
      <c r="B111" s="734"/>
      <c r="C111" s="734"/>
      <c r="D111" s="734"/>
      <c r="E111" s="734"/>
      <c r="F111" s="734"/>
      <c r="G111" s="734"/>
      <c r="H111" s="734"/>
      <c r="I111" s="734"/>
      <c r="J111" s="734"/>
      <c r="K111" s="734"/>
      <c r="L111" s="734"/>
      <c r="M111" s="734"/>
      <c r="N111" s="734"/>
      <c r="O111" s="734"/>
      <c r="P111" s="734"/>
    </row>
    <row r="112" spans="1:22" ht="30" customHeight="1">
      <c r="A112" s="382" t="s">
        <v>2473</v>
      </c>
      <c r="B112" s="382" t="s">
        <v>2471</v>
      </c>
      <c r="C112" s="382" t="s">
        <v>2472</v>
      </c>
      <c r="D112" s="382" t="s">
        <v>265</v>
      </c>
      <c r="E112" s="382" t="s">
        <v>1717</v>
      </c>
      <c r="F112" s="383">
        <v>1</v>
      </c>
      <c r="G112" s="383">
        <v>0</v>
      </c>
      <c r="H112" s="383"/>
      <c r="I112" s="383"/>
      <c r="J112" s="383"/>
      <c r="K112" s="383">
        <v>1</v>
      </c>
      <c r="L112" s="382" t="s">
        <v>1851</v>
      </c>
      <c r="M112" s="383">
        <f>0.12*(H112+100)/100*(I112+100)/100*(J112+100)/100</f>
        <v>0.12</v>
      </c>
      <c r="N112" s="383">
        <f>F112*M112</f>
        <v>0.12</v>
      </c>
      <c r="O112" s="382" t="s">
        <v>3466</v>
      </c>
      <c r="P112" s="382" t="s">
        <v>3540</v>
      </c>
      <c r="Q112" s="329" t="s">
        <v>1187</v>
      </c>
      <c r="R112" s="329" t="s">
        <v>2222</v>
      </c>
      <c r="S112" s="330">
        <v>0.12</v>
      </c>
      <c r="T112" s="329" t="s">
        <v>2474</v>
      </c>
      <c r="V112" s="330">
        <f>N112</f>
        <v>0.12</v>
      </c>
    </row>
    <row r="113" spans="1:30" ht="30" customHeight="1">
      <c r="A113" s="382" t="s">
        <v>2222</v>
      </c>
      <c r="B113" s="382" t="s">
        <v>1851</v>
      </c>
      <c r="C113" s="382" t="s">
        <v>2221</v>
      </c>
      <c r="D113" s="382" t="s">
        <v>1852</v>
      </c>
      <c r="E113" s="382" t="s">
        <v>378</v>
      </c>
      <c r="F113" s="383">
        <f>SUM(V112:V112)</f>
        <v>0.12</v>
      </c>
      <c r="G113" s="383"/>
      <c r="H113" s="383"/>
      <c r="I113" s="383"/>
      <c r="J113" s="383"/>
      <c r="K113" s="383">
        <f>TRUNC(F113*[4]공량설정_일위대가!B71/100, [4]공량설정_일위대가!C72)</f>
        <v>0.12</v>
      </c>
      <c r="L113" s="382" t="s">
        <v>378</v>
      </c>
      <c r="M113" s="383"/>
      <c r="N113" s="383"/>
      <c r="O113" s="383" t="s">
        <v>3466</v>
      </c>
      <c r="P113" s="382" t="s">
        <v>378</v>
      </c>
      <c r="Q113" s="329" t="s">
        <v>1187</v>
      </c>
      <c r="R113" s="329" t="s">
        <v>378</v>
      </c>
      <c r="T113" s="329" t="s">
        <v>2476</v>
      </c>
    </row>
    <row r="114" spans="1:30" ht="30" customHeight="1">
      <c r="A114" s="734" t="s">
        <v>3541</v>
      </c>
      <c r="B114" s="734"/>
      <c r="C114" s="734"/>
      <c r="D114" s="734"/>
      <c r="E114" s="734"/>
      <c r="F114" s="734"/>
      <c r="G114" s="734"/>
      <c r="H114" s="734"/>
      <c r="I114" s="734"/>
      <c r="J114" s="734"/>
      <c r="K114" s="734"/>
      <c r="L114" s="734"/>
      <c r="M114" s="734"/>
      <c r="N114" s="734"/>
      <c r="O114" s="734"/>
      <c r="P114" s="734"/>
    </row>
    <row r="115" spans="1:30" ht="30" customHeight="1">
      <c r="A115" s="382" t="s">
        <v>2491</v>
      </c>
      <c r="B115" s="382" t="s">
        <v>2490</v>
      </c>
      <c r="C115" s="382" t="s">
        <v>2490</v>
      </c>
      <c r="D115" s="382" t="s">
        <v>265</v>
      </c>
      <c r="E115" s="382" t="s">
        <v>3542</v>
      </c>
      <c r="F115" s="383">
        <v>1</v>
      </c>
      <c r="G115" s="383">
        <v>0</v>
      </c>
      <c r="H115" s="383"/>
      <c r="I115" s="383"/>
      <c r="J115" s="383"/>
      <c r="K115" s="383">
        <v>1</v>
      </c>
      <c r="L115" s="382" t="s">
        <v>1889</v>
      </c>
      <c r="M115" s="383">
        <f>0.36*(H115+100)/100*(I115+100)/100*(J115+100)/100</f>
        <v>0.36</v>
      </c>
      <c r="N115" s="383">
        <f>F115*M115</f>
        <v>0.36</v>
      </c>
      <c r="O115" s="382" t="s">
        <v>3460</v>
      </c>
      <c r="P115" s="382" t="s">
        <v>3543</v>
      </c>
      <c r="Q115" s="329" t="s">
        <v>1194</v>
      </c>
      <c r="R115" s="329" t="s">
        <v>2277</v>
      </c>
      <c r="S115" s="330">
        <v>0.36</v>
      </c>
      <c r="T115" s="329" t="s">
        <v>2492</v>
      </c>
      <c r="X115" s="330">
        <f>N115</f>
        <v>0.36</v>
      </c>
    </row>
    <row r="116" spans="1:30" ht="30" customHeight="1">
      <c r="A116" s="382" t="s">
        <v>378</v>
      </c>
      <c r="B116" s="382" t="s">
        <v>378</v>
      </c>
      <c r="C116" s="382" t="s">
        <v>378</v>
      </c>
      <c r="D116" s="382" t="s">
        <v>378</v>
      </c>
      <c r="E116" s="382" t="s">
        <v>378</v>
      </c>
      <c r="F116" s="383"/>
      <c r="G116" s="383"/>
      <c r="H116" s="383"/>
      <c r="I116" s="383"/>
      <c r="J116" s="383"/>
      <c r="K116" s="383"/>
      <c r="L116" s="382" t="s">
        <v>1992</v>
      </c>
      <c r="M116" s="383">
        <f>0.36*(H115+100)/100*(I115+100)/100*(J115+100)/100</f>
        <v>0.36</v>
      </c>
      <c r="N116" s="383">
        <f>F115*M116</f>
        <v>0.36</v>
      </c>
      <c r="O116" s="382" t="s">
        <v>3467</v>
      </c>
      <c r="P116" s="382" t="s">
        <v>3543</v>
      </c>
      <c r="Q116" s="329" t="s">
        <v>1194</v>
      </c>
      <c r="R116" s="329" t="s">
        <v>2280</v>
      </c>
      <c r="S116" s="330">
        <v>0.36</v>
      </c>
      <c r="T116" s="329" t="s">
        <v>2492</v>
      </c>
      <c r="Z116" s="330">
        <f>N116</f>
        <v>0.36</v>
      </c>
    </row>
    <row r="117" spans="1:30" ht="30" customHeight="1">
      <c r="A117" s="382" t="s">
        <v>2494</v>
      </c>
      <c r="B117" s="382" t="s">
        <v>356</v>
      </c>
      <c r="C117" s="382" t="s">
        <v>2493</v>
      </c>
      <c r="D117" s="382" t="s">
        <v>262</v>
      </c>
      <c r="E117" s="382" t="s">
        <v>1699</v>
      </c>
      <c r="F117" s="383">
        <v>1</v>
      </c>
      <c r="G117" s="383">
        <v>0</v>
      </c>
      <c r="H117" s="383"/>
      <c r="I117" s="383"/>
      <c r="J117" s="383"/>
      <c r="K117" s="383">
        <v>1</v>
      </c>
      <c r="L117" s="382" t="s">
        <v>2356</v>
      </c>
      <c r="M117" s="383">
        <f>0.28*(H117+100)/100*(I117+100)/100*(J117+100)/100</f>
        <v>0.28000000000000003</v>
      </c>
      <c r="N117" s="383">
        <f>F117*M117</f>
        <v>0.28000000000000003</v>
      </c>
      <c r="O117" s="382" t="s">
        <v>3458</v>
      </c>
      <c r="P117" s="382" t="s">
        <v>3514</v>
      </c>
      <c r="Q117" s="329" t="s">
        <v>1194</v>
      </c>
      <c r="R117" s="329" t="s">
        <v>2357</v>
      </c>
      <c r="S117" s="330">
        <v>0.28000000000000003</v>
      </c>
      <c r="T117" s="329" t="s">
        <v>2495</v>
      </c>
      <c r="AB117" s="330">
        <f>N117</f>
        <v>0.28000000000000003</v>
      </c>
    </row>
    <row r="118" spans="1:30" ht="30" customHeight="1">
      <c r="A118" s="382" t="s">
        <v>378</v>
      </c>
      <c r="B118" s="382" t="s">
        <v>378</v>
      </c>
      <c r="C118" s="382" t="s">
        <v>378</v>
      </c>
      <c r="D118" s="382" t="s">
        <v>378</v>
      </c>
      <c r="E118" s="382" t="s">
        <v>378</v>
      </c>
      <c r="F118" s="383"/>
      <c r="G118" s="383"/>
      <c r="H118" s="383"/>
      <c r="I118" s="383"/>
      <c r="J118" s="383"/>
      <c r="K118" s="383"/>
      <c r="L118" s="382" t="s">
        <v>1891</v>
      </c>
      <c r="M118" s="383">
        <f>1.33*(H117+100)/100*(I117+100)/100*(J117+100)/100</f>
        <v>1.33</v>
      </c>
      <c r="N118" s="383">
        <f>F117*M118</f>
        <v>1.33</v>
      </c>
      <c r="O118" s="382" t="s">
        <v>3461</v>
      </c>
      <c r="P118" s="382" t="s">
        <v>3515</v>
      </c>
      <c r="Q118" s="329" t="s">
        <v>1194</v>
      </c>
      <c r="R118" s="329" t="s">
        <v>2359</v>
      </c>
      <c r="S118" s="330">
        <v>1.33</v>
      </c>
      <c r="T118" s="329" t="s">
        <v>2495</v>
      </c>
      <c r="AC118" s="330">
        <f>N118</f>
        <v>1.33</v>
      </c>
    </row>
    <row r="119" spans="1:30" ht="30" customHeight="1">
      <c r="A119" s="382" t="s">
        <v>378</v>
      </c>
      <c r="B119" s="382" t="s">
        <v>378</v>
      </c>
      <c r="C119" s="382" t="s">
        <v>378</v>
      </c>
      <c r="D119" s="382" t="s">
        <v>378</v>
      </c>
      <c r="E119" s="382" t="s">
        <v>378</v>
      </c>
      <c r="F119" s="383"/>
      <c r="G119" s="383"/>
      <c r="H119" s="383"/>
      <c r="I119" s="383"/>
      <c r="J119" s="383"/>
      <c r="K119" s="383"/>
      <c r="L119" s="382" t="s">
        <v>2361</v>
      </c>
      <c r="M119" s="383">
        <f>0.03*(H117+100)/100*(I117+100)/100*(J117+100)/100</f>
        <v>0.03</v>
      </c>
      <c r="N119" s="383">
        <f>F117*M119</f>
        <v>0.03</v>
      </c>
      <c r="O119" s="382" t="s">
        <v>3462</v>
      </c>
      <c r="P119" s="382" t="s">
        <v>3516</v>
      </c>
      <c r="Q119" s="329" t="s">
        <v>1194</v>
      </c>
      <c r="R119" s="329" t="s">
        <v>2362</v>
      </c>
      <c r="S119" s="330">
        <v>0.03</v>
      </c>
      <c r="T119" s="329" t="s">
        <v>2495</v>
      </c>
      <c r="AD119" s="330">
        <f>N119</f>
        <v>0.03</v>
      </c>
    </row>
    <row r="120" spans="1:30" ht="30" customHeight="1">
      <c r="A120" s="382" t="s">
        <v>2498</v>
      </c>
      <c r="B120" s="382" t="s">
        <v>2496</v>
      </c>
      <c r="C120" s="382" t="s">
        <v>2497</v>
      </c>
      <c r="D120" s="382" t="s">
        <v>265</v>
      </c>
      <c r="E120" s="382" t="s">
        <v>3542</v>
      </c>
      <c r="F120" s="383">
        <v>2</v>
      </c>
      <c r="G120" s="383">
        <v>0</v>
      </c>
      <c r="H120" s="383"/>
      <c r="I120" s="383"/>
      <c r="J120" s="383"/>
      <c r="K120" s="383">
        <v>2</v>
      </c>
      <c r="L120" s="382" t="s">
        <v>1889</v>
      </c>
      <c r="M120" s="383">
        <f>0.01*(H120+100)/100*(I120+100)/100*(J120+100)/100</f>
        <v>0.01</v>
      </c>
      <c r="N120" s="383">
        <f>F120*M120</f>
        <v>0.02</v>
      </c>
      <c r="O120" s="382" t="s">
        <v>3460</v>
      </c>
      <c r="P120" s="382" t="s">
        <v>3544</v>
      </c>
      <c r="Q120" s="329" t="s">
        <v>1194</v>
      </c>
      <c r="R120" s="329" t="s">
        <v>2277</v>
      </c>
      <c r="S120" s="330">
        <v>0.01</v>
      </c>
      <c r="T120" s="329" t="s">
        <v>2499</v>
      </c>
      <c r="X120" s="330">
        <f>N120</f>
        <v>0.02</v>
      </c>
    </row>
    <row r="121" spans="1:30" ht="30" customHeight="1">
      <c r="A121" s="382" t="s">
        <v>378</v>
      </c>
      <c r="B121" s="382" t="s">
        <v>378</v>
      </c>
      <c r="C121" s="382" t="s">
        <v>378</v>
      </c>
      <c r="D121" s="382" t="s">
        <v>378</v>
      </c>
      <c r="E121" s="382" t="s">
        <v>378</v>
      </c>
      <c r="F121" s="383"/>
      <c r="G121" s="383"/>
      <c r="H121" s="383"/>
      <c r="I121" s="383"/>
      <c r="J121" s="383"/>
      <c r="K121" s="383"/>
      <c r="L121" s="382" t="s">
        <v>1992</v>
      </c>
      <c r="M121" s="383">
        <f>0.01*(H120+100)/100*(I120+100)/100*(J120+100)/100</f>
        <v>0.01</v>
      </c>
      <c r="N121" s="383">
        <f>F120*M121</f>
        <v>0.02</v>
      </c>
      <c r="O121" s="382" t="s">
        <v>3467</v>
      </c>
      <c r="P121" s="382" t="s">
        <v>3544</v>
      </c>
      <c r="Q121" s="329" t="s">
        <v>1194</v>
      </c>
      <c r="R121" s="329" t="s">
        <v>2280</v>
      </c>
      <c r="S121" s="330">
        <v>0.01</v>
      </c>
      <c r="T121" s="329" t="s">
        <v>2499</v>
      </c>
      <c r="Z121" s="330">
        <f>N121</f>
        <v>0.02</v>
      </c>
    </row>
    <row r="122" spans="1:30" ht="30" customHeight="1">
      <c r="A122" s="382" t="s">
        <v>2510</v>
      </c>
      <c r="B122" s="382" t="s">
        <v>2508</v>
      </c>
      <c r="C122" s="382" t="s">
        <v>2509</v>
      </c>
      <c r="D122" s="382" t="s">
        <v>265</v>
      </c>
      <c r="E122" s="382" t="s">
        <v>3542</v>
      </c>
      <c r="F122" s="383">
        <v>4</v>
      </c>
      <c r="G122" s="383">
        <v>0</v>
      </c>
      <c r="H122" s="383"/>
      <c r="I122" s="383"/>
      <c r="J122" s="383"/>
      <c r="K122" s="383">
        <v>4</v>
      </c>
      <c r="L122" s="382" t="s">
        <v>1889</v>
      </c>
      <c r="M122" s="383">
        <f>0.024*(H122+100)/100*(I122+100)/100*(J122+100)/100</f>
        <v>2.4E-2</v>
      </c>
      <c r="N122" s="383">
        <f>F122*M122</f>
        <v>9.6000000000000002E-2</v>
      </c>
      <c r="O122" s="382" t="s">
        <v>3460</v>
      </c>
      <c r="P122" s="382" t="s">
        <v>3545</v>
      </c>
      <c r="Q122" s="329" t="s">
        <v>1194</v>
      </c>
      <c r="R122" s="329" t="s">
        <v>2277</v>
      </c>
      <c r="S122" s="330">
        <v>2.4E-2</v>
      </c>
      <c r="T122" s="329" t="s">
        <v>2511</v>
      </c>
      <c r="X122" s="330">
        <f>N122</f>
        <v>9.6000000000000002E-2</v>
      </c>
    </row>
    <row r="123" spans="1:30" ht="30" customHeight="1">
      <c r="A123" s="382" t="s">
        <v>378</v>
      </c>
      <c r="B123" s="382" t="s">
        <v>378</v>
      </c>
      <c r="C123" s="382" t="s">
        <v>378</v>
      </c>
      <c r="D123" s="382" t="s">
        <v>378</v>
      </c>
      <c r="E123" s="382" t="s">
        <v>378</v>
      </c>
      <c r="F123" s="383"/>
      <c r="G123" s="383"/>
      <c r="H123" s="383"/>
      <c r="I123" s="383"/>
      <c r="J123" s="383"/>
      <c r="K123" s="383"/>
      <c r="L123" s="382" t="s">
        <v>1992</v>
      </c>
      <c r="M123" s="383">
        <f>0.024*(H122+100)/100*(I122+100)/100*(J122+100)/100</f>
        <v>2.4E-2</v>
      </c>
      <c r="N123" s="383">
        <f>F122*M123</f>
        <v>9.6000000000000002E-2</v>
      </c>
      <c r="O123" s="382" t="s">
        <v>3467</v>
      </c>
      <c r="P123" s="382" t="s">
        <v>3545</v>
      </c>
      <c r="Q123" s="329" t="s">
        <v>1194</v>
      </c>
      <c r="R123" s="329" t="s">
        <v>2280</v>
      </c>
      <c r="S123" s="330">
        <v>2.4E-2</v>
      </c>
      <c r="T123" s="329" t="s">
        <v>2511</v>
      </c>
      <c r="Z123" s="330">
        <f>N123</f>
        <v>9.6000000000000002E-2</v>
      </c>
    </row>
    <row r="124" spans="1:30" ht="30" customHeight="1">
      <c r="A124" s="382" t="s">
        <v>2357</v>
      </c>
      <c r="B124" s="382" t="s">
        <v>2356</v>
      </c>
      <c r="C124" s="382" t="s">
        <v>2279</v>
      </c>
      <c r="D124" s="382" t="s">
        <v>1852</v>
      </c>
      <c r="E124" s="382" t="s">
        <v>378</v>
      </c>
      <c r="F124" s="383">
        <f>SUM(AB115:AB123)</f>
        <v>0.28000000000000003</v>
      </c>
      <c r="G124" s="383"/>
      <c r="H124" s="383"/>
      <c r="I124" s="383"/>
      <c r="J124" s="383"/>
      <c r="K124" s="383">
        <f>TRUNC(F124*[4]공량설정_일위대가!B75/100, [4]공량설정_일위대가!C76)</f>
        <v>0.28000000000000003</v>
      </c>
      <c r="L124" s="382" t="s">
        <v>378</v>
      </c>
      <c r="M124" s="383"/>
      <c r="N124" s="383"/>
      <c r="O124" s="383" t="s">
        <v>3458</v>
      </c>
      <c r="P124" s="382" t="s">
        <v>378</v>
      </c>
      <c r="Q124" s="329" t="s">
        <v>1194</v>
      </c>
      <c r="R124" s="329" t="s">
        <v>378</v>
      </c>
      <c r="T124" s="329" t="s">
        <v>2512</v>
      </c>
    </row>
    <row r="125" spans="1:30" ht="30" customHeight="1">
      <c r="A125" s="382" t="s">
        <v>2277</v>
      </c>
      <c r="B125" s="382" t="s">
        <v>1889</v>
      </c>
      <c r="C125" s="382" t="s">
        <v>378</v>
      </c>
      <c r="D125" s="382" t="s">
        <v>1852</v>
      </c>
      <c r="E125" s="382" t="s">
        <v>378</v>
      </c>
      <c r="F125" s="383">
        <f>SUM(X115:X123)</f>
        <v>0.47599999999999998</v>
      </c>
      <c r="G125" s="383"/>
      <c r="H125" s="383"/>
      <c r="I125" s="383"/>
      <c r="J125" s="383"/>
      <c r="K125" s="383">
        <f>TRUNC(F125*[4]공량설정_일위대가!B75/100, [4]공량설정_일위대가!C77)</f>
        <v>0.47599999999999998</v>
      </c>
      <c r="L125" s="382" t="s">
        <v>378</v>
      </c>
      <c r="M125" s="383"/>
      <c r="N125" s="383"/>
      <c r="O125" s="383" t="s">
        <v>3460</v>
      </c>
      <c r="P125" s="382" t="s">
        <v>378</v>
      </c>
      <c r="Q125" s="329" t="s">
        <v>1194</v>
      </c>
      <c r="R125" s="329" t="s">
        <v>378</v>
      </c>
      <c r="T125" s="329" t="s">
        <v>2513</v>
      </c>
    </row>
    <row r="126" spans="1:30" ht="30" customHeight="1">
      <c r="A126" s="382" t="s">
        <v>2359</v>
      </c>
      <c r="B126" s="382" t="s">
        <v>1891</v>
      </c>
      <c r="C126" s="382" t="s">
        <v>2279</v>
      </c>
      <c r="D126" s="382" t="s">
        <v>1852</v>
      </c>
      <c r="E126" s="382" t="s">
        <v>378</v>
      </c>
      <c r="F126" s="383">
        <f>SUM(AC115:AC123)</f>
        <v>1.33</v>
      </c>
      <c r="G126" s="383"/>
      <c r="H126" s="383"/>
      <c r="I126" s="383"/>
      <c r="J126" s="383"/>
      <c r="K126" s="383">
        <f>TRUNC(F126*[4]공량설정_일위대가!B75/100, [4]공량설정_일위대가!C78)</f>
        <v>1.33</v>
      </c>
      <c r="L126" s="382" t="s">
        <v>378</v>
      </c>
      <c r="M126" s="383"/>
      <c r="N126" s="383"/>
      <c r="O126" s="383" t="s">
        <v>3461</v>
      </c>
      <c r="P126" s="382" t="s">
        <v>378</v>
      </c>
      <c r="Q126" s="329" t="s">
        <v>1194</v>
      </c>
      <c r="R126" s="329" t="s">
        <v>378</v>
      </c>
      <c r="T126" s="329" t="s">
        <v>2514</v>
      </c>
    </row>
    <row r="127" spans="1:30" ht="30" customHeight="1">
      <c r="A127" s="382" t="s">
        <v>2362</v>
      </c>
      <c r="B127" s="382" t="s">
        <v>2361</v>
      </c>
      <c r="C127" s="382" t="s">
        <v>2279</v>
      </c>
      <c r="D127" s="382" t="s">
        <v>1852</v>
      </c>
      <c r="E127" s="382" t="s">
        <v>378</v>
      </c>
      <c r="F127" s="383">
        <f>SUM(AD115:AD123)</f>
        <v>0.03</v>
      </c>
      <c r="G127" s="383"/>
      <c r="H127" s="383"/>
      <c r="I127" s="383"/>
      <c r="J127" s="383"/>
      <c r="K127" s="383">
        <f>TRUNC(F127*[4]공량설정_일위대가!B75/100, [4]공량설정_일위대가!C79)</f>
        <v>0.03</v>
      </c>
      <c r="L127" s="382" t="s">
        <v>378</v>
      </c>
      <c r="M127" s="383"/>
      <c r="N127" s="383"/>
      <c r="O127" s="383" t="s">
        <v>3462</v>
      </c>
      <c r="P127" s="382" t="s">
        <v>378</v>
      </c>
      <c r="Q127" s="329" t="s">
        <v>1194</v>
      </c>
      <c r="R127" s="329" t="s">
        <v>378</v>
      </c>
      <c r="T127" s="329" t="s">
        <v>2515</v>
      </c>
    </row>
    <row r="128" spans="1:30" ht="30" customHeight="1">
      <c r="A128" s="382" t="s">
        <v>2280</v>
      </c>
      <c r="B128" s="382" t="s">
        <v>1992</v>
      </c>
      <c r="C128" s="382" t="s">
        <v>2279</v>
      </c>
      <c r="D128" s="382" t="s">
        <v>1852</v>
      </c>
      <c r="E128" s="382" t="s">
        <v>378</v>
      </c>
      <c r="F128" s="383">
        <f>SUM(Z115:Z123)</f>
        <v>0.47599999999999998</v>
      </c>
      <c r="G128" s="383"/>
      <c r="H128" s="383"/>
      <c r="I128" s="383"/>
      <c r="J128" s="383"/>
      <c r="K128" s="383">
        <f>TRUNC(F128*[4]공량설정_일위대가!B75/100, [4]공량설정_일위대가!C80)</f>
        <v>0.47599999999999998</v>
      </c>
      <c r="L128" s="382" t="s">
        <v>378</v>
      </c>
      <c r="M128" s="383"/>
      <c r="N128" s="383"/>
      <c r="O128" s="383" t="s">
        <v>3467</v>
      </c>
      <c r="P128" s="382" t="s">
        <v>378</v>
      </c>
      <c r="Q128" s="329" t="s">
        <v>1194</v>
      </c>
      <c r="R128" s="329" t="s">
        <v>378</v>
      </c>
      <c r="T128" s="329" t="s">
        <v>2516</v>
      </c>
    </row>
    <row r="129" spans="1:26" ht="30" customHeight="1">
      <c r="A129" s="734" t="s">
        <v>3546</v>
      </c>
      <c r="B129" s="734"/>
      <c r="C129" s="734"/>
      <c r="D129" s="734"/>
      <c r="E129" s="734"/>
      <c r="F129" s="734"/>
      <c r="G129" s="734"/>
      <c r="H129" s="734"/>
      <c r="I129" s="734"/>
      <c r="J129" s="734"/>
      <c r="K129" s="734"/>
      <c r="L129" s="734"/>
      <c r="M129" s="734"/>
      <c r="N129" s="734"/>
      <c r="O129" s="734"/>
      <c r="P129" s="734"/>
    </row>
    <row r="130" spans="1:26" ht="30" customHeight="1">
      <c r="A130" s="382" t="s">
        <v>2520</v>
      </c>
      <c r="B130" s="382" t="s">
        <v>266</v>
      </c>
      <c r="C130" s="382" t="s">
        <v>2519</v>
      </c>
      <c r="D130" s="382" t="s">
        <v>265</v>
      </c>
      <c r="E130" s="382" t="s">
        <v>1712</v>
      </c>
      <c r="F130" s="383">
        <v>1</v>
      </c>
      <c r="G130" s="383">
        <v>0</v>
      </c>
      <c r="H130" s="383"/>
      <c r="I130" s="383"/>
      <c r="J130" s="383"/>
      <c r="K130" s="383">
        <v>1</v>
      </c>
      <c r="L130" s="382" t="s">
        <v>1851</v>
      </c>
      <c r="M130" s="383">
        <f>0.04*(H130+100)/100*(I130+100)/100*(J130+100)/100</f>
        <v>0.04</v>
      </c>
      <c r="N130" s="383">
        <f>F130*M130</f>
        <v>0.04</v>
      </c>
      <c r="O130" s="382" t="s">
        <v>3466</v>
      </c>
      <c r="P130" s="382" t="s">
        <v>3547</v>
      </c>
      <c r="Q130" s="329" t="s">
        <v>1200</v>
      </c>
      <c r="R130" s="329" t="s">
        <v>2222</v>
      </c>
      <c r="S130" s="330">
        <v>0.04</v>
      </c>
      <c r="T130" s="329" t="s">
        <v>2521</v>
      </c>
      <c r="V130" s="330">
        <f>N130</f>
        <v>0.04</v>
      </c>
    </row>
    <row r="131" spans="1:26" ht="30" customHeight="1">
      <c r="A131" s="382" t="s">
        <v>2222</v>
      </c>
      <c r="B131" s="382" t="s">
        <v>1851</v>
      </c>
      <c r="C131" s="382" t="s">
        <v>2221</v>
      </c>
      <c r="D131" s="382" t="s">
        <v>1852</v>
      </c>
      <c r="E131" s="382" t="s">
        <v>378</v>
      </c>
      <c r="F131" s="383">
        <f>SUM(V130:V130)</f>
        <v>0.04</v>
      </c>
      <c r="G131" s="383"/>
      <c r="H131" s="383"/>
      <c r="I131" s="383"/>
      <c r="J131" s="383"/>
      <c r="K131" s="383">
        <f>TRUNC(F131*[4]공량설정_일위대가!B81/100, [4]공량설정_일위대가!C82)</f>
        <v>0.04</v>
      </c>
      <c r="L131" s="382" t="s">
        <v>378</v>
      </c>
      <c r="M131" s="383"/>
      <c r="N131" s="383"/>
      <c r="O131" s="383" t="s">
        <v>3466</v>
      </c>
      <c r="P131" s="382" t="s">
        <v>378</v>
      </c>
      <c r="Q131" s="329" t="s">
        <v>1200</v>
      </c>
      <c r="R131" s="329" t="s">
        <v>378</v>
      </c>
      <c r="T131" s="329" t="s">
        <v>2522</v>
      </c>
    </row>
    <row r="132" spans="1:26" ht="30" customHeight="1">
      <c r="A132" s="734" t="s">
        <v>3548</v>
      </c>
      <c r="B132" s="734"/>
      <c r="C132" s="734"/>
      <c r="D132" s="734"/>
      <c r="E132" s="734"/>
      <c r="F132" s="734"/>
      <c r="G132" s="734"/>
      <c r="H132" s="734"/>
      <c r="I132" s="734"/>
      <c r="J132" s="734"/>
      <c r="K132" s="734"/>
      <c r="L132" s="734"/>
      <c r="M132" s="734"/>
      <c r="N132" s="734"/>
      <c r="O132" s="734"/>
      <c r="P132" s="734"/>
    </row>
    <row r="133" spans="1:26" ht="30" customHeight="1">
      <c r="A133" s="382" t="s">
        <v>2239</v>
      </c>
      <c r="B133" s="382" t="s">
        <v>2237</v>
      </c>
      <c r="C133" s="382" t="s">
        <v>2238</v>
      </c>
      <c r="D133" s="382" t="s">
        <v>300</v>
      </c>
      <c r="E133" s="382" t="s">
        <v>1678</v>
      </c>
      <c r="F133" s="383">
        <v>1</v>
      </c>
      <c r="G133" s="383">
        <v>5</v>
      </c>
      <c r="H133" s="383">
        <v>50</v>
      </c>
      <c r="I133" s="383"/>
      <c r="J133" s="383"/>
      <c r="K133" s="383">
        <v>1.05</v>
      </c>
      <c r="L133" s="382" t="s">
        <v>1851</v>
      </c>
      <c r="M133" s="383">
        <f>0.006*(H133+100)/100*(I133+100)/100*(J133+100)/100</f>
        <v>9.0000000000000011E-3</v>
      </c>
      <c r="N133" s="383">
        <f>F133*M133</f>
        <v>9.0000000000000011E-3</v>
      </c>
      <c r="O133" s="382" t="s">
        <v>3466</v>
      </c>
      <c r="P133" s="382" t="s">
        <v>3484</v>
      </c>
      <c r="Q133" s="329" t="s">
        <v>1203</v>
      </c>
      <c r="R133" s="329" t="s">
        <v>2222</v>
      </c>
      <c r="S133" s="330">
        <v>6.0000000000000001E-3</v>
      </c>
      <c r="T133" s="329" t="s">
        <v>2525</v>
      </c>
      <c r="V133" s="330">
        <f>N133</f>
        <v>9.0000000000000011E-3</v>
      </c>
    </row>
    <row r="134" spans="1:26" ht="30" customHeight="1">
      <c r="A134" s="382" t="s">
        <v>2222</v>
      </c>
      <c r="B134" s="382" t="s">
        <v>1851</v>
      </c>
      <c r="C134" s="382" t="s">
        <v>2221</v>
      </c>
      <c r="D134" s="382" t="s">
        <v>1852</v>
      </c>
      <c r="E134" s="382" t="s">
        <v>378</v>
      </c>
      <c r="F134" s="383">
        <f>SUM(V133:V133)</f>
        <v>9.0000000000000011E-3</v>
      </c>
      <c r="G134" s="383"/>
      <c r="H134" s="383"/>
      <c r="I134" s="383"/>
      <c r="J134" s="383"/>
      <c r="K134" s="383">
        <f>TRUNC(F134*[4]공량설정_일위대가!B83/100, [4]공량설정_일위대가!C84)</f>
        <v>8.9999999999999993E-3</v>
      </c>
      <c r="L134" s="382" t="s">
        <v>378</v>
      </c>
      <c r="M134" s="383"/>
      <c r="N134" s="383"/>
      <c r="O134" s="383" t="s">
        <v>3466</v>
      </c>
      <c r="P134" s="382" t="s">
        <v>378</v>
      </c>
      <c r="Q134" s="329" t="s">
        <v>1203</v>
      </c>
      <c r="R134" s="329" t="s">
        <v>378</v>
      </c>
      <c r="T134" s="329" t="s">
        <v>2527</v>
      </c>
    </row>
    <row r="135" spans="1:26" ht="30" customHeight="1">
      <c r="A135" s="734" t="s">
        <v>3549</v>
      </c>
      <c r="B135" s="734"/>
      <c r="C135" s="734"/>
      <c r="D135" s="734"/>
      <c r="E135" s="734"/>
      <c r="F135" s="734"/>
      <c r="G135" s="734"/>
      <c r="H135" s="734"/>
      <c r="I135" s="734"/>
      <c r="J135" s="734"/>
      <c r="K135" s="734"/>
      <c r="L135" s="734"/>
      <c r="M135" s="734"/>
      <c r="N135" s="734"/>
      <c r="O135" s="734"/>
      <c r="P135" s="734"/>
    </row>
    <row r="136" spans="1:26" ht="30" customHeight="1">
      <c r="A136" s="382" t="s">
        <v>2531</v>
      </c>
      <c r="B136" s="382" t="s">
        <v>2272</v>
      </c>
      <c r="C136" s="382" t="s">
        <v>2530</v>
      </c>
      <c r="D136" s="382" t="s">
        <v>300</v>
      </c>
      <c r="E136" s="382" t="s">
        <v>1688</v>
      </c>
      <c r="F136" s="383">
        <v>1</v>
      </c>
      <c r="G136" s="383">
        <v>5</v>
      </c>
      <c r="H136" s="383"/>
      <c r="I136" s="383"/>
      <c r="J136" s="383"/>
      <c r="K136" s="383">
        <v>1.05</v>
      </c>
      <c r="L136" s="382" t="s">
        <v>1992</v>
      </c>
      <c r="M136" s="383">
        <f>0.018*(H136+100)/100*(I136+100)/100*(J136+100)/100</f>
        <v>1.7999999999999999E-2</v>
      </c>
      <c r="N136" s="383">
        <f>F136*M136</f>
        <v>1.7999999999999999E-2</v>
      </c>
      <c r="O136" s="382" t="s">
        <v>3467</v>
      </c>
      <c r="P136" s="382" t="s">
        <v>3523</v>
      </c>
      <c r="Q136" s="329" t="s">
        <v>1207</v>
      </c>
      <c r="R136" s="329" t="s">
        <v>2280</v>
      </c>
      <c r="S136" s="330">
        <v>1.7999999999999999E-2</v>
      </c>
      <c r="T136" s="329" t="s">
        <v>2532</v>
      </c>
      <c r="Z136" s="330">
        <f>N136</f>
        <v>1.7999999999999999E-2</v>
      </c>
    </row>
    <row r="137" spans="1:26" ht="30" customHeight="1">
      <c r="A137" s="382" t="s">
        <v>2280</v>
      </c>
      <c r="B137" s="382" t="s">
        <v>1992</v>
      </c>
      <c r="C137" s="382" t="s">
        <v>2279</v>
      </c>
      <c r="D137" s="382" t="s">
        <v>1852</v>
      </c>
      <c r="E137" s="382" t="s">
        <v>378</v>
      </c>
      <c r="F137" s="383">
        <f>SUM(Z136:Z136)</f>
        <v>1.7999999999999999E-2</v>
      </c>
      <c r="G137" s="383"/>
      <c r="H137" s="383"/>
      <c r="I137" s="383"/>
      <c r="J137" s="383"/>
      <c r="K137" s="383">
        <f>TRUNC(F137*[4]공량설정_일위대가!B85/100, [4]공량설정_일위대가!C86)</f>
        <v>1.7999999999999999E-2</v>
      </c>
      <c r="L137" s="382" t="s">
        <v>378</v>
      </c>
      <c r="M137" s="383"/>
      <c r="N137" s="383"/>
      <c r="O137" s="383" t="s">
        <v>3467</v>
      </c>
      <c r="P137" s="382" t="s">
        <v>378</v>
      </c>
      <c r="Q137" s="329" t="s">
        <v>1207</v>
      </c>
      <c r="R137" s="329" t="s">
        <v>378</v>
      </c>
      <c r="T137" s="329" t="s">
        <v>2535</v>
      </c>
    </row>
    <row r="138" spans="1:26" ht="30" customHeight="1">
      <c r="A138" s="734" t="s">
        <v>3550</v>
      </c>
      <c r="B138" s="734"/>
      <c r="C138" s="734"/>
      <c r="D138" s="734"/>
      <c r="E138" s="734"/>
      <c r="F138" s="734"/>
      <c r="G138" s="734"/>
      <c r="H138" s="734"/>
      <c r="I138" s="734"/>
      <c r="J138" s="734"/>
      <c r="K138" s="734"/>
      <c r="L138" s="734"/>
      <c r="M138" s="734"/>
      <c r="N138" s="734"/>
      <c r="O138" s="734"/>
      <c r="P138" s="734"/>
    </row>
    <row r="139" spans="1:26" ht="30" customHeight="1">
      <c r="A139" s="382" t="s">
        <v>2538</v>
      </c>
      <c r="B139" s="382" t="s">
        <v>305</v>
      </c>
      <c r="C139" s="382" t="s">
        <v>2537</v>
      </c>
      <c r="D139" s="382" t="s">
        <v>265</v>
      </c>
      <c r="E139" s="382" t="s">
        <v>1728</v>
      </c>
      <c r="F139" s="383">
        <v>1</v>
      </c>
      <c r="G139" s="383">
        <v>0</v>
      </c>
      <c r="H139" s="383">
        <v>-30</v>
      </c>
      <c r="I139" s="383"/>
      <c r="J139" s="383"/>
      <c r="K139" s="383">
        <v>1</v>
      </c>
      <c r="L139" s="382" t="s">
        <v>1851</v>
      </c>
      <c r="M139" s="383">
        <f>0.19*(H139+100)/100*(I139+100)/100*(J139+100)/100</f>
        <v>0.13300000000000001</v>
      </c>
      <c r="N139" s="383">
        <f>F139*M139</f>
        <v>0.13300000000000001</v>
      </c>
      <c r="O139" s="382" t="s">
        <v>3466</v>
      </c>
      <c r="P139" s="382" t="s">
        <v>3551</v>
      </c>
      <c r="Q139" s="329" t="s">
        <v>1209</v>
      </c>
      <c r="R139" s="329" t="s">
        <v>2222</v>
      </c>
      <c r="S139" s="330">
        <v>0.19</v>
      </c>
      <c r="T139" s="329" t="s">
        <v>2539</v>
      </c>
      <c r="V139" s="330">
        <f>N139</f>
        <v>0.13300000000000001</v>
      </c>
    </row>
    <row r="140" spans="1:26" ht="30" customHeight="1">
      <c r="A140" s="382" t="s">
        <v>2222</v>
      </c>
      <c r="B140" s="382" t="s">
        <v>1851</v>
      </c>
      <c r="C140" s="382" t="s">
        <v>2221</v>
      </c>
      <c r="D140" s="382" t="s">
        <v>1852</v>
      </c>
      <c r="E140" s="382" t="s">
        <v>378</v>
      </c>
      <c r="F140" s="383">
        <f>SUM(V139:V139)</f>
        <v>0.13300000000000001</v>
      </c>
      <c r="G140" s="383"/>
      <c r="H140" s="383"/>
      <c r="I140" s="383"/>
      <c r="J140" s="383"/>
      <c r="K140" s="383">
        <f>TRUNC(F140*[4]공량설정_일위대가!B87/100, [4]공량설정_일위대가!C88)</f>
        <v>0.13300000000000001</v>
      </c>
      <c r="L140" s="382" t="s">
        <v>378</v>
      </c>
      <c r="M140" s="383"/>
      <c r="N140" s="383"/>
      <c r="O140" s="383" t="s">
        <v>3466</v>
      </c>
      <c r="P140" s="382" t="s">
        <v>378</v>
      </c>
      <c r="Q140" s="329" t="s">
        <v>1209</v>
      </c>
      <c r="R140" s="329" t="s">
        <v>378</v>
      </c>
      <c r="T140" s="329" t="s">
        <v>2540</v>
      </c>
    </row>
    <row r="141" spans="1:26" ht="30" customHeight="1">
      <c r="A141" s="734" t="s">
        <v>3552</v>
      </c>
      <c r="B141" s="734"/>
      <c r="C141" s="734"/>
      <c r="D141" s="734"/>
      <c r="E141" s="734"/>
      <c r="F141" s="734"/>
      <c r="G141" s="734"/>
      <c r="H141" s="734"/>
      <c r="I141" s="734"/>
      <c r="J141" s="734"/>
      <c r="K141" s="734"/>
      <c r="L141" s="734"/>
      <c r="M141" s="734"/>
      <c r="N141" s="734"/>
      <c r="O141" s="734"/>
      <c r="P141" s="734"/>
    </row>
    <row r="142" spans="1:26" ht="30" customHeight="1">
      <c r="A142" s="382" t="s">
        <v>2545</v>
      </c>
      <c r="B142" s="382" t="s">
        <v>2543</v>
      </c>
      <c r="C142" s="382" t="s">
        <v>2544</v>
      </c>
      <c r="D142" s="382" t="s">
        <v>300</v>
      </c>
      <c r="E142" s="382" t="s">
        <v>1730</v>
      </c>
      <c r="F142" s="383">
        <v>1</v>
      </c>
      <c r="G142" s="383">
        <v>5</v>
      </c>
      <c r="H142" s="383"/>
      <c r="I142" s="383"/>
      <c r="J142" s="383"/>
      <c r="K142" s="383">
        <v>1</v>
      </c>
      <c r="L142" s="382" t="s">
        <v>1851</v>
      </c>
      <c r="M142" s="383">
        <f>0.13*(H142+100)/100*(I142+100)/100*(J142+100)/100</f>
        <v>0.13</v>
      </c>
      <c r="N142" s="383">
        <f>F142*M142</f>
        <v>0.13</v>
      </c>
      <c r="O142" s="382" t="s">
        <v>3466</v>
      </c>
      <c r="P142" s="382" t="s">
        <v>3553</v>
      </c>
      <c r="Q142" s="329" t="s">
        <v>1214</v>
      </c>
      <c r="R142" s="329" t="s">
        <v>2222</v>
      </c>
      <c r="S142" s="330">
        <v>0.13</v>
      </c>
      <c r="T142" s="329" t="s">
        <v>2546</v>
      </c>
      <c r="V142" s="330">
        <f>N142</f>
        <v>0.13</v>
      </c>
    </row>
    <row r="143" spans="1:26" ht="30" customHeight="1">
      <c r="A143" s="382" t="s">
        <v>2222</v>
      </c>
      <c r="B143" s="382" t="s">
        <v>1851</v>
      </c>
      <c r="C143" s="382" t="s">
        <v>2221</v>
      </c>
      <c r="D143" s="382" t="s">
        <v>1852</v>
      </c>
      <c r="E143" s="382" t="s">
        <v>378</v>
      </c>
      <c r="F143" s="383">
        <f>SUM(V142:V142)</f>
        <v>0.13</v>
      </c>
      <c r="G143" s="383"/>
      <c r="H143" s="383"/>
      <c r="I143" s="383"/>
      <c r="J143" s="383"/>
      <c r="K143" s="383">
        <f>TRUNC(F143*[4]공량설정_일위대가!B89/100, [4]공량설정_일위대가!C90)</f>
        <v>0.13</v>
      </c>
      <c r="L143" s="382" t="s">
        <v>378</v>
      </c>
      <c r="M143" s="383"/>
      <c r="N143" s="383"/>
      <c r="O143" s="383" t="s">
        <v>3466</v>
      </c>
      <c r="P143" s="382" t="s">
        <v>378</v>
      </c>
      <c r="Q143" s="329" t="s">
        <v>1214</v>
      </c>
      <c r="R143" s="329" t="s">
        <v>378</v>
      </c>
      <c r="T143" s="329" t="s">
        <v>2548</v>
      </c>
    </row>
    <row r="144" spans="1:26" ht="30" customHeight="1">
      <c r="A144" s="734" t="s">
        <v>3554</v>
      </c>
      <c r="B144" s="734"/>
      <c r="C144" s="734"/>
      <c r="D144" s="734"/>
      <c r="E144" s="734"/>
      <c r="F144" s="734"/>
      <c r="G144" s="734"/>
      <c r="H144" s="734"/>
      <c r="I144" s="734"/>
      <c r="J144" s="734"/>
      <c r="K144" s="734"/>
      <c r="L144" s="734"/>
      <c r="M144" s="734"/>
      <c r="N144" s="734"/>
      <c r="O144" s="734"/>
      <c r="P144" s="734"/>
    </row>
    <row r="145" spans="1:24" ht="30" customHeight="1">
      <c r="A145" s="382" t="s">
        <v>2551</v>
      </c>
      <c r="B145" s="382" t="s">
        <v>2550</v>
      </c>
      <c r="C145" s="382" t="s">
        <v>315</v>
      </c>
      <c r="D145" s="382" t="s">
        <v>265</v>
      </c>
      <c r="E145" s="382" t="s">
        <v>1732</v>
      </c>
      <c r="F145" s="383">
        <v>1</v>
      </c>
      <c r="G145" s="383">
        <v>0</v>
      </c>
      <c r="H145" s="383"/>
      <c r="I145" s="383"/>
      <c r="J145" s="383"/>
      <c r="K145" s="383">
        <v>1</v>
      </c>
      <c r="L145" s="382" t="s">
        <v>1851</v>
      </c>
      <c r="M145" s="383">
        <f>0.138*(H145+100)/100*(I145+100)/100*(J145+100)/100</f>
        <v>0.13800000000000001</v>
      </c>
      <c r="N145" s="383">
        <f>F145*M145</f>
        <v>0.13800000000000001</v>
      </c>
      <c r="O145" s="382" t="s">
        <v>3466</v>
      </c>
      <c r="P145" s="382" t="s">
        <v>3555</v>
      </c>
      <c r="Q145" s="329" t="s">
        <v>1216</v>
      </c>
      <c r="R145" s="329" t="s">
        <v>2222</v>
      </c>
      <c r="S145" s="330">
        <v>0.13800000000000001</v>
      </c>
      <c r="T145" s="329" t="s">
        <v>2552</v>
      </c>
      <c r="V145" s="330">
        <f>N145</f>
        <v>0.13800000000000001</v>
      </c>
    </row>
    <row r="146" spans="1:24" ht="30" customHeight="1">
      <c r="A146" s="382" t="s">
        <v>2222</v>
      </c>
      <c r="B146" s="382" t="s">
        <v>1851</v>
      </c>
      <c r="C146" s="382" t="s">
        <v>2221</v>
      </c>
      <c r="D146" s="382" t="s">
        <v>1852</v>
      </c>
      <c r="E146" s="382" t="s">
        <v>378</v>
      </c>
      <c r="F146" s="383">
        <f>SUM(V145:V145)</f>
        <v>0.13800000000000001</v>
      </c>
      <c r="G146" s="383"/>
      <c r="H146" s="383"/>
      <c r="I146" s="383"/>
      <c r="J146" s="383"/>
      <c r="K146" s="383">
        <f>TRUNC(F146*[4]공량설정_일위대가!B91/100, [4]공량설정_일위대가!C92)</f>
        <v>0.13800000000000001</v>
      </c>
      <c r="L146" s="382" t="s">
        <v>378</v>
      </c>
      <c r="M146" s="383"/>
      <c r="N146" s="383"/>
      <c r="O146" s="383" t="s">
        <v>3466</v>
      </c>
      <c r="P146" s="382" t="s">
        <v>378</v>
      </c>
      <c r="Q146" s="329" t="s">
        <v>1216</v>
      </c>
      <c r="R146" s="329" t="s">
        <v>378</v>
      </c>
      <c r="T146" s="329" t="s">
        <v>2554</v>
      </c>
    </row>
    <row r="147" spans="1:24" ht="30" customHeight="1">
      <c r="A147" s="734" t="s">
        <v>3556</v>
      </c>
      <c r="B147" s="734"/>
      <c r="C147" s="734"/>
      <c r="D147" s="734"/>
      <c r="E147" s="734"/>
      <c r="F147" s="734"/>
      <c r="G147" s="734"/>
      <c r="H147" s="734"/>
      <c r="I147" s="734"/>
      <c r="J147" s="734"/>
      <c r="K147" s="734"/>
      <c r="L147" s="734"/>
      <c r="M147" s="734"/>
      <c r="N147" s="734"/>
      <c r="O147" s="734"/>
      <c r="P147" s="734"/>
    </row>
    <row r="148" spans="1:24" ht="30" customHeight="1">
      <c r="A148" s="382" t="s">
        <v>2557</v>
      </c>
      <c r="B148" s="382" t="s">
        <v>2556</v>
      </c>
      <c r="C148" s="382" t="s">
        <v>317</v>
      </c>
      <c r="D148" s="382" t="s">
        <v>265</v>
      </c>
      <c r="E148" s="382" t="s">
        <v>1734</v>
      </c>
      <c r="F148" s="383">
        <v>1</v>
      </c>
      <c r="G148" s="383">
        <v>0</v>
      </c>
      <c r="H148" s="383"/>
      <c r="I148" s="383"/>
      <c r="J148" s="383"/>
      <c r="K148" s="383">
        <v>1</v>
      </c>
      <c r="L148" s="382" t="s">
        <v>1851</v>
      </c>
      <c r="M148" s="383">
        <f>0.208*(H148+100)/100*(I148+100)/100*(J148+100)/100</f>
        <v>0.20800000000000002</v>
      </c>
      <c r="N148" s="383">
        <f>F148*M148</f>
        <v>0.20800000000000002</v>
      </c>
      <c r="O148" s="382" t="s">
        <v>3466</v>
      </c>
      <c r="P148" s="382" t="s">
        <v>3557</v>
      </c>
      <c r="Q148" s="329" t="s">
        <v>1218</v>
      </c>
      <c r="R148" s="329" t="s">
        <v>2222</v>
      </c>
      <c r="S148" s="330">
        <v>0.20799999999999999</v>
      </c>
      <c r="T148" s="329" t="s">
        <v>2558</v>
      </c>
      <c r="V148" s="330">
        <f>N148</f>
        <v>0.20800000000000002</v>
      </c>
    </row>
    <row r="149" spans="1:24" ht="30" customHeight="1">
      <c r="A149" s="382" t="s">
        <v>2222</v>
      </c>
      <c r="B149" s="382" t="s">
        <v>1851</v>
      </c>
      <c r="C149" s="382" t="s">
        <v>2221</v>
      </c>
      <c r="D149" s="382" t="s">
        <v>1852</v>
      </c>
      <c r="E149" s="382" t="s">
        <v>378</v>
      </c>
      <c r="F149" s="383">
        <f>SUM(V148:V148)</f>
        <v>0.20800000000000002</v>
      </c>
      <c r="G149" s="383"/>
      <c r="H149" s="383"/>
      <c r="I149" s="383"/>
      <c r="J149" s="383"/>
      <c r="K149" s="383">
        <f>TRUNC(F149*[4]공량설정_일위대가!B93/100, [4]공량설정_일위대가!C94)</f>
        <v>0.20799999999999999</v>
      </c>
      <c r="L149" s="382" t="s">
        <v>378</v>
      </c>
      <c r="M149" s="383"/>
      <c r="N149" s="383"/>
      <c r="O149" s="383" t="s">
        <v>3466</v>
      </c>
      <c r="P149" s="382" t="s">
        <v>378</v>
      </c>
      <c r="Q149" s="329" t="s">
        <v>1218</v>
      </c>
      <c r="R149" s="329" t="s">
        <v>378</v>
      </c>
      <c r="T149" s="329" t="s">
        <v>2560</v>
      </c>
    </row>
    <row r="150" spans="1:24" ht="30" customHeight="1">
      <c r="A150" s="734" t="s">
        <v>3558</v>
      </c>
      <c r="B150" s="734"/>
      <c r="C150" s="734"/>
      <c r="D150" s="734"/>
      <c r="E150" s="734"/>
      <c r="F150" s="734"/>
      <c r="G150" s="734"/>
      <c r="H150" s="734"/>
      <c r="I150" s="734"/>
      <c r="J150" s="734"/>
      <c r="K150" s="734"/>
      <c r="L150" s="734"/>
      <c r="M150" s="734"/>
      <c r="N150" s="734"/>
      <c r="O150" s="734"/>
      <c r="P150" s="734"/>
    </row>
    <row r="151" spans="1:24" ht="30" customHeight="1">
      <c r="A151" s="382" t="s">
        <v>2570</v>
      </c>
      <c r="B151" s="382" t="s">
        <v>2569</v>
      </c>
      <c r="C151" s="382" t="s">
        <v>378</v>
      </c>
      <c r="D151" s="382" t="s">
        <v>265</v>
      </c>
      <c r="E151" s="382" t="s">
        <v>1736</v>
      </c>
      <c r="F151" s="383">
        <v>1</v>
      </c>
      <c r="G151" s="383">
        <v>0</v>
      </c>
      <c r="H151" s="383"/>
      <c r="I151" s="383"/>
      <c r="J151" s="383"/>
      <c r="K151" s="383">
        <v>1</v>
      </c>
      <c r="L151" s="382" t="s">
        <v>1889</v>
      </c>
      <c r="M151" s="383">
        <f>0.19*(H151+100)/100*(I151+100)/100*(J151+100)/100</f>
        <v>0.19</v>
      </c>
      <c r="N151" s="383">
        <f>F151*M151</f>
        <v>0.19</v>
      </c>
      <c r="O151" s="382" t="s">
        <v>3460</v>
      </c>
      <c r="P151" s="382" t="s">
        <v>3559</v>
      </c>
      <c r="Q151" s="329" t="s">
        <v>1220</v>
      </c>
      <c r="R151" s="329" t="s">
        <v>2277</v>
      </c>
      <c r="S151" s="330">
        <v>0.19</v>
      </c>
      <c r="T151" s="329" t="s">
        <v>2571</v>
      </c>
      <c r="X151" s="330">
        <f>N151</f>
        <v>0.19</v>
      </c>
    </row>
    <row r="152" spans="1:24" ht="30" customHeight="1">
      <c r="A152" s="382" t="s">
        <v>378</v>
      </c>
      <c r="B152" s="382" t="s">
        <v>378</v>
      </c>
      <c r="C152" s="382" t="s">
        <v>378</v>
      </c>
      <c r="D152" s="382" t="s">
        <v>378</v>
      </c>
      <c r="E152" s="382" t="s">
        <v>378</v>
      </c>
      <c r="F152" s="383"/>
      <c r="G152" s="383"/>
      <c r="H152" s="383"/>
      <c r="I152" s="383"/>
      <c r="J152" s="383"/>
      <c r="K152" s="383"/>
      <c r="L152" s="382" t="s">
        <v>1851</v>
      </c>
      <c r="M152" s="383">
        <f>0.08*(H151+100)/100*(I151+100)/100*(J151+100)/100</f>
        <v>0.08</v>
      </c>
      <c r="N152" s="383">
        <f>F151*M152</f>
        <v>0.08</v>
      </c>
      <c r="O152" s="382" t="s">
        <v>3466</v>
      </c>
      <c r="P152" s="382" t="s">
        <v>3519</v>
      </c>
      <c r="Q152" s="329" t="s">
        <v>1220</v>
      </c>
      <c r="R152" s="329" t="s">
        <v>2222</v>
      </c>
      <c r="S152" s="330">
        <v>0.08</v>
      </c>
      <c r="T152" s="329" t="s">
        <v>2571</v>
      </c>
      <c r="V152" s="330">
        <f>N152</f>
        <v>0.08</v>
      </c>
    </row>
    <row r="153" spans="1:24" ht="30" customHeight="1">
      <c r="A153" s="382" t="s">
        <v>2277</v>
      </c>
      <c r="B153" s="382" t="s">
        <v>1889</v>
      </c>
      <c r="C153" s="382" t="s">
        <v>378</v>
      </c>
      <c r="D153" s="382" t="s">
        <v>1852</v>
      </c>
      <c r="E153" s="382" t="s">
        <v>378</v>
      </c>
      <c r="F153" s="383">
        <f>SUM(X151:X152)</f>
        <v>0.19</v>
      </c>
      <c r="G153" s="383"/>
      <c r="H153" s="383"/>
      <c r="I153" s="383"/>
      <c r="J153" s="383"/>
      <c r="K153" s="383">
        <f>TRUNC(F153*[4]공량설정_일위대가!B95/100, [4]공량설정_일위대가!C96)</f>
        <v>0.19</v>
      </c>
      <c r="L153" s="382" t="s">
        <v>378</v>
      </c>
      <c r="M153" s="383"/>
      <c r="N153" s="383"/>
      <c r="O153" s="383" t="s">
        <v>3460</v>
      </c>
      <c r="P153" s="382" t="s">
        <v>378</v>
      </c>
      <c r="Q153" s="329" t="s">
        <v>1220</v>
      </c>
      <c r="R153" s="329" t="s">
        <v>378</v>
      </c>
      <c r="T153" s="329" t="s">
        <v>2562</v>
      </c>
    </row>
    <row r="154" spans="1:24" ht="30" customHeight="1">
      <c r="A154" s="382" t="s">
        <v>2222</v>
      </c>
      <c r="B154" s="382" t="s">
        <v>1851</v>
      </c>
      <c r="C154" s="382" t="s">
        <v>2221</v>
      </c>
      <c r="D154" s="382" t="s">
        <v>1852</v>
      </c>
      <c r="E154" s="382" t="s">
        <v>378</v>
      </c>
      <c r="F154" s="383">
        <f>SUM(V151:V152)</f>
        <v>0.08</v>
      </c>
      <c r="G154" s="383"/>
      <c r="H154" s="383"/>
      <c r="I154" s="383"/>
      <c r="J154" s="383"/>
      <c r="K154" s="383">
        <f>TRUNC(F154*[4]공량설정_일위대가!B95/100, [4]공량설정_일위대가!C97)</f>
        <v>0.08</v>
      </c>
      <c r="L154" s="382" t="s">
        <v>378</v>
      </c>
      <c r="M154" s="383"/>
      <c r="N154" s="383"/>
      <c r="O154" s="383" t="s">
        <v>3466</v>
      </c>
      <c r="P154" s="382" t="s">
        <v>378</v>
      </c>
      <c r="Q154" s="329" t="s">
        <v>1220</v>
      </c>
      <c r="R154" s="329" t="s">
        <v>378</v>
      </c>
      <c r="T154" s="329" t="s">
        <v>2563</v>
      </c>
    </row>
    <row r="155" spans="1:24" ht="30" customHeight="1">
      <c r="A155" s="734" t="s">
        <v>3560</v>
      </c>
      <c r="B155" s="734"/>
      <c r="C155" s="734"/>
      <c r="D155" s="734"/>
      <c r="E155" s="734"/>
      <c r="F155" s="734"/>
      <c r="G155" s="734"/>
      <c r="H155" s="734"/>
      <c r="I155" s="734"/>
      <c r="J155" s="734"/>
      <c r="K155" s="734"/>
      <c r="L155" s="734"/>
      <c r="M155" s="734"/>
      <c r="N155" s="734"/>
      <c r="O155" s="734"/>
      <c r="P155" s="734"/>
    </row>
    <row r="156" spans="1:24" ht="30" customHeight="1">
      <c r="A156" s="382" t="s">
        <v>2574</v>
      </c>
      <c r="B156" s="382" t="s">
        <v>2573</v>
      </c>
      <c r="C156" s="382" t="s">
        <v>320</v>
      </c>
      <c r="D156" s="382" t="s">
        <v>321</v>
      </c>
      <c r="E156" s="382" t="s">
        <v>1715</v>
      </c>
      <c r="F156" s="383">
        <v>1</v>
      </c>
      <c r="G156" s="383">
        <v>0</v>
      </c>
      <c r="H156" s="383"/>
      <c r="I156" s="383"/>
      <c r="J156" s="383"/>
      <c r="K156" s="383">
        <v>1</v>
      </c>
      <c r="L156" s="382" t="s">
        <v>1851</v>
      </c>
      <c r="M156" s="383">
        <f>1.02*(H156+100)/100*(I156+100)/100*(J156+100)/100</f>
        <v>1.02</v>
      </c>
      <c r="N156" s="383">
        <f>F156*M156</f>
        <v>1.02</v>
      </c>
      <c r="O156" s="382" t="s">
        <v>3466</v>
      </c>
      <c r="P156" s="382" t="s">
        <v>3538</v>
      </c>
      <c r="Q156" s="329" t="s">
        <v>1222</v>
      </c>
      <c r="R156" s="329" t="s">
        <v>2222</v>
      </c>
      <c r="S156" s="330">
        <v>1.02</v>
      </c>
      <c r="T156" s="329" t="s">
        <v>2575</v>
      </c>
      <c r="V156" s="330">
        <f>N156</f>
        <v>1.02</v>
      </c>
    </row>
    <row r="157" spans="1:24" ht="30" customHeight="1">
      <c r="A157" s="382" t="s">
        <v>2579</v>
      </c>
      <c r="B157" s="382" t="s">
        <v>2577</v>
      </c>
      <c r="C157" s="382" t="s">
        <v>2578</v>
      </c>
      <c r="D157" s="382" t="s">
        <v>265</v>
      </c>
      <c r="E157" s="382" t="s">
        <v>1742</v>
      </c>
      <c r="F157" s="383">
        <v>4</v>
      </c>
      <c r="G157" s="383">
        <v>0</v>
      </c>
      <c r="H157" s="383"/>
      <c r="I157" s="383"/>
      <c r="J157" s="383"/>
      <c r="K157" s="383">
        <v>4</v>
      </c>
      <c r="L157" s="382" t="s">
        <v>1851</v>
      </c>
      <c r="M157" s="383">
        <f>0.105*(H157+100)/100*(I157+100)/100*(J157+100)/100</f>
        <v>0.105</v>
      </c>
      <c r="N157" s="383">
        <f>F157*M157</f>
        <v>0.42</v>
      </c>
      <c r="O157" s="382" t="s">
        <v>3466</v>
      </c>
      <c r="P157" s="382" t="s">
        <v>3561</v>
      </c>
      <c r="Q157" s="329" t="s">
        <v>1222</v>
      </c>
      <c r="R157" s="329" t="s">
        <v>2222</v>
      </c>
      <c r="S157" s="330">
        <v>0.105</v>
      </c>
      <c r="T157" s="329" t="s">
        <v>2580</v>
      </c>
      <c r="V157" s="330">
        <f>N157</f>
        <v>0.42</v>
      </c>
    </row>
    <row r="158" spans="1:24" ht="30" customHeight="1">
      <c r="A158" s="382" t="s">
        <v>2222</v>
      </c>
      <c r="B158" s="382" t="s">
        <v>1851</v>
      </c>
      <c r="C158" s="382" t="s">
        <v>2221</v>
      </c>
      <c r="D158" s="382" t="s">
        <v>1852</v>
      </c>
      <c r="E158" s="382" t="s">
        <v>378</v>
      </c>
      <c r="F158" s="383">
        <f>SUM(V156:V157)</f>
        <v>1.44</v>
      </c>
      <c r="G158" s="383"/>
      <c r="H158" s="383"/>
      <c r="I158" s="383"/>
      <c r="J158" s="383"/>
      <c r="K158" s="383">
        <f>TRUNC(F158*[4]공량설정_일위대가!B98/100, [4]공량설정_일위대가!C99)</f>
        <v>1.44</v>
      </c>
      <c r="L158" s="382" t="s">
        <v>378</v>
      </c>
      <c r="M158" s="383"/>
      <c r="N158" s="383"/>
      <c r="O158" s="383" t="s">
        <v>3466</v>
      </c>
      <c r="P158" s="382" t="s">
        <v>378</v>
      </c>
      <c r="Q158" s="329" t="s">
        <v>1222</v>
      </c>
      <c r="R158" s="329" t="s">
        <v>378</v>
      </c>
      <c r="T158" s="329" t="s">
        <v>2585</v>
      </c>
    </row>
    <row r="159" spans="1:24" ht="30" customHeight="1">
      <c r="A159" s="734" t="s">
        <v>3562</v>
      </c>
      <c r="B159" s="734"/>
      <c r="C159" s="734"/>
      <c r="D159" s="734"/>
      <c r="E159" s="734"/>
      <c r="F159" s="734"/>
      <c r="G159" s="734"/>
      <c r="H159" s="734"/>
      <c r="I159" s="734"/>
      <c r="J159" s="734"/>
      <c r="K159" s="734"/>
      <c r="L159" s="734"/>
      <c r="M159" s="734"/>
      <c r="N159" s="734"/>
      <c r="O159" s="734"/>
      <c r="P159" s="734"/>
    </row>
    <row r="160" spans="1:24" ht="30" customHeight="1">
      <c r="A160" s="382" t="s">
        <v>2574</v>
      </c>
      <c r="B160" s="382" t="s">
        <v>2573</v>
      </c>
      <c r="C160" s="382" t="s">
        <v>320</v>
      </c>
      <c r="D160" s="382" t="s">
        <v>321</v>
      </c>
      <c r="E160" s="382" t="s">
        <v>1715</v>
      </c>
      <c r="F160" s="383">
        <v>1</v>
      </c>
      <c r="G160" s="383">
        <v>0</v>
      </c>
      <c r="H160" s="383"/>
      <c r="I160" s="383"/>
      <c r="J160" s="383"/>
      <c r="K160" s="383">
        <v>1</v>
      </c>
      <c r="L160" s="382" t="s">
        <v>1851</v>
      </c>
      <c r="M160" s="383">
        <f>1.02*(H160+100)/100*(I160+100)/100*(J160+100)/100</f>
        <v>1.02</v>
      </c>
      <c r="N160" s="383">
        <f>F160*M160</f>
        <v>1.02</v>
      </c>
      <c r="O160" s="382" t="s">
        <v>3466</v>
      </c>
      <c r="P160" s="382" t="s">
        <v>3538</v>
      </c>
      <c r="Q160" s="329" t="s">
        <v>1224</v>
      </c>
      <c r="R160" s="329" t="s">
        <v>2222</v>
      </c>
      <c r="S160" s="330">
        <v>1.02</v>
      </c>
      <c r="T160" s="329" t="s">
        <v>2587</v>
      </c>
      <c r="V160" s="330">
        <f>N160</f>
        <v>1.02</v>
      </c>
    </row>
    <row r="161" spans="1:24" ht="30" customHeight="1">
      <c r="A161" s="382" t="s">
        <v>2590</v>
      </c>
      <c r="B161" s="382" t="s">
        <v>2577</v>
      </c>
      <c r="C161" s="382" t="s">
        <v>2589</v>
      </c>
      <c r="D161" s="382" t="s">
        <v>265</v>
      </c>
      <c r="E161" s="382" t="s">
        <v>1742</v>
      </c>
      <c r="F161" s="383">
        <v>6</v>
      </c>
      <c r="G161" s="383">
        <v>0</v>
      </c>
      <c r="H161" s="383"/>
      <c r="I161" s="383"/>
      <c r="J161" s="383"/>
      <c r="K161" s="383">
        <v>6</v>
      </c>
      <c r="L161" s="382" t="s">
        <v>1851</v>
      </c>
      <c r="M161" s="383">
        <f>0.105*(H161+100)/100*(I161+100)/100*(J161+100)/100</f>
        <v>0.105</v>
      </c>
      <c r="N161" s="383">
        <f>F161*M161</f>
        <v>0.63</v>
      </c>
      <c r="O161" s="382" t="s">
        <v>3466</v>
      </c>
      <c r="P161" s="382" t="s">
        <v>3561</v>
      </c>
      <c r="Q161" s="329" t="s">
        <v>1224</v>
      </c>
      <c r="R161" s="329" t="s">
        <v>2222</v>
      </c>
      <c r="S161" s="330">
        <v>0.105</v>
      </c>
      <c r="T161" s="329" t="s">
        <v>2591</v>
      </c>
      <c r="V161" s="330">
        <f>N161</f>
        <v>0.63</v>
      </c>
    </row>
    <row r="162" spans="1:24" ht="30" customHeight="1">
      <c r="A162" s="382" t="s">
        <v>2222</v>
      </c>
      <c r="B162" s="382" t="s">
        <v>1851</v>
      </c>
      <c r="C162" s="382" t="s">
        <v>2221</v>
      </c>
      <c r="D162" s="382" t="s">
        <v>1852</v>
      </c>
      <c r="E162" s="382" t="s">
        <v>378</v>
      </c>
      <c r="F162" s="383">
        <f>SUM(V160:V161)</f>
        <v>1.65</v>
      </c>
      <c r="G162" s="383"/>
      <c r="H162" s="383"/>
      <c r="I162" s="383"/>
      <c r="J162" s="383"/>
      <c r="K162" s="383">
        <f>TRUNC(F162*[4]공량설정_일위대가!B100/100, [4]공량설정_일위대가!C101)</f>
        <v>1.65</v>
      </c>
      <c r="L162" s="382" t="s">
        <v>378</v>
      </c>
      <c r="M162" s="383"/>
      <c r="N162" s="383"/>
      <c r="O162" s="383" t="s">
        <v>3466</v>
      </c>
      <c r="P162" s="382" t="s">
        <v>378</v>
      </c>
      <c r="Q162" s="329" t="s">
        <v>1224</v>
      </c>
      <c r="R162" s="329" t="s">
        <v>378</v>
      </c>
      <c r="T162" s="329" t="s">
        <v>2594</v>
      </c>
    </row>
    <row r="163" spans="1:24" ht="30" customHeight="1">
      <c r="A163" s="734" t="s">
        <v>3563</v>
      </c>
      <c r="B163" s="734"/>
      <c r="C163" s="734"/>
      <c r="D163" s="734"/>
      <c r="E163" s="734"/>
      <c r="F163" s="734"/>
      <c r="G163" s="734"/>
      <c r="H163" s="734"/>
      <c r="I163" s="734"/>
      <c r="J163" s="734"/>
      <c r="K163" s="734"/>
      <c r="L163" s="734"/>
      <c r="M163" s="734"/>
      <c r="N163" s="734"/>
      <c r="O163" s="734"/>
      <c r="P163" s="734"/>
    </row>
    <row r="164" spans="1:24" ht="30" customHeight="1">
      <c r="A164" s="382" t="s">
        <v>2609</v>
      </c>
      <c r="B164" s="382" t="s">
        <v>2608</v>
      </c>
      <c r="C164" s="382" t="s">
        <v>1048</v>
      </c>
      <c r="D164" s="382" t="s">
        <v>265</v>
      </c>
      <c r="E164" s="382" t="s">
        <v>1742</v>
      </c>
      <c r="F164" s="383">
        <v>1</v>
      </c>
      <c r="G164" s="383">
        <v>0</v>
      </c>
      <c r="H164" s="383"/>
      <c r="I164" s="383"/>
      <c r="J164" s="383"/>
      <c r="K164" s="383">
        <v>1</v>
      </c>
      <c r="L164" s="382" t="s">
        <v>1851</v>
      </c>
      <c r="M164" s="383">
        <f>0.183*(H164+100)/100*(I164+100)/100*(J164+100)/100</f>
        <v>0.183</v>
      </c>
      <c r="N164" s="383">
        <f>F164*M164</f>
        <v>0.183</v>
      </c>
      <c r="O164" s="382" t="s">
        <v>3466</v>
      </c>
      <c r="P164" s="382" t="s">
        <v>3564</v>
      </c>
      <c r="Q164" s="329" t="s">
        <v>1231</v>
      </c>
      <c r="R164" s="329" t="s">
        <v>2222</v>
      </c>
      <c r="S164" s="330">
        <v>0.183</v>
      </c>
      <c r="T164" s="329" t="s">
        <v>2610</v>
      </c>
      <c r="V164" s="330">
        <f>N164</f>
        <v>0.183</v>
      </c>
    </row>
    <row r="165" spans="1:24" ht="30" customHeight="1">
      <c r="A165" s="382" t="s">
        <v>2222</v>
      </c>
      <c r="B165" s="382" t="s">
        <v>1851</v>
      </c>
      <c r="C165" s="382" t="s">
        <v>2221</v>
      </c>
      <c r="D165" s="382" t="s">
        <v>1852</v>
      </c>
      <c r="E165" s="382" t="s">
        <v>378</v>
      </c>
      <c r="F165" s="383">
        <f>SUM(V164:V164)</f>
        <v>0.183</v>
      </c>
      <c r="G165" s="383"/>
      <c r="H165" s="383"/>
      <c r="I165" s="383"/>
      <c r="J165" s="383"/>
      <c r="K165" s="383">
        <f>TRUNC(F165*[4]공량설정_일위대가!B106/100, [4]공량설정_일위대가!C107)</f>
        <v>0.183</v>
      </c>
      <c r="L165" s="382" t="s">
        <v>378</v>
      </c>
      <c r="M165" s="383"/>
      <c r="N165" s="383"/>
      <c r="O165" s="383" t="s">
        <v>3466</v>
      </c>
      <c r="P165" s="382" t="s">
        <v>378</v>
      </c>
      <c r="Q165" s="329" t="s">
        <v>1231</v>
      </c>
      <c r="R165" s="329" t="s">
        <v>378</v>
      </c>
      <c r="T165" s="329" t="s">
        <v>2612</v>
      </c>
    </row>
    <row r="166" spans="1:24" ht="30" customHeight="1">
      <c r="A166" s="734" t="s">
        <v>3565</v>
      </c>
      <c r="B166" s="734"/>
      <c r="C166" s="734"/>
      <c r="D166" s="734"/>
      <c r="E166" s="734"/>
      <c r="F166" s="734"/>
      <c r="G166" s="734"/>
      <c r="H166" s="734"/>
      <c r="I166" s="734"/>
      <c r="J166" s="734"/>
      <c r="K166" s="734"/>
      <c r="L166" s="734"/>
      <c r="M166" s="734"/>
      <c r="N166" s="734"/>
      <c r="O166" s="734"/>
      <c r="P166" s="734"/>
    </row>
    <row r="167" spans="1:24" ht="30" customHeight="1">
      <c r="A167" s="382" t="s">
        <v>2616</v>
      </c>
      <c r="B167" s="382" t="s">
        <v>2614</v>
      </c>
      <c r="C167" s="382" t="s">
        <v>2615</v>
      </c>
      <c r="D167" s="382" t="s">
        <v>265</v>
      </c>
      <c r="E167" s="382" t="s">
        <v>1744</v>
      </c>
      <c r="F167" s="383">
        <v>1</v>
      </c>
      <c r="G167" s="383">
        <v>0</v>
      </c>
      <c r="H167" s="383"/>
      <c r="I167" s="383"/>
      <c r="J167" s="383"/>
      <c r="K167" s="383">
        <v>1</v>
      </c>
      <c r="L167" s="382" t="s">
        <v>1851</v>
      </c>
      <c r="M167" s="383">
        <f>0.31*(H167+100)/100*(I167+100)/100*(J167+100)/100</f>
        <v>0.31</v>
      </c>
      <c r="N167" s="383">
        <f>F167*M167</f>
        <v>0.31</v>
      </c>
      <c r="O167" s="382" t="s">
        <v>3466</v>
      </c>
      <c r="P167" s="382" t="s">
        <v>3566</v>
      </c>
      <c r="Q167" s="329" t="s">
        <v>1233</v>
      </c>
      <c r="R167" s="329" t="s">
        <v>2222</v>
      </c>
      <c r="S167" s="330">
        <v>0.31</v>
      </c>
      <c r="T167" s="329" t="s">
        <v>2617</v>
      </c>
      <c r="V167" s="330">
        <f>N167</f>
        <v>0.31</v>
      </c>
    </row>
    <row r="168" spans="1:24" ht="30" customHeight="1">
      <c r="A168" s="382" t="s">
        <v>2222</v>
      </c>
      <c r="B168" s="382" t="s">
        <v>1851</v>
      </c>
      <c r="C168" s="382" t="s">
        <v>2221</v>
      </c>
      <c r="D168" s="382" t="s">
        <v>1852</v>
      </c>
      <c r="E168" s="382" t="s">
        <v>378</v>
      </c>
      <c r="F168" s="383">
        <f>SUM(V167:V167)</f>
        <v>0.31</v>
      </c>
      <c r="G168" s="383"/>
      <c r="H168" s="383"/>
      <c r="I168" s="383"/>
      <c r="J168" s="383"/>
      <c r="K168" s="383">
        <f>TRUNC(F168*[4]공량설정_일위대가!B108/100, [4]공량설정_일위대가!C109)</f>
        <v>0.31</v>
      </c>
      <c r="L168" s="382" t="s">
        <v>378</v>
      </c>
      <c r="M168" s="383"/>
      <c r="N168" s="383"/>
      <c r="O168" s="383" t="s">
        <v>3466</v>
      </c>
      <c r="P168" s="382" t="s">
        <v>378</v>
      </c>
      <c r="Q168" s="329" t="s">
        <v>1233</v>
      </c>
      <c r="R168" s="329" t="s">
        <v>378</v>
      </c>
      <c r="T168" s="329" t="s">
        <v>2620</v>
      </c>
    </row>
    <row r="169" spans="1:24" ht="30" customHeight="1">
      <c r="A169" s="734" t="s">
        <v>3567</v>
      </c>
      <c r="B169" s="734"/>
      <c r="C169" s="734"/>
      <c r="D169" s="734"/>
      <c r="E169" s="734"/>
      <c r="F169" s="734"/>
      <c r="G169" s="734"/>
      <c r="H169" s="734"/>
      <c r="I169" s="734"/>
      <c r="J169" s="734"/>
      <c r="K169" s="734"/>
      <c r="L169" s="734"/>
      <c r="M169" s="734"/>
      <c r="N169" s="734"/>
      <c r="O169" s="734"/>
      <c r="P169" s="734"/>
    </row>
    <row r="170" spans="1:24" ht="30" customHeight="1">
      <c r="A170" s="382" t="s">
        <v>2624</v>
      </c>
      <c r="B170" s="382" t="s">
        <v>2623</v>
      </c>
      <c r="C170" s="382" t="s">
        <v>315</v>
      </c>
      <c r="D170" s="382" t="s">
        <v>265</v>
      </c>
      <c r="E170" s="382" t="s">
        <v>1744</v>
      </c>
      <c r="F170" s="383">
        <v>1</v>
      </c>
      <c r="G170" s="383">
        <v>0</v>
      </c>
      <c r="H170" s="383"/>
      <c r="I170" s="383"/>
      <c r="J170" s="383"/>
      <c r="K170" s="383">
        <v>1</v>
      </c>
      <c r="L170" s="382" t="s">
        <v>1851</v>
      </c>
      <c r="M170" s="383">
        <f>0.31*(H170+100)/100*(I170+100)/100*(J170+100)/100</f>
        <v>0.31</v>
      </c>
      <c r="N170" s="383">
        <f>F170*M170</f>
        <v>0.31</v>
      </c>
      <c r="O170" s="382" t="s">
        <v>3466</v>
      </c>
      <c r="P170" s="382" t="s">
        <v>3566</v>
      </c>
      <c r="Q170" s="329" t="s">
        <v>1235</v>
      </c>
      <c r="R170" s="329" t="s">
        <v>2222</v>
      </c>
      <c r="S170" s="330">
        <v>0.31</v>
      </c>
      <c r="T170" s="329" t="s">
        <v>2625</v>
      </c>
      <c r="V170" s="330">
        <f>N170</f>
        <v>0.31</v>
      </c>
    </row>
    <row r="171" spans="1:24" ht="30" customHeight="1">
      <c r="A171" s="382" t="s">
        <v>2222</v>
      </c>
      <c r="B171" s="382" t="s">
        <v>1851</v>
      </c>
      <c r="C171" s="382" t="s">
        <v>2221</v>
      </c>
      <c r="D171" s="382" t="s">
        <v>1852</v>
      </c>
      <c r="E171" s="382" t="s">
        <v>378</v>
      </c>
      <c r="F171" s="383">
        <f>SUM(V170:V170)</f>
        <v>0.31</v>
      </c>
      <c r="G171" s="383"/>
      <c r="H171" s="383"/>
      <c r="I171" s="383"/>
      <c r="J171" s="383"/>
      <c r="K171" s="383">
        <f>TRUNC(F171*[4]공량설정_일위대가!B110/100, [4]공량설정_일위대가!C111)</f>
        <v>0.31</v>
      </c>
      <c r="L171" s="382" t="s">
        <v>378</v>
      </c>
      <c r="M171" s="383"/>
      <c r="N171" s="383"/>
      <c r="O171" s="383" t="s">
        <v>3466</v>
      </c>
      <c r="P171" s="382" t="s">
        <v>378</v>
      </c>
      <c r="Q171" s="329" t="s">
        <v>1235</v>
      </c>
      <c r="R171" s="329" t="s">
        <v>378</v>
      </c>
      <c r="T171" s="329" t="s">
        <v>2627</v>
      </c>
    </row>
    <row r="172" spans="1:24" ht="30" customHeight="1">
      <c r="A172" s="734" t="s">
        <v>3568</v>
      </c>
      <c r="B172" s="734"/>
      <c r="C172" s="734"/>
      <c r="D172" s="734"/>
      <c r="E172" s="734"/>
      <c r="F172" s="734"/>
      <c r="G172" s="734"/>
      <c r="H172" s="734"/>
      <c r="I172" s="734"/>
      <c r="J172" s="734"/>
      <c r="K172" s="734"/>
      <c r="L172" s="734"/>
      <c r="M172" s="734"/>
      <c r="N172" s="734"/>
      <c r="O172" s="734"/>
      <c r="P172" s="734"/>
    </row>
    <row r="173" spans="1:24" ht="30" customHeight="1">
      <c r="A173" s="382" t="s">
        <v>2631</v>
      </c>
      <c r="B173" s="382" t="s">
        <v>2629</v>
      </c>
      <c r="C173" s="382" t="s">
        <v>2630</v>
      </c>
      <c r="D173" s="382" t="s">
        <v>265</v>
      </c>
      <c r="E173" s="382" t="s">
        <v>3569</v>
      </c>
      <c r="F173" s="383">
        <v>1</v>
      </c>
      <c r="G173" s="383">
        <v>0</v>
      </c>
      <c r="H173" s="383"/>
      <c r="I173" s="383"/>
      <c r="J173" s="383"/>
      <c r="K173" s="383">
        <v>1</v>
      </c>
      <c r="L173" s="382" t="s">
        <v>1851</v>
      </c>
      <c r="M173" s="383">
        <f>0.242*(H173+100)/100*(I173+100)/100*(J173+100)/100</f>
        <v>0.24199999999999999</v>
      </c>
      <c r="N173" s="383">
        <f>F173*M173</f>
        <v>0.24199999999999999</v>
      </c>
      <c r="O173" s="382" t="s">
        <v>3466</v>
      </c>
      <c r="P173" s="382" t="s">
        <v>3570</v>
      </c>
      <c r="Q173" s="329" t="s">
        <v>1237</v>
      </c>
      <c r="R173" s="329" t="s">
        <v>2222</v>
      </c>
      <c r="S173" s="330">
        <v>0.24199999999999999</v>
      </c>
      <c r="T173" s="329" t="s">
        <v>2632</v>
      </c>
      <c r="V173" s="330">
        <f>N173</f>
        <v>0.24199999999999999</v>
      </c>
    </row>
    <row r="174" spans="1:24" ht="30" customHeight="1">
      <c r="A174" s="382" t="s">
        <v>2222</v>
      </c>
      <c r="B174" s="382" t="s">
        <v>1851</v>
      </c>
      <c r="C174" s="382" t="s">
        <v>2221</v>
      </c>
      <c r="D174" s="382" t="s">
        <v>1852</v>
      </c>
      <c r="E174" s="382" t="s">
        <v>378</v>
      </c>
      <c r="F174" s="383">
        <f>SUM(V173:V173)</f>
        <v>0.24199999999999999</v>
      </c>
      <c r="G174" s="383"/>
      <c r="H174" s="383"/>
      <c r="I174" s="383"/>
      <c r="J174" s="383"/>
      <c r="K174" s="383">
        <f>TRUNC(F174*[4]공량설정_일위대가!B112/100, [4]공량설정_일위대가!C113)</f>
        <v>0.24199999999999999</v>
      </c>
      <c r="L174" s="382" t="s">
        <v>378</v>
      </c>
      <c r="M174" s="383"/>
      <c r="N174" s="383"/>
      <c r="O174" s="383" t="s">
        <v>3466</v>
      </c>
      <c r="P174" s="382" t="s">
        <v>378</v>
      </c>
      <c r="Q174" s="329" t="s">
        <v>1237</v>
      </c>
      <c r="R174" s="329" t="s">
        <v>378</v>
      </c>
      <c r="T174" s="329" t="s">
        <v>2633</v>
      </c>
    </row>
    <row r="175" spans="1:24" ht="30" customHeight="1">
      <c r="A175" s="734" t="s">
        <v>3571</v>
      </c>
      <c r="B175" s="734"/>
      <c r="C175" s="734"/>
      <c r="D175" s="734"/>
      <c r="E175" s="734"/>
      <c r="F175" s="734"/>
      <c r="G175" s="734"/>
      <c r="H175" s="734"/>
      <c r="I175" s="734"/>
      <c r="J175" s="734"/>
      <c r="K175" s="734"/>
      <c r="L175" s="734"/>
      <c r="M175" s="734"/>
      <c r="N175" s="734"/>
      <c r="O175" s="734"/>
      <c r="P175" s="734"/>
    </row>
    <row r="176" spans="1:24" ht="30" customHeight="1">
      <c r="A176" s="382" t="s">
        <v>2640</v>
      </c>
      <c r="B176" s="382" t="s">
        <v>336</v>
      </c>
      <c r="C176" s="382" t="s">
        <v>336</v>
      </c>
      <c r="D176" s="382" t="s">
        <v>265</v>
      </c>
      <c r="E176" s="382" t="s">
        <v>1736</v>
      </c>
      <c r="F176" s="383">
        <v>1</v>
      </c>
      <c r="G176" s="383">
        <v>0</v>
      </c>
      <c r="H176" s="383"/>
      <c r="I176" s="383"/>
      <c r="J176" s="383"/>
      <c r="K176" s="383">
        <v>1</v>
      </c>
      <c r="L176" s="382" t="s">
        <v>1889</v>
      </c>
      <c r="M176" s="383">
        <f>0.19*(H176+100)/100*(I176+100)/100*(J176+100)/100</f>
        <v>0.19</v>
      </c>
      <c r="N176" s="383">
        <f>F176*M176</f>
        <v>0.19</v>
      </c>
      <c r="O176" s="382" t="s">
        <v>3460</v>
      </c>
      <c r="P176" s="382" t="s">
        <v>3559</v>
      </c>
      <c r="Q176" s="329" t="s">
        <v>1239</v>
      </c>
      <c r="R176" s="329" t="s">
        <v>2277</v>
      </c>
      <c r="S176" s="330">
        <v>0.19</v>
      </c>
      <c r="T176" s="329" t="s">
        <v>2641</v>
      </c>
      <c r="X176" s="330">
        <f>N176</f>
        <v>0.19</v>
      </c>
    </row>
    <row r="177" spans="1:24" ht="30" customHeight="1">
      <c r="A177" s="382" t="s">
        <v>378</v>
      </c>
      <c r="B177" s="382" t="s">
        <v>378</v>
      </c>
      <c r="C177" s="382" t="s">
        <v>378</v>
      </c>
      <c r="D177" s="382" t="s">
        <v>378</v>
      </c>
      <c r="E177" s="382" t="s">
        <v>378</v>
      </c>
      <c r="F177" s="383"/>
      <c r="G177" s="383"/>
      <c r="H177" s="383"/>
      <c r="I177" s="383"/>
      <c r="J177" s="383"/>
      <c r="K177" s="383"/>
      <c r="L177" s="382" t="s">
        <v>1851</v>
      </c>
      <c r="M177" s="383">
        <f>0.08*(H176+100)/100*(I176+100)/100*(J176+100)/100</f>
        <v>0.08</v>
      </c>
      <c r="N177" s="383">
        <f>F176*M177</f>
        <v>0.08</v>
      </c>
      <c r="O177" s="382" t="s">
        <v>3466</v>
      </c>
      <c r="P177" s="382" t="s">
        <v>3519</v>
      </c>
      <c r="Q177" s="329" t="s">
        <v>1239</v>
      </c>
      <c r="R177" s="329" t="s">
        <v>2222</v>
      </c>
      <c r="S177" s="330">
        <v>0.08</v>
      </c>
      <c r="T177" s="329" t="s">
        <v>2641</v>
      </c>
      <c r="V177" s="330">
        <f>N177</f>
        <v>0.08</v>
      </c>
    </row>
    <row r="178" spans="1:24" ht="30" customHeight="1">
      <c r="A178" s="382" t="s">
        <v>2277</v>
      </c>
      <c r="B178" s="382" t="s">
        <v>1889</v>
      </c>
      <c r="C178" s="382" t="s">
        <v>378</v>
      </c>
      <c r="D178" s="382" t="s">
        <v>1852</v>
      </c>
      <c r="E178" s="382" t="s">
        <v>378</v>
      </c>
      <c r="F178" s="383">
        <f>SUM(X176:X177)</f>
        <v>0.19</v>
      </c>
      <c r="G178" s="383"/>
      <c r="H178" s="383"/>
      <c r="I178" s="383"/>
      <c r="J178" s="383"/>
      <c r="K178" s="383">
        <f>TRUNC(F178*[4]공량설정_일위대가!B114/100, [4]공량설정_일위대가!C115)</f>
        <v>0.19</v>
      </c>
      <c r="L178" s="382" t="s">
        <v>378</v>
      </c>
      <c r="M178" s="383"/>
      <c r="N178" s="383"/>
      <c r="O178" s="383" t="s">
        <v>3460</v>
      </c>
      <c r="P178" s="382" t="s">
        <v>378</v>
      </c>
      <c r="Q178" s="329" t="s">
        <v>1239</v>
      </c>
      <c r="R178" s="329" t="s">
        <v>378</v>
      </c>
      <c r="T178" s="329" t="s">
        <v>2636</v>
      </c>
    </row>
    <row r="179" spans="1:24" ht="30" customHeight="1">
      <c r="A179" s="382" t="s">
        <v>2222</v>
      </c>
      <c r="B179" s="382" t="s">
        <v>1851</v>
      </c>
      <c r="C179" s="382" t="s">
        <v>2221</v>
      </c>
      <c r="D179" s="382" t="s">
        <v>1852</v>
      </c>
      <c r="E179" s="382" t="s">
        <v>378</v>
      </c>
      <c r="F179" s="383">
        <f>SUM(V176:V177)</f>
        <v>0.08</v>
      </c>
      <c r="G179" s="383"/>
      <c r="H179" s="383"/>
      <c r="I179" s="383"/>
      <c r="J179" s="383"/>
      <c r="K179" s="383">
        <f>TRUNC(F179*[4]공량설정_일위대가!B114/100, [4]공량설정_일위대가!C116)</f>
        <v>0.08</v>
      </c>
      <c r="L179" s="382" t="s">
        <v>378</v>
      </c>
      <c r="M179" s="383"/>
      <c r="N179" s="383"/>
      <c r="O179" s="383" t="s">
        <v>3466</v>
      </c>
      <c r="P179" s="382" t="s">
        <v>378</v>
      </c>
      <c r="Q179" s="329" t="s">
        <v>1239</v>
      </c>
      <c r="R179" s="329" t="s">
        <v>378</v>
      </c>
      <c r="T179" s="329" t="s">
        <v>2638</v>
      </c>
    </row>
    <row r="180" spans="1:24" ht="30" customHeight="1">
      <c r="A180" s="734" t="s">
        <v>3572</v>
      </c>
      <c r="B180" s="734"/>
      <c r="C180" s="734"/>
      <c r="D180" s="734"/>
      <c r="E180" s="734"/>
      <c r="F180" s="734"/>
      <c r="G180" s="734"/>
      <c r="H180" s="734"/>
      <c r="I180" s="734"/>
      <c r="J180" s="734"/>
      <c r="K180" s="734"/>
      <c r="L180" s="734"/>
      <c r="M180" s="734"/>
      <c r="N180" s="734"/>
      <c r="O180" s="734"/>
      <c r="P180" s="734"/>
    </row>
    <row r="181" spans="1:24" ht="30" customHeight="1">
      <c r="A181" s="382" t="s">
        <v>2643</v>
      </c>
      <c r="B181" s="382" t="s">
        <v>337</v>
      </c>
      <c r="C181" s="382" t="s">
        <v>2366</v>
      </c>
      <c r="D181" s="382" t="s">
        <v>265</v>
      </c>
      <c r="E181" s="382" t="s">
        <v>1678</v>
      </c>
      <c r="F181" s="383">
        <v>1</v>
      </c>
      <c r="G181" s="383">
        <v>0</v>
      </c>
      <c r="H181" s="383"/>
      <c r="I181" s="383"/>
      <c r="J181" s="383"/>
      <c r="K181" s="383">
        <v>1</v>
      </c>
      <c r="L181" s="382" t="s">
        <v>1889</v>
      </c>
      <c r="M181" s="383">
        <f>0.08*(H181+100)/100*(I181+100)/100*(J181+100)/100</f>
        <v>0.08</v>
      </c>
      <c r="N181" s="383">
        <f>F181*M181</f>
        <v>0.08</v>
      </c>
      <c r="O181" s="382" t="s">
        <v>3460</v>
      </c>
      <c r="P181" s="382" t="s">
        <v>3519</v>
      </c>
      <c r="Q181" s="329" t="s">
        <v>1241</v>
      </c>
      <c r="R181" s="329" t="s">
        <v>2277</v>
      </c>
      <c r="S181" s="330">
        <v>0.08</v>
      </c>
      <c r="T181" s="329" t="s">
        <v>2644</v>
      </c>
      <c r="X181" s="330">
        <f>N181</f>
        <v>0.08</v>
      </c>
    </row>
    <row r="182" spans="1:24" ht="30" customHeight="1">
      <c r="A182" s="382" t="s">
        <v>378</v>
      </c>
      <c r="B182" s="382" t="s">
        <v>378</v>
      </c>
      <c r="C182" s="382" t="s">
        <v>378</v>
      </c>
      <c r="D182" s="382" t="s">
        <v>378</v>
      </c>
      <c r="E182" s="382" t="s">
        <v>378</v>
      </c>
      <c r="F182" s="383"/>
      <c r="G182" s="383"/>
      <c r="H182" s="383"/>
      <c r="I182" s="383"/>
      <c r="J182" s="383"/>
      <c r="K182" s="383"/>
      <c r="L182" s="382" t="s">
        <v>1851</v>
      </c>
      <c r="M182" s="383">
        <f>0.11*(H181+100)/100*(I181+100)/100*(J181+100)/100</f>
        <v>0.11</v>
      </c>
      <c r="N182" s="383">
        <f>F181*M182</f>
        <v>0.11</v>
      </c>
      <c r="O182" s="382" t="s">
        <v>3466</v>
      </c>
      <c r="P182" s="382" t="s">
        <v>3573</v>
      </c>
      <c r="Q182" s="329" t="s">
        <v>1241</v>
      </c>
      <c r="R182" s="329" t="s">
        <v>2222</v>
      </c>
      <c r="S182" s="330">
        <v>0.11</v>
      </c>
      <c r="T182" s="329" t="s">
        <v>2644</v>
      </c>
      <c r="V182" s="330">
        <f>N182</f>
        <v>0.11</v>
      </c>
    </row>
    <row r="183" spans="1:24" ht="30" customHeight="1">
      <c r="A183" s="382" t="s">
        <v>2277</v>
      </c>
      <c r="B183" s="382" t="s">
        <v>1889</v>
      </c>
      <c r="C183" s="382" t="s">
        <v>378</v>
      </c>
      <c r="D183" s="382" t="s">
        <v>1852</v>
      </c>
      <c r="E183" s="382" t="s">
        <v>378</v>
      </c>
      <c r="F183" s="383">
        <f>SUM(X181:X182)</f>
        <v>0.08</v>
      </c>
      <c r="G183" s="383"/>
      <c r="H183" s="383"/>
      <c r="I183" s="383"/>
      <c r="J183" s="383"/>
      <c r="K183" s="383">
        <f>TRUNC(F183*[4]공량설정_일위대가!B117/100, [4]공량설정_일위대가!C118)</f>
        <v>0.08</v>
      </c>
      <c r="L183" s="382" t="s">
        <v>378</v>
      </c>
      <c r="M183" s="383"/>
      <c r="N183" s="383"/>
      <c r="O183" s="383" t="s">
        <v>3460</v>
      </c>
      <c r="P183" s="382" t="s">
        <v>378</v>
      </c>
      <c r="Q183" s="329" t="s">
        <v>1241</v>
      </c>
      <c r="R183" s="329" t="s">
        <v>378</v>
      </c>
      <c r="T183" s="329" t="s">
        <v>2645</v>
      </c>
    </row>
    <row r="184" spans="1:24" ht="30" customHeight="1">
      <c r="A184" s="382" t="s">
        <v>2222</v>
      </c>
      <c r="B184" s="382" t="s">
        <v>1851</v>
      </c>
      <c r="C184" s="382" t="s">
        <v>2221</v>
      </c>
      <c r="D184" s="382" t="s">
        <v>1852</v>
      </c>
      <c r="E184" s="382" t="s">
        <v>378</v>
      </c>
      <c r="F184" s="383">
        <f>SUM(V181:V182)</f>
        <v>0.11</v>
      </c>
      <c r="G184" s="383"/>
      <c r="H184" s="383"/>
      <c r="I184" s="383"/>
      <c r="J184" s="383"/>
      <c r="K184" s="383">
        <f>TRUNC(F184*[4]공량설정_일위대가!B117/100, [4]공량설정_일위대가!C119)</f>
        <v>0.11</v>
      </c>
      <c r="L184" s="382" t="s">
        <v>378</v>
      </c>
      <c r="M184" s="383"/>
      <c r="N184" s="383"/>
      <c r="O184" s="383" t="s">
        <v>3466</v>
      </c>
      <c r="P184" s="382" t="s">
        <v>378</v>
      </c>
      <c r="Q184" s="329" t="s">
        <v>1241</v>
      </c>
      <c r="R184" s="329" t="s">
        <v>378</v>
      </c>
      <c r="T184" s="329" t="s">
        <v>2646</v>
      </c>
    </row>
    <row r="185" spans="1:24" ht="30" customHeight="1">
      <c r="A185" s="735" t="s">
        <v>3574</v>
      </c>
      <c r="B185" s="735"/>
      <c r="C185" s="735"/>
      <c r="D185" s="735"/>
      <c r="E185" s="735"/>
      <c r="F185" s="735"/>
      <c r="G185" s="735"/>
      <c r="H185" s="735"/>
      <c r="I185" s="735"/>
      <c r="J185" s="735"/>
      <c r="K185" s="735"/>
      <c r="L185" s="735"/>
      <c r="M185" s="735"/>
      <c r="N185" s="735"/>
      <c r="O185" s="735"/>
      <c r="P185" s="735"/>
    </row>
    <row r="186" spans="1:24" ht="30" customHeight="1">
      <c r="A186" s="384" t="s">
        <v>2649</v>
      </c>
      <c r="B186" s="384" t="s">
        <v>344</v>
      </c>
      <c r="C186" s="384" t="s">
        <v>345</v>
      </c>
      <c r="D186" s="384" t="s">
        <v>300</v>
      </c>
      <c r="E186" s="384" t="s">
        <v>1674</v>
      </c>
      <c r="F186" s="385">
        <v>1</v>
      </c>
      <c r="G186" s="385"/>
      <c r="H186" s="385"/>
      <c r="I186" s="385"/>
      <c r="J186" s="385"/>
      <c r="K186" s="385">
        <v>1</v>
      </c>
      <c r="L186" s="384" t="s">
        <v>1851</v>
      </c>
      <c r="M186" s="385">
        <f>0.1*(H186+100)/100*(I186+100)/100*(J186+100)/100</f>
        <v>0.1</v>
      </c>
      <c r="N186" s="385">
        <f>F186*M186</f>
        <v>0.1</v>
      </c>
      <c r="O186" s="384" t="s">
        <v>3466</v>
      </c>
      <c r="P186" s="384" t="s">
        <v>3575</v>
      </c>
      <c r="Q186" s="329" t="s">
        <v>1249</v>
      </c>
      <c r="R186" s="329" t="s">
        <v>2222</v>
      </c>
      <c r="S186" s="330">
        <v>0.1</v>
      </c>
      <c r="T186" s="329" t="s">
        <v>2650</v>
      </c>
      <c r="V186" s="330">
        <f>N186</f>
        <v>0.1</v>
      </c>
    </row>
    <row r="187" spans="1:24" ht="30" customHeight="1">
      <c r="A187" s="384" t="s">
        <v>2222</v>
      </c>
      <c r="B187" s="384" t="s">
        <v>1851</v>
      </c>
      <c r="C187" s="384" t="s">
        <v>2221</v>
      </c>
      <c r="D187" s="384" t="s">
        <v>1852</v>
      </c>
      <c r="E187" s="384" t="s">
        <v>378</v>
      </c>
      <c r="F187" s="385">
        <f>SUM(V186:V186)</f>
        <v>0.1</v>
      </c>
      <c r="G187" s="385"/>
      <c r="H187" s="385"/>
      <c r="I187" s="385"/>
      <c r="J187" s="385"/>
      <c r="K187" s="385">
        <f>TRUNC(F187*[4]공량설정_일위대가!B120/100, [4]공량설정_일위대가!C121)</f>
        <v>0.1</v>
      </c>
      <c r="L187" s="384" t="s">
        <v>378</v>
      </c>
      <c r="M187" s="385"/>
      <c r="N187" s="385"/>
      <c r="O187" s="385" t="s">
        <v>3466</v>
      </c>
      <c r="P187" s="384" t="s">
        <v>378</v>
      </c>
      <c r="Q187" s="329" t="s">
        <v>1249</v>
      </c>
      <c r="R187" s="329" t="s">
        <v>378</v>
      </c>
      <c r="T187" s="329" t="s">
        <v>2653</v>
      </c>
    </row>
    <row r="188" spans="1:24" ht="30" customHeight="1">
      <c r="A188" s="734" t="s">
        <v>3576</v>
      </c>
      <c r="B188" s="734"/>
      <c r="C188" s="734"/>
      <c r="D188" s="734"/>
      <c r="E188" s="734"/>
      <c r="F188" s="734"/>
      <c r="G188" s="734"/>
      <c r="H188" s="734"/>
      <c r="I188" s="734"/>
      <c r="J188" s="734"/>
      <c r="K188" s="734"/>
      <c r="L188" s="734"/>
      <c r="M188" s="734"/>
      <c r="N188" s="734"/>
      <c r="O188" s="734"/>
      <c r="P188" s="734"/>
    </row>
    <row r="189" spans="1:24" ht="30" customHeight="1">
      <c r="A189" s="382" t="s">
        <v>2655</v>
      </c>
      <c r="B189" s="382" t="s">
        <v>344</v>
      </c>
      <c r="C189" s="382" t="s">
        <v>423</v>
      </c>
      <c r="D189" s="382" t="s">
        <v>300</v>
      </c>
      <c r="E189" s="382" t="s">
        <v>3577</v>
      </c>
      <c r="F189" s="383">
        <v>1</v>
      </c>
      <c r="G189" s="383">
        <v>10</v>
      </c>
      <c r="H189" s="383"/>
      <c r="I189" s="383"/>
      <c r="J189" s="383"/>
      <c r="K189" s="383">
        <v>1.1000000000000001</v>
      </c>
      <c r="L189" s="382" t="s">
        <v>1851</v>
      </c>
      <c r="M189" s="383">
        <f>0.19*(H189+100)/100*(I189+100)/100*(J189+100)/100</f>
        <v>0.19</v>
      </c>
      <c r="N189" s="383">
        <f>F189*M189</f>
        <v>0.19</v>
      </c>
      <c r="O189" s="382" t="s">
        <v>3466</v>
      </c>
      <c r="P189" s="382" t="s">
        <v>3559</v>
      </c>
      <c r="Q189" s="329" t="s">
        <v>1252</v>
      </c>
      <c r="R189" s="329" t="s">
        <v>2222</v>
      </c>
      <c r="S189" s="330">
        <v>0.19</v>
      </c>
      <c r="T189" s="329" t="s">
        <v>2656</v>
      </c>
      <c r="V189" s="330">
        <f>N189</f>
        <v>0.19</v>
      </c>
    </row>
    <row r="190" spans="1:24" ht="30" customHeight="1">
      <c r="A190" s="382" t="s">
        <v>2222</v>
      </c>
      <c r="B190" s="382" t="s">
        <v>1851</v>
      </c>
      <c r="C190" s="382" t="s">
        <v>2221</v>
      </c>
      <c r="D190" s="382" t="s">
        <v>1852</v>
      </c>
      <c r="E190" s="382" t="s">
        <v>378</v>
      </c>
      <c r="F190" s="383">
        <f>SUM(V189:V189)</f>
        <v>0.19</v>
      </c>
      <c r="G190" s="383"/>
      <c r="H190" s="383"/>
      <c r="I190" s="383"/>
      <c r="J190" s="383"/>
      <c r="K190" s="383">
        <f>TRUNC(F190*[4]공량설정_일위대가!B122/100, [4]공량설정_일위대가!C123)</f>
        <v>0.19</v>
      </c>
      <c r="L190" s="382" t="s">
        <v>378</v>
      </c>
      <c r="M190" s="383"/>
      <c r="N190" s="383"/>
      <c r="O190" s="383" t="s">
        <v>3466</v>
      </c>
      <c r="P190" s="382" t="s">
        <v>378</v>
      </c>
      <c r="Q190" s="329" t="s">
        <v>1252</v>
      </c>
      <c r="R190" s="329" t="s">
        <v>378</v>
      </c>
      <c r="T190" s="329" t="s">
        <v>2659</v>
      </c>
    </row>
    <row r="191" spans="1:24" ht="30" customHeight="1">
      <c r="A191" s="735" t="s">
        <v>3578</v>
      </c>
      <c r="B191" s="735"/>
      <c r="C191" s="735"/>
      <c r="D191" s="735"/>
      <c r="E191" s="735"/>
      <c r="F191" s="735"/>
      <c r="G191" s="735"/>
      <c r="H191" s="735"/>
      <c r="I191" s="735"/>
      <c r="J191" s="735"/>
      <c r="K191" s="735"/>
      <c r="L191" s="735"/>
      <c r="M191" s="735"/>
      <c r="N191" s="735"/>
      <c r="O191" s="735"/>
      <c r="P191" s="735"/>
    </row>
    <row r="192" spans="1:24" ht="30" customHeight="1">
      <c r="A192" s="384" t="s">
        <v>2207</v>
      </c>
      <c r="B192" s="384" t="s">
        <v>344</v>
      </c>
      <c r="C192" s="384" t="s">
        <v>2206</v>
      </c>
      <c r="D192" s="384" t="s">
        <v>300</v>
      </c>
      <c r="E192" s="384" t="s">
        <v>1674</v>
      </c>
      <c r="F192" s="385">
        <v>1</v>
      </c>
      <c r="G192" s="385"/>
      <c r="H192" s="385"/>
      <c r="I192" s="385"/>
      <c r="J192" s="385"/>
      <c r="K192" s="385">
        <v>1</v>
      </c>
      <c r="L192" s="384" t="s">
        <v>1851</v>
      </c>
      <c r="M192" s="385">
        <f>0.46*(H192+100)/100*(I192+100)/100*(J192+100)/100</f>
        <v>0.46</v>
      </c>
      <c r="N192" s="385">
        <f>F192*M192</f>
        <v>0.46</v>
      </c>
      <c r="O192" s="384" t="s">
        <v>3466</v>
      </c>
      <c r="P192" s="384" t="s">
        <v>3579</v>
      </c>
      <c r="Q192" s="329" t="s">
        <v>1255</v>
      </c>
      <c r="R192" s="329" t="s">
        <v>2222</v>
      </c>
      <c r="S192" s="330">
        <v>0.46</v>
      </c>
      <c r="T192" s="329" t="s">
        <v>2661</v>
      </c>
      <c r="V192" s="330">
        <f>N192</f>
        <v>0.46</v>
      </c>
    </row>
    <row r="193" spans="1:26" ht="30" customHeight="1">
      <c r="A193" s="384" t="s">
        <v>2222</v>
      </c>
      <c r="B193" s="384" t="s">
        <v>1851</v>
      </c>
      <c r="C193" s="384" t="s">
        <v>2221</v>
      </c>
      <c r="D193" s="384" t="s">
        <v>1852</v>
      </c>
      <c r="E193" s="384" t="s">
        <v>378</v>
      </c>
      <c r="F193" s="385">
        <f>SUM(V192:V192)</f>
        <v>0.46</v>
      </c>
      <c r="G193" s="385"/>
      <c r="H193" s="385"/>
      <c r="I193" s="385"/>
      <c r="J193" s="385"/>
      <c r="K193" s="385">
        <f>TRUNC(F193*[4]공량설정_일위대가!B124/100, [4]공량설정_일위대가!C125)</f>
        <v>0.46</v>
      </c>
      <c r="L193" s="384" t="s">
        <v>378</v>
      </c>
      <c r="M193" s="385"/>
      <c r="N193" s="385"/>
      <c r="O193" s="385" t="s">
        <v>3466</v>
      </c>
      <c r="P193" s="384" t="s">
        <v>378</v>
      </c>
      <c r="Q193" s="329" t="s">
        <v>1255</v>
      </c>
      <c r="R193" s="329" t="s">
        <v>378</v>
      </c>
      <c r="T193" s="329" t="s">
        <v>2664</v>
      </c>
    </row>
    <row r="194" spans="1:26" ht="30" customHeight="1">
      <c r="A194" s="734" t="s">
        <v>3580</v>
      </c>
      <c r="B194" s="734"/>
      <c r="C194" s="734"/>
      <c r="D194" s="734"/>
      <c r="E194" s="734"/>
      <c r="F194" s="734"/>
      <c r="G194" s="734"/>
      <c r="H194" s="734"/>
      <c r="I194" s="734"/>
      <c r="J194" s="734"/>
      <c r="K194" s="734"/>
      <c r="L194" s="734"/>
      <c r="M194" s="734"/>
      <c r="N194" s="734"/>
      <c r="O194" s="734"/>
      <c r="P194" s="734"/>
    </row>
    <row r="195" spans="1:26" ht="30" customHeight="1">
      <c r="A195" s="382" t="s">
        <v>2668</v>
      </c>
      <c r="B195" s="382" t="s">
        <v>2237</v>
      </c>
      <c r="C195" s="382" t="s">
        <v>2667</v>
      </c>
      <c r="D195" s="382" t="s">
        <v>300</v>
      </c>
      <c r="E195" s="382" t="s">
        <v>1678</v>
      </c>
      <c r="F195" s="383">
        <v>1</v>
      </c>
      <c r="G195" s="383">
        <v>5</v>
      </c>
      <c r="H195" s="383">
        <v>50</v>
      </c>
      <c r="I195" s="383"/>
      <c r="J195" s="383"/>
      <c r="K195" s="383">
        <v>1.05</v>
      </c>
      <c r="L195" s="382" t="s">
        <v>1851</v>
      </c>
      <c r="M195" s="383">
        <f>0.008*(H195+100)/100*(I195+100)/100*(J195+100)/100</f>
        <v>1.2E-2</v>
      </c>
      <c r="N195" s="383">
        <f>F195*M195</f>
        <v>1.2E-2</v>
      </c>
      <c r="O195" s="382" t="s">
        <v>3466</v>
      </c>
      <c r="P195" s="382" t="s">
        <v>3581</v>
      </c>
      <c r="Q195" s="329" t="s">
        <v>1261</v>
      </c>
      <c r="R195" s="329" t="s">
        <v>2222</v>
      </c>
      <c r="S195" s="330">
        <v>8.0000000000000002E-3</v>
      </c>
      <c r="T195" s="329" t="s">
        <v>2669</v>
      </c>
      <c r="V195" s="330">
        <f>N195</f>
        <v>1.2E-2</v>
      </c>
    </row>
    <row r="196" spans="1:26" ht="30" customHeight="1">
      <c r="A196" s="382" t="s">
        <v>2222</v>
      </c>
      <c r="B196" s="382" t="s">
        <v>1851</v>
      </c>
      <c r="C196" s="382" t="s">
        <v>2221</v>
      </c>
      <c r="D196" s="382" t="s">
        <v>1852</v>
      </c>
      <c r="E196" s="382" t="s">
        <v>378</v>
      </c>
      <c r="F196" s="383">
        <f>SUM(V195:V195)</f>
        <v>1.2E-2</v>
      </c>
      <c r="G196" s="383"/>
      <c r="H196" s="383"/>
      <c r="I196" s="383"/>
      <c r="J196" s="383"/>
      <c r="K196" s="383">
        <f>TRUNC(F196*[4]공량설정_일위대가!B126/100, [4]공량설정_일위대가!C127)</f>
        <v>1.2E-2</v>
      </c>
      <c r="L196" s="382" t="s">
        <v>378</v>
      </c>
      <c r="M196" s="383"/>
      <c r="N196" s="383"/>
      <c r="O196" s="383" t="s">
        <v>3466</v>
      </c>
      <c r="P196" s="382" t="s">
        <v>378</v>
      </c>
      <c r="Q196" s="329" t="s">
        <v>1261</v>
      </c>
      <c r="R196" s="329" t="s">
        <v>378</v>
      </c>
      <c r="T196" s="329" t="s">
        <v>2671</v>
      </c>
    </row>
    <row r="197" spans="1:26" ht="30" customHeight="1">
      <c r="A197" s="734" t="s">
        <v>3582</v>
      </c>
      <c r="B197" s="734"/>
      <c r="C197" s="734"/>
      <c r="D197" s="734"/>
      <c r="E197" s="734"/>
      <c r="F197" s="734"/>
      <c r="G197" s="734"/>
      <c r="H197" s="734"/>
      <c r="I197" s="734"/>
      <c r="J197" s="734"/>
      <c r="K197" s="734"/>
      <c r="L197" s="734"/>
      <c r="M197" s="734"/>
      <c r="N197" s="734"/>
      <c r="O197" s="734"/>
      <c r="P197" s="734"/>
    </row>
    <row r="198" spans="1:26" ht="30" customHeight="1">
      <c r="A198" s="382" t="s">
        <v>2675</v>
      </c>
      <c r="B198" s="382" t="s">
        <v>2272</v>
      </c>
      <c r="C198" s="382" t="s">
        <v>2674</v>
      </c>
      <c r="D198" s="382" t="s">
        <v>300</v>
      </c>
      <c r="E198" s="382" t="s">
        <v>1686</v>
      </c>
      <c r="F198" s="383">
        <v>1</v>
      </c>
      <c r="G198" s="383">
        <v>3</v>
      </c>
      <c r="H198" s="383"/>
      <c r="I198" s="383"/>
      <c r="J198" s="383"/>
      <c r="K198" s="383">
        <v>1.03</v>
      </c>
      <c r="L198" s="382" t="s">
        <v>1992</v>
      </c>
      <c r="M198" s="383">
        <f>0.08245*(H198+100)/100*(I198+100)/100*(J198+100)/100</f>
        <v>8.2449999999999996E-2</v>
      </c>
      <c r="N198" s="383">
        <f>F198*M198</f>
        <v>8.2449999999999996E-2</v>
      </c>
      <c r="O198" s="382" t="s">
        <v>3467</v>
      </c>
      <c r="P198" s="382" t="s">
        <v>3583</v>
      </c>
      <c r="Q198" s="329" t="s">
        <v>1264</v>
      </c>
      <c r="R198" s="329" t="s">
        <v>2280</v>
      </c>
      <c r="S198" s="330">
        <v>8.2449999999999996E-2</v>
      </c>
      <c r="T198" s="329" t="s">
        <v>2676</v>
      </c>
      <c r="Z198" s="330">
        <f>N198</f>
        <v>8.2449999999999996E-2</v>
      </c>
    </row>
    <row r="199" spans="1:26" ht="30" customHeight="1">
      <c r="A199" s="382" t="s">
        <v>2280</v>
      </c>
      <c r="B199" s="382" t="s">
        <v>1992</v>
      </c>
      <c r="C199" s="382" t="s">
        <v>2279</v>
      </c>
      <c r="D199" s="382" t="s">
        <v>1852</v>
      </c>
      <c r="E199" s="382" t="s">
        <v>378</v>
      </c>
      <c r="F199" s="383">
        <f>SUM(Z198:Z198)</f>
        <v>8.2449999999999996E-2</v>
      </c>
      <c r="G199" s="383"/>
      <c r="H199" s="383"/>
      <c r="I199" s="383"/>
      <c r="J199" s="383"/>
      <c r="K199" s="383">
        <f>TRUNC(F199*[4]공량설정_일위대가!B128/100, [4]공량설정_일위대가!C129)</f>
        <v>8.2400000000000001E-2</v>
      </c>
      <c r="L199" s="382" t="s">
        <v>378</v>
      </c>
      <c r="M199" s="383"/>
      <c r="N199" s="383"/>
      <c r="O199" s="383" t="s">
        <v>3467</v>
      </c>
      <c r="P199" s="382" t="s">
        <v>378</v>
      </c>
      <c r="Q199" s="329" t="s">
        <v>1264</v>
      </c>
      <c r="R199" s="329" t="s">
        <v>378</v>
      </c>
      <c r="T199" s="329" t="s">
        <v>2678</v>
      </c>
    </row>
    <row r="200" spans="1:26" ht="30" customHeight="1">
      <c r="A200" s="734" t="s">
        <v>3584</v>
      </c>
      <c r="B200" s="734"/>
      <c r="C200" s="734"/>
      <c r="D200" s="734"/>
      <c r="E200" s="734"/>
      <c r="F200" s="734"/>
      <c r="G200" s="734"/>
      <c r="H200" s="734"/>
      <c r="I200" s="734"/>
      <c r="J200" s="734"/>
      <c r="K200" s="734"/>
      <c r="L200" s="734"/>
      <c r="M200" s="734"/>
      <c r="N200" s="734"/>
      <c r="O200" s="734"/>
      <c r="P200" s="734"/>
    </row>
    <row r="201" spans="1:26" ht="30" customHeight="1">
      <c r="A201" s="382" t="s">
        <v>2682</v>
      </c>
      <c r="B201" s="382" t="s">
        <v>2272</v>
      </c>
      <c r="C201" s="382" t="s">
        <v>2681</v>
      </c>
      <c r="D201" s="382" t="s">
        <v>300</v>
      </c>
      <c r="E201" s="382" t="s">
        <v>1686</v>
      </c>
      <c r="F201" s="383">
        <v>1</v>
      </c>
      <c r="G201" s="383">
        <v>5</v>
      </c>
      <c r="H201" s="383">
        <v>160</v>
      </c>
      <c r="I201" s="383"/>
      <c r="J201" s="383"/>
      <c r="K201" s="383">
        <v>1.05</v>
      </c>
      <c r="L201" s="382" t="s">
        <v>1992</v>
      </c>
      <c r="M201" s="383">
        <f>0.03*(H201+100)/100*(I201+100)/100*(J201+100)/100</f>
        <v>7.8E-2</v>
      </c>
      <c r="N201" s="383">
        <f>F201*M201</f>
        <v>7.8E-2</v>
      </c>
      <c r="O201" s="382" t="s">
        <v>3467</v>
      </c>
      <c r="P201" s="382" t="s">
        <v>3585</v>
      </c>
      <c r="Q201" s="329" t="s">
        <v>1270</v>
      </c>
      <c r="R201" s="329" t="s">
        <v>2280</v>
      </c>
      <c r="S201" s="330">
        <v>0.03</v>
      </c>
      <c r="T201" s="329" t="s">
        <v>2683</v>
      </c>
      <c r="Z201" s="330">
        <f>N201</f>
        <v>7.8E-2</v>
      </c>
    </row>
    <row r="202" spans="1:26" ht="30" customHeight="1">
      <c r="A202" s="382" t="s">
        <v>2280</v>
      </c>
      <c r="B202" s="382" t="s">
        <v>1992</v>
      </c>
      <c r="C202" s="382" t="s">
        <v>2279</v>
      </c>
      <c r="D202" s="382" t="s">
        <v>1852</v>
      </c>
      <c r="E202" s="382" t="s">
        <v>378</v>
      </c>
      <c r="F202" s="383">
        <f>SUM(Z201:Z201)</f>
        <v>7.8E-2</v>
      </c>
      <c r="G202" s="383"/>
      <c r="H202" s="383"/>
      <c r="I202" s="383"/>
      <c r="J202" s="383"/>
      <c r="K202" s="383">
        <f>TRUNC(F202*[4]공량설정_일위대가!B130/100, [4]공량설정_일위대가!C131)</f>
        <v>7.8E-2</v>
      </c>
      <c r="L202" s="382" t="s">
        <v>378</v>
      </c>
      <c r="M202" s="383"/>
      <c r="N202" s="383"/>
      <c r="O202" s="383" t="s">
        <v>3467</v>
      </c>
      <c r="P202" s="382" t="s">
        <v>378</v>
      </c>
      <c r="Q202" s="329" t="s">
        <v>1270</v>
      </c>
      <c r="R202" s="329" t="s">
        <v>378</v>
      </c>
      <c r="T202" s="329" t="s">
        <v>2686</v>
      </c>
    </row>
    <row r="203" spans="1:26" ht="30" customHeight="1">
      <c r="A203" s="734" t="s">
        <v>3586</v>
      </c>
      <c r="B203" s="734"/>
      <c r="C203" s="734"/>
      <c r="D203" s="734"/>
      <c r="E203" s="734"/>
      <c r="F203" s="734"/>
      <c r="G203" s="734"/>
      <c r="H203" s="734"/>
      <c r="I203" s="734"/>
      <c r="J203" s="734"/>
      <c r="K203" s="734"/>
      <c r="L203" s="734"/>
      <c r="M203" s="734"/>
      <c r="N203" s="734"/>
      <c r="O203" s="734"/>
      <c r="P203" s="734"/>
    </row>
    <row r="204" spans="1:26" ht="30" customHeight="1">
      <c r="A204" s="382" t="s">
        <v>2689</v>
      </c>
      <c r="B204" s="382" t="s">
        <v>370</v>
      </c>
      <c r="C204" s="382" t="s">
        <v>2688</v>
      </c>
      <c r="D204" s="382" t="s">
        <v>265</v>
      </c>
      <c r="E204" s="382" t="s">
        <v>1694</v>
      </c>
      <c r="F204" s="383">
        <v>1</v>
      </c>
      <c r="G204" s="383">
        <v>0</v>
      </c>
      <c r="H204" s="383">
        <v>-70</v>
      </c>
      <c r="I204" s="383"/>
      <c r="J204" s="383"/>
      <c r="K204" s="383">
        <v>1</v>
      </c>
      <c r="L204" s="382" t="s">
        <v>1992</v>
      </c>
      <c r="M204" s="383">
        <f>0.5*(H204+100)/100*(I204+100)/100*(J204+100)/100</f>
        <v>0.15</v>
      </c>
      <c r="N204" s="383">
        <f>F204*M204</f>
        <v>0.15</v>
      </c>
      <c r="O204" s="382" t="s">
        <v>3467</v>
      </c>
      <c r="P204" s="382" t="s">
        <v>3587</v>
      </c>
      <c r="Q204" s="329" t="s">
        <v>1275</v>
      </c>
      <c r="R204" s="329" t="s">
        <v>2280</v>
      </c>
      <c r="S204" s="330">
        <v>0.5</v>
      </c>
      <c r="T204" s="329" t="s">
        <v>2690</v>
      </c>
      <c r="Z204" s="330">
        <f>N204</f>
        <v>0.15</v>
      </c>
    </row>
    <row r="205" spans="1:26" ht="30" customHeight="1">
      <c r="A205" s="382" t="s">
        <v>2280</v>
      </c>
      <c r="B205" s="382" t="s">
        <v>1992</v>
      </c>
      <c r="C205" s="382" t="s">
        <v>2279</v>
      </c>
      <c r="D205" s="382" t="s">
        <v>1852</v>
      </c>
      <c r="E205" s="382" t="s">
        <v>378</v>
      </c>
      <c r="F205" s="383">
        <f>SUM(Z204:Z204)</f>
        <v>0.15</v>
      </c>
      <c r="G205" s="383"/>
      <c r="H205" s="383"/>
      <c r="I205" s="383"/>
      <c r="J205" s="383"/>
      <c r="K205" s="383">
        <f>TRUNC(F205*[4]공량설정_일위대가!B132/100, [4]공량설정_일위대가!C133)</f>
        <v>0.15</v>
      </c>
      <c r="L205" s="382" t="s">
        <v>378</v>
      </c>
      <c r="M205" s="383"/>
      <c r="N205" s="383"/>
      <c r="O205" s="383" t="s">
        <v>3467</v>
      </c>
      <c r="P205" s="382" t="s">
        <v>378</v>
      </c>
      <c r="Q205" s="329" t="s">
        <v>1275</v>
      </c>
      <c r="R205" s="329" t="s">
        <v>378</v>
      </c>
      <c r="T205" s="329" t="s">
        <v>2691</v>
      </c>
    </row>
    <row r="206" spans="1:26" ht="30" customHeight="1">
      <c r="A206" s="734" t="s">
        <v>3588</v>
      </c>
      <c r="B206" s="734"/>
      <c r="C206" s="734"/>
      <c r="D206" s="734"/>
      <c r="E206" s="734"/>
      <c r="F206" s="734"/>
      <c r="G206" s="734"/>
      <c r="H206" s="734"/>
      <c r="I206" s="734"/>
      <c r="J206" s="734"/>
      <c r="K206" s="734"/>
      <c r="L206" s="734"/>
      <c r="M206" s="734"/>
      <c r="N206" s="734"/>
      <c r="O206" s="734"/>
      <c r="P206" s="734"/>
    </row>
    <row r="207" spans="1:26" ht="30" customHeight="1">
      <c r="A207" s="382" t="s">
        <v>2695</v>
      </c>
      <c r="B207" s="382" t="s">
        <v>370</v>
      </c>
      <c r="C207" s="382" t="s">
        <v>2694</v>
      </c>
      <c r="D207" s="382" t="s">
        <v>265</v>
      </c>
      <c r="E207" s="382" t="s">
        <v>1694</v>
      </c>
      <c r="F207" s="383">
        <v>1</v>
      </c>
      <c r="G207" s="383">
        <v>0</v>
      </c>
      <c r="H207" s="383">
        <v>-70</v>
      </c>
      <c r="I207" s="383"/>
      <c r="J207" s="383"/>
      <c r="K207" s="383">
        <v>1</v>
      </c>
      <c r="L207" s="382" t="s">
        <v>1992</v>
      </c>
      <c r="M207" s="383">
        <f>0.41*(H207+100)/100*(I207+100)/100*(J207+100)/100</f>
        <v>0.12299999999999998</v>
      </c>
      <c r="N207" s="383">
        <f>F207*M207</f>
        <v>0.12299999999999998</v>
      </c>
      <c r="O207" s="382" t="s">
        <v>3467</v>
      </c>
      <c r="P207" s="382" t="s">
        <v>3589</v>
      </c>
      <c r="Q207" s="329" t="s">
        <v>1278</v>
      </c>
      <c r="R207" s="329" t="s">
        <v>2280</v>
      </c>
      <c r="S207" s="330">
        <v>0.41</v>
      </c>
      <c r="T207" s="329" t="s">
        <v>2696</v>
      </c>
      <c r="Z207" s="330">
        <f>N207</f>
        <v>0.12299999999999998</v>
      </c>
    </row>
    <row r="208" spans="1:26" ht="30" customHeight="1">
      <c r="A208" s="382" t="s">
        <v>2280</v>
      </c>
      <c r="B208" s="382" t="s">
        <v>1992</v>
      </c>
      <c r="C208" s="382" t="s">
        <v>2279</v>
      </c>
      <c r="D208" s="382" t="s">
        <v>1852</v>
      </c>
      <c r="E208" s="382" t="s">
        <v>378</v>
      </c>
      <c r="F208" s="383">
        <f>SUM(Z207:Z207)</f>
        <v>0.12299999999999998</v>
      </c>
      <c r="G208" s="383"/>
      <c r="H208" s="383"/>
      <c r="I208" s="383"/>
      <c r="J208" s="383"/>
      <c r="K208" s="383">
        <f>TRUNC(F208*[4]공량설정_일위대가!B134/100, [4]공량설정_일위대가!C135)</f>
        <v>0.123</v>
      </c>
      <c r="L208" s="382" t="s">
        <v>378</v>
      </c>
      <c r="M208" s="383"/>
      <c r="N208" s="383"/>
      <c r="O208" s="383" t="s">
        <v>3467</v>
      </c>
      <c r="P208" s="382" t="s">
        <v>378</v>
      </c>
      <c r="Q208" s="329" t="s">
        <v>1278</v>
      </c>
      <c r="R208" s="329" t="s">
        <v>378</v>
      </c>
      <c r="T208" s="329" t="s">
        <v>2697</v>
      </c>
    </row>
    <row r="209" spans="1:22" ht="30" customHeight="1">
      <c r="A209" s="734" t="s">
        <v>3590</v>
      </c>
      <c r="B209" s="734"/>
      <c r="C209" s="734"/>
      <c r="D209" s="734"/>
      <c r="E209" s="734"/>
      <c r="F209" s="734"/>
      <c r="G209" s="734"/>
      <c r="H209" s="734"/>
      <c r="I209" s="734"/>
      <c r="J209" s="734"/>
      <c r="K209" s="734"/>
      <c r="L209" s="734"/>
      <c r="M209" s="734"/>
      <c r="N209" s="734"/>
      <c r="O209" s="734"/>
      <c r="P209" s="734"/>
    </row>
    <row r="210" spans="1:22" ht="30" customHeight="1">
      <c r="A210" s="382" t="s">
        <v>2700</v>
      </c>
      <c r="B210" s="382" t="s">
        <v>418</v>
      </c>
      <c r="C210" s="382" t="s">
        <v>431</v>
      </c>
      <c r="D210" s="382" t="s">
        <v>321</v>
      </c>
      <c r="E210" s="382" t="s">
        <v>3591</v>
      </c>
      <c r="F210" s="383">
        <v>1</v>
      </c>
      <c r="G210" s="383">
        <v>0</v>
      </c>
      <c r="H210" s="383"/>
      <c r="I210" s="383"/>
      <c r="J210" s="383"/>
      <c r="K210" s="383">
        <v>1</v>
      </c>
      <c r="L210" s="382" t="s">
        <v>1851</v>
      </c>
      <c r="M210" s="383">
        <f>1.23*(H210+100)/100*(I210+100)/100*(J210+100)/100</f>
        <v>1.23</v>
      </c>
      <c r="N210" s="383">
        <f>F210*M210</f>
        <v>1.23</v>
      </c>
      <c r="O210" s="382" t="s">
        <v>3466</v>
      </c>
      <c r="P210" s="382" t="s">
        <v>3535</v>
      </c>
      <c r="Q210" s="329" t="s">
        <v>1281</v>
      </c>
      <c r="R210" s="329" t="s">
        <v>2222</v>
      </c>
      <c r="S210" s="330">
        <v>1.23</v>
      </c>
      <c r="T210" s="329" t="s">
        <v>2701</v>
      </c>
      <c r="V210" s="330">
        <f>N210</f>
        <v>1.23</v>
      </c>
    </row>
    <row r="211" spans="1:22" ht="30" customHeight="1">
      <c r="A211" s="382" t="s">
        <v>2222</v>
      </c>
      <c r="B211" s="382" t="s">
        <v>1851</v>
      </c>
      <c r="C211" s="382" t="s">
        <v>2221</v>
      </c>
      <c r="D211" s="382" t="s">
        <v>1852</v>
      </c>
      <c r="E211" s="382" t="s">
        <v>378</v>
      </c>
      <c r="F211" s="383">
        <f>SUM(V210:V210)</f>
        <v>1.23</v>
      </c>
      <c r="G211" s="383"/>
      <c r="H211" s="383"/>
      <c r="I211" s="383"/>
      <c r="J211" s="383"/>
      <c r="K211" s="383">
        <f>TRUNC(F211*[4]공량설정_일위대가!B136/100, [4]공량설정_일위대가!C137)</f>
        <v>1.23</v>
      </c>
      <c r="L211" s="382" t="s">
        <v>378</v>
      </c>
      <c r="M211" s="383"/>
      <c r="N211" s="383"/>
      <c r="O211" s="383" t="s">
        <v>3466</v>
      </c>
      <c r="P211" s="382" t="s">
        <v>378</v>
      </c>
      <c r="Q211" s="329" t="s">
        <v>1281</v>
      </c>
      <c r="R211" s="329" t="s">
        <v>378</v>
      </c>
      <c r="T211" s="329" t="s">
        <v>2702</v>
      </c>
    </row>
    <row r="212" spans="1:22" ht="30" customHeight="1">
      <c r="A212" s="734" t="s">
        <v>3592</v>
      </c>
      <c r="B212" s="734"/>
      <c r="C212" s="734"/>
      <c r="D212" s="734"/>
      <c r="E212" s="734"/>
      <c r="F212" s="734"/>
      <c r="G212" s="734"/>
      <c r="H212" s="734"/>
      <c r="I212" s="734"/>
      <c r="J212" s="734"/>
      <c r="K212" s="734"/>
      <c r="L212" s="734"/>
      <c r="M212" s="734"/>
      <c r="N212" s="734"/>
      <c r="O212" s="734"/>
      <c r="P212" s="734"/>
    </row>
    <row r="213" spans="1:22" ht="30" customHeight="1">
      <c r="A213" s="382" t="s">
        <v>2705</v>
      </c>
      <c r="B213" s="382" t="s">
        <v>418</v>
      </c>
      <c r="C213" s="382" t="s">
        <v>432</v>
      </c>
      <c r="D213" s="382" t="s">
        <v>321</v>
      </c>
      <c r="E213" s="382" t="s">
        <v>3591</v>
      </c>
      <c r="F213" s="383">
        <v>1</v>
      </c>
      <c r="G213" s="383">
        <v>0</v>
      </c>
      <c r="H213" s="383"/>
      <c r="I213" s="383"/>
      <c r="J213" s="383"/>
      <c r="K213" s="383">
        <v>1</v>
      </c>
      <c r="L213" s="382" t="s">
        <v>1851</v>
      </c>
      <c r="M213" s="383">
        <f>1.23*(H213+100)/100*(I213+100)/100*(J213+100)/100</f>
        <v>1.23</v>
      </c>
      <c r="N213" s="383">
        <f>F213*M213</f>
        <v>1.23</v>
      </c>
      <c r="O213" s="382" t="s">
        <v>3466</v>
      </c>
      <c r="P213" s="382" t="s">
        <v>3535</v>
      </c>
      <c r="Q213" s="329" t="s">
        <v>1284</v>
      </c>
      <c r="R213" s="329" t="s">
        <v>2222</v>
      </c>
      <c r="S213" s="330">
        <v>1.23</v>
      </c>
      <c r="T213" s="329" t="s">
        <v>2706</v>
      </c>
      <c r="V213" s="330">
        <f>N213</f>
        <v>1.23</v>
      </c>
    </row>
    <row r="214" spans="1:22" ht="30" customHeight="1">
      <c r="A214" s="382" t="s">
        <v>2222</v>
      </c>
      <c r="B214" s="382" t="s">
        <v>1851</v>
      </c>
      <c r="C214" s="382" t="s">
        <v>2221</v>
      </c>
      <c r="D214" s="382" t="s">
        <v>1852</v>
      </c>
      <c r="E214" s="382" t="s">
        <v>378</v>
      </c>
      <c r="F214" s="383">
        <f>SUM(V213:V213)</f>
        <v>1.23</v>
      </c>
      <c r="G214" s="383"/>
      <c r="H214" s="383"/>
      <c r="I214" s="383"/>
      <c r="J214" s="383"/>
      <c r="K214" s="383">
        <f>TRUNC(F214*[4]공량설정_일위대가!B138/100, [4]공량설정_일위대가!C139)</f>
        <v>1.23</v>
      </c>
      <c r="L214" s="382" t="s">
        <v>378</v>
      </c>
      <c r="M214" s="383"/>
      <c r="N214" s="383"/>
      <c r="O214" s="383" t="s">
        <v>3466</v>
      </c>
      <c r="P214" s="382" t="s">
        <v>378</v>
      </c>
      <c r="Q214" s="329" t="s">
        <v>1284</v>
      </c>
      <c r="R214" s="329" t="s">
        <v>378</v>
      </c>
      <c r="T214" s="329" t="s">
        <v>2707</v>
      </c>
    </row>
    <row r="215" spans="1:22" ht="30" customHeight="1">
      <c r="A215" s="734" t="s">
        <v>3593</v>
      </c>
      <c r="B215" s="734"/>
      <c r="C215" s="734"/>
      <c r="D215" s="734"/>
      <c r="E215" s="734"/>
      <c r="F215" s="734"/>
      <c r="G215" s="734"/>
      <c r="H215" s="734"/>
      <c r="I215" s="734"/>
      <c r="J215" s="734"/>
      <c r="K215" s="734"/>
      <c r="L215" s="734"/>
      <c r="M215" s="734"/>
      <c r="N215" s="734"/>
      <c r="O215" s="734"/>
      <c r="P215" s="734"/>
    </row>
    <row r="216" spans="1:22" ht="30" customHeight="1">
      <c r="A216" s="382" t="s">
        <v>2710</v>
      </c>
      <c r="B216" s="382" t="s">
        <v>418</v>
      </c>
      <c r="C216" s="382" t="s">
        <v>433</v>
      </c>
      <c r="D216" s="382" t="s">
        <v>321</v>
      </c>
      <c r="E216" s="382" t="s">
        <v>3591</v>
      </c>
      <c r="F216" s="383">
        <v>1</v>
      </c>
      <c r="G216" s="383">
        <v>0</v>
      </c>
      <c r="H216" s="383"/>
      <c r="I216" s="383"/>
      <c r="J216" s="383"/>
      <c r="K216" s="383">
        <v>1</v>
      </c>
      <c r="L216" s="382" t="s">
        <v>1851</v>
      </c>
      <c r="M216" s="383">
        <f>1.23*(H216+100)/100*(I216+100)/100*(J216+100)/100</f>
        <v>1.23</v>
      </c>
      <c r="N216" s="383">
        <f>F216*M216</f>
        <v>1.23</v>
      </c>
      <c r="O216" s="382" t="s">
        <v>3466</v>
      </c>
      <c r="P216" s="382" t="s">
        <v>3535</v>
      </c>
      <c r="Q216" s="329" t="s">
        <v>1287</v>
      </c>
      <c r="R216" s="329" t="s">
        <v>2222</v>
      </c>
      <c r="S216" s="330">
        <v>1.23</v>
      </c>
      <c r="T216" s="329" t="s">
        <v>2711</v>
      </c>
      <c r="V216" s="330">
        <f>N216</f>
        <v>1.23</v>
      </c>
    </row>
    <row r="217" spans="1:22" ht="30" customHeight="1">
      <c r="A217" s="382" t="s">
        <v>2222</v>
      </c>
      <c r="B217" s="382" t="s">
        <v>1851</v>
      </c>
      <c r="C217" s="382" t="s">
        <v>2221</v>
      </c>
      <c r="D217" s="382" t="s">
        <v>1852</v>
      </c>
      <c r="E217" s="382" t="s">
        <v>378</v>
      </c>
      <c r="F217" s="383">
        <f>SUM(V216:V216)</f>
        <v>1.23</v>
      </c>
      <c r="G217" s="383"/>
      <c r="H217" s="383"/>
      <c r="I217" s="383"/>
      <c r="J217" s="383"/>
      <c r="K217" s="383">
        <f>TRUNC(F217*[4]공량설정_일위대가!B140/100, [4]공량설정_일위대가!C141)</f>
        <v>1.23</v>
      </c>
      <c r="L217" s="382" t="s">
        <v>378</v>
      </c>
      <c r="M217" s="383"/>
      <c r="N217" s="383"/>
      <c r="O217" s="383" t="s">
        <v>3466</v>
      </c>
      <c r="P217" s="382" t="s">
        <v>378</v>
      </c>
      <c r="Q217" s="329" t="s">
        <v>1287</v>
      </c>
      <c r="R217" s="329" t="s">
        <v>378</v>
      </c>
      <c r="T217" s="329" t="s">
        <v>2712</v>
      </c>
    </row>
    <row r="218" spans="1:22" ht="30" customHeight="1">
      <c r="A218" s="734" t="s">
        <v>3594</v>
      </c>
      <c r="B218" s="734"/>
      <c r="C218" s="734"/>
      <c r="D218" s="734"/>
      <c r="E218" s="734"/>
      <c r="F218" s="734"/>
      <c r="G218" s="734"/>
      <c r="H218" s="734"/>
      <c r="I218" s="734"/>
      <c r="J218" s="734"/>
      <c r="K218" s="734"/>
      <c r="L218" s="734"/>
      <c r="M218" s="734"/>
      <c r="N218" s="734"/>
      <c r="O218" s="734"/>
      <c r="P218" s="734"/>
    </row>
    <row r="219" spans="1:22" ht="30" customHeight="1">
      <c r="A219" s="382" t="s">
        <v>2715</v>
      </c>
      <c r="B219" s="382" t="s">
        <v>418</v>
      </c>
      <c r="C219" s="382" t="s">
        <v>434</v>
      </c>
      <c r="D219" s="382" t="s">
        <v>321</v>
      </c>
      <c r="E219" s="382" t="s">
        <v>3591</v>
      </c>
      <c r="F219" s="383">
        <v>1</v>
      </c>
      <c r="G219" s="383">
        <v>0</v>
      </c>
      <c r="H219" s="383"/>
      <c r="I219" s="383"/>
      <c r="J219" s="383"/>
      <c r="K219" s="383">
        <v>1</v>
      </c>
      <c r="L219" s="382" t="s">
        <v>1851</v>
      </c>
      <c r="M219" s="383">
        <f>0.95*(H219+100)/100*(I219+100)/100*(J219+100)/100</f>
        <v>0.95</v>
      </c>
      <c r="N219" s="383">
        <f>F219*M219</f>
        <v>0.95</v>
      </c>
      <c r="O219" s="382" t="s">
        <v>3466</v>
      </c>
      <c r="P219" s="382" t="s">
        <v>3533</v>
      </c>
      <c r="Q219" s="329" t="s">
        <v>1290</v>
      </c>
      <c r="R219" s="329" t="s">
        <v>2222</v>
      </c>
      <c r="S219" s="330">
        <v>0.95</v>
      </c>
      <c r="T219" s="329" t="s">
        <v>2716</v>
      </c>
      <c r="V219" s="330">
        <f>N219</f>
        <v>0.95</v>
      </c>
    </row>
    <row r="220" spans="1:22" ht="30" customHeight="1">
      <c r="A220" s="382" t="s">
        <v>2222</v>
      </c>
      <c r="B220" s="382" t="s">
        <v>1851</v>
      </c>
      <c r="C220" s="382" t="s">
        <v>2221</v>
      </c>
      <c r="D220" s="382" t="s">
        <v>1852</v>
      </c>
      <c r="E220" s="382" t="s">
        <v>378</v>
      </c>
      <c r="F220" s="383">
        <f>SUM(V219:V219)</f>
        <v>0.95</v>
      </c>
      <c r="G220" s="383"/>
      <c r="H220" s="383"/>
      <c r="I220" s="383"/>
      <c r="J220" s="383"/>
      <c r="K220" s="383">
        <f>TRUNC(F220*[4]공량설정_일위대가!B142/100, [4]공량설정_일위대가!C143)</f>
        <v>0.95</v>
      </c>
      <c r="L220" s="382" t="s">
        <v>378</v>
      </c>
      <c r="M220" s="383"/>
      <c r="N220" s="383"/>
      <c r="O220" s="383" t="s">
        <v>3466</v>
      </c>
      <c r="P220" s="382" t="s">
        <v>378</v>
      </c>
      <c r="Q220" s="329" t="s">
        <v>1290</v>
      </c>
      <c r="R220" s="329" t="s">
        <v>378</v>
      </c>
      <c r="T220" s="329" t="s">
        <v>2717</v>
      </c>
    </row>
    <row r="221" spans="1:22" ht="30" customHeight="1">
      <c r="A221" s="734" t="s">
        <v>3595</v>
      </c>
      <c r="B221" s="734"/>
      <c r="C221" s="734"/>
      <c r="D221" s="734"/>
      <c r="E221" s="734"/>
      <c r="F221" s="734"/>
      <c r="G221" s="734"/>
      <c r="H221" s="734"/>
      <c r="I221" s="734"/>
      <c r="J221" s="734"/>
      <c r="K221" s="734"/>
      <c r="L221" s="734"/>
      <c r="M221" s="734"/>
      <c r="N221" s="734"/>
      <c r="O221" s="734"/>
      <c r="P221" s="734"/>
    </row>
    <row r="222" spans="1:22" ht="30" customHeight="1">
      <c r="A222" s="382" t="s">
        <v>2720</v>
      </c>
      <c r="B222" s="382" t="s">
        <v>418</v>
      </c>
      <c r="C222" s="382" t="s">
        <v>435</v>
      </c>
      <c r="D222" s="382" t="s">
        <v>321</v>
      </c>
      <c r="E222" s="382" t="s">
        <v>3591</v>
      </c>
      <c r="F222" s="383">
        <v>1</v>
      </c>
      <c r="G222" s="383">
        <v>0</v>
      </c>
      <c r="H222" s="383"/>
      <c r="I222" s="383"/>
      <c r="J222" s="383"/>
      <c r="K222" s="383">
        <v>1</v>
      </c>
      <c r="L222" s="382" t="s">
        <v>1851</v>
      </c>
      <c r="M222" s="383">
        <f>1.23*(H222+100)/100*(I222+100)/100*(J222+100)/100</f>
        <v>1.23</v>
      </c>
      <c r="N222" s="383">
        <f>F222*M222</f>
        <v>1.23</v>
      </c>
      <c r="O222" s="382" t="s">
        <v>3466</v>
      </c>
      <c r="P222" s="382" t="s">
        <v>3535</v>
      </c>
      <c r="Q222" s="329" t="s">
        <v>1293</v>
      </c>
      <c r="R222" s="329" t="s">
        <v>2222</v>
      </c>
      <c r="S222" s="330">
        <v>1.23</v>
      </c>
      <c r="T222" s="329" t="s">
        <v>2721</v>
      </c>
      <c r="V222" s="330">
        <f>N222</f>
        <v>1.23</v>
      </c>
    </row>
    <row r="223" spans="1:22" ht="30" customHeight="1">
      <c r="A223" s="382" t="s">
        <v>2222</v>
      </c>
      <c r="B223" s="382" t="s">
        <v>1851</v>
      </c>
      <c r="C223" s="382" t="s">
        <v>2221</v>
      </c>
      <c r="D223" s="382" t="s">
        <v>1852</v>
      </c>
      <c r="E223" s="382" t="s">
        <v>378</v>
      </c>
      <c r="F223" s="383">
        <f>SUM(V222:V222)</f>
        <v>1.23</v>
      </c>
      <c r="G223" s="383"/>
      <c r="H223" s="383"/>
      <c r="I223" s="383"/>
      <c r="J223" s="383"/>
      <c r="K223" s="383">
        <f>TRUNC(F223*[4]공량설정_일위대가!B144/100, [4]공량설정_일위대가!C145)</f>
        <v>1.23</v>
      </c>
      <c r="L223" s="382" t="s">
        <v>378</v>
      </c>
      <c r="M223" s="383"/>
      <c r="N223" s="383"/>
      <c r="O223" s="383" t="s">
        <v>3466</v>
      </c>
      <c r="P223" s="382" t="s">
        <v>378</v>
      </c>
      <c r="Q223" s="329" t="s">
        <v>1293</v>
      </c>
      <c r="R223" s="329" t="s">
        <v>378</v>
      </c>
      <c r="T223" s="329" t="s">
        <v>2722</v>
      </c>
    </row>
    <row r="224" spans="1:22" ht="30" customHeight="1">
      <c r="A224" s="734" t="s">
        <v>3596</v>
      </c>
      <c r="B224" s="734"/>
      <c r="C224" s="734"/>
      <c r="D224" s="734"/>
      <c r="E224" s="734"/>
      <c r="F224" s="734"/>
      <c r="G224" s="734"/>
      <c r="H224" s="734"/>
      <c r="I224" s="734"/>
      <c r="J224" s="734"/>
      <c r="K224" s="734"/>
      <c r="L224" s="734"/>
      <c r="M224" s="734"/>
      <c r="N224" s="734"/>
      <c r="O224" s="734"/>
      <c r="P224" s="734"/>
    </row>
    <row r="225" spans="1:26" ht="30" customHeight="1">
      <c r="A225" s="382" t="s">
        <v>2727</v>
      </c>
      <c r="B225" s="382" t="s">
        <v>2725</v>
      </c>
      <c r="C225" s="382" t="s">
        <v>2726</v>
      </c>
      <c r="D225" s="382" t="s">
        <v>300</v>
      </c>
      <c r="E225" s="382" t="s">
        <v>1674</v>
      </c>
      <c r="F225" s="383">
        <v>1</v>
      </c>
      <c r="G225" s="383">
        <v>10</v>
      </c>
      <c r="H225" s="383">
        <v>-20</v>
      </c>
      <c r="I225" s="383"/>
      <c r="J225" s="383"/>
      <c r="K225" s="383">
        <v>1.1000000000000001</v>
      </c>
      <c r="L225" s="382" t="s">
        <v>1851</v>
      </c>
      <c r="M225" s="383">
        <f>0.05*(H225+100)/100*(I225+100)/100*(J225+100)/100</f>
        <v>0.04</v>
      </c>
      <c r="N225" s="383">
        <f>F225*M225</f>
        <v>0.04</v>
      </c>
      <c r="O225" s="382" t="s">
        <v>3466</v>
      </c>
      <c r="P225" s="382" t="s">
        <v>3597</v>
      </c>
      <c r="Q225" s="329" t="s">
        <v>1299</v>
      </c>
      <c r="R225" s="329" t="s">
        <v>2222</v>
      </c>
      <c r="S225" s="330">
        <v>0.05</v>
      </c>
      <c r="T225" s="329" t="s">
        <v>2728</v>
      </c>
      <c r="V225" s="330">
        <f>N225</f>
        <v>0.04</v>
      </c>
    </row>
    <row r="226" spans="1:26" ht="30" customHeight="1">
      <c r="A226" s="382" t="s">
        <v>2222</v>
      </c>
      <c r="B226" s="382" t="s">
        <v>1851</v>
      </c>
      <c r="C226" s="382" t="s">
        <v>2221</v>
      </c>
      <c r="D226" s="382" t="s">
        <v>1852</v>
      </c>
      <c r="E226" s="382" t="s">
        <v>378</v>
      </c>
      <c r="F226" s="383">
        <f>SUM(V225:V225)</f>
        <v>0.04</v>
      </c>
      <c r="G226" s="383"/>
      <c r="H226" s="383"/>
      <c r="I226" s="383"/>
      <c r="J226" s="383"/>
      <c r="K226" s="383">
        <f>TRUNC(F226*[4]공량설정_일위대가!B146/100, [4]공량설정_일위대가!C147)</f>
        <v>0.04</v>
      </c>
      <c r="L226" s="382" t="s">
        <v>378</v>
      </c>
      <c r="M226" s="383"/>
      <c r="N226" s="383"/>
      <c r="O226" s="383" t="s">
        <v>3466</v>
      </c>
      <c r="P226" s="382" t="s">
        <v>378</v>
      </c>
      <c r="Q226" s="329" t="s">
        <v>1299</v>
      </c>
      <c r="R226" s="329" t="s">
        <v>378</v>
      </c>
      <c r="T226" s="329" t="s">
        <v>2732</v>
      </c>
    </row>
    <row r="227" spans="1:26" ht="30" customHeight="1">
      <c r="A227" s="734" t="s">
        <v>3598</v>
      </c>
      <c r="B227" s="736"/>
      <c r="C227" s="734"/>
      <c r="D227" s="734"/>
      <c r="E227" s="734"/>
      <c r="F227" s="734"/>
      <c r="G227" s="734"/>
      <c r="H227" s="734"/>
      <c r="I227" s="734"/>
      <c r="J227" s="734"/>
      <c r="K227" s="734"/>
      <c r="L227" s="734"/>
      <c r="M227" s="734"/>
      <c r="N227" s="734"/>
      <c r="O227" s="734"/>
      <c r="P227" s="734"/>
    </row>
    <row r="228" spans="1:26" ht="30" customHeight="1">
      <c r="A228" s="382" t="s">
        <v>2737</v>
      </c>
      <c r="B228" s="382" t="s">
        <v>2735</v>
      </c>
      <c r="C228" s="382" t="s">
        <v>2736</v>
      </c>
      <c r="D228" s="382" t="s">
        <v>265</v>
      </c>
      <c r="E228" s="382" t="s">
        <v>1764</v>
      </c>
      <c r="F228" s="383">
        <v>1</v>
      </c>
      <c r="G228" s="383">
        <v>0</v>
      </c>
      <c r="H228" s="383"/>
      <c r="I228" s="383"/>
      <c r="J228" s="383"/>
      <c r="K228" s="383">
        <v>1</v>
      </c>
      <c r="L228" s="382" t="s">
        <v>1851</v>
      </c>
      <c r="M228" s="383">
        <f>0.2*(H228+100)/100*(I228+100)/100*(J228+100)/100</f>
        <v>0.2</v>
      </c>
      <c r="N228" s="383">
        <f>F228*M228</f>
        <v>0.2</v>
      </c>
      <c r="O228" s="382" t="s">
        <v>3466</v>
      </c>
      <c r="P228" s="382" t="s">
        <v>3599</v>
      </c>
      <c r="Q228" s="329" t="s">
        <v>1302</v>
      </c>
      <c r="R228" s="329" t="s">
        <v>2222</v>
      </c>
      <c r="S228" s="330">
        <v>0.2</v>
      </c>
      <c r="T228" s="329" t="s">
        <v>2738</v>
      </c>
      <c r="V228" s="330">
        <f>N228</f>
        <v>0.2</v>
      </c>
    </row>
    <row r="229" spans="1:26" ht="30" customHeight="1">
      <c r="A229" s="382" t="s">
        <v>2222</v>
      </c>
      <c r="B229" s="382" t="s">
        <v>1851</v>
      </c>
      <c r="C229" s="382" t="s">
        <v>2221</v>
      </c>
      <c r="D229" s="382" t="s">
        <v>1852</v>
      </c>
      <c r="E229" s="382" t="s">
        <v>378</v>
      </c>
      <c r="F229" s="383">
        <f>SUM(V228:V228)</f>
        <v>0.2</v>
      </c>
      <c r="G229" s="383"/>
      <c r="H229" s="383"/>
      <c r="I229" s="383"/>
      <c r="J229" s="383"/>
      <c r="K229" s="383">
        <f>TRUNC(F229*[4]공량설정_일위대가!B148/100, [4]공량설정_일위대가!C149)</f>
        <v>0.2</v>
      </c>
      <c r="L229" s="382" t="s">
        <v>378</v>
      </c>
      <c r="M229" s="383"/>
      <c r="N229" s="383"/>
      <c r="O229" s="383" t="s">
        <v>3466</v>
      </c>
      <c r="P229" s="382" t="s">
        <v>378</v>
      </c>
      <c r="Q229" s="329" t="s">
        <v>1302</v>
      </c>
      <c r="R229" s="329" t="s">
        <v>378</v>
      </c>
      <c r="T229" s="329" t="s">
        <v>2742</v>
      </c>
    </row>
    <row r="230" spans="1:26" ht="30" customHeight="1">
      <c r="A230" s="734" t="s">
        <v>3600</v>
      </c>
      <c r="B230" s="734"/>
      <c r="C230" s="734"/>
      <c r="D230" s="734"/>
      <c r="E230" s="734"/>
      <c r="F230" s="734"/>
      <c r="G230" s="734"/>
      <c r="H230" s="734"/>
      <c r="I230" s="734"/>
      <c r="J230" s="734"/>
      <c r="K230" s="734"/>
      <c r="L230" s="734"/>
      <c r="M230" s="734"/>
      <c r="N230" s="734"/>
      <c r="O230" s="734"/>
      <c r="P230" s="734"/>
    </row>
    <row r="231" spans="1:26" ht="30" customHeight="1">
      <c r="A231" s="382" t="s">
        <v>2747</v>
      </c>
      <c r="B231" s="382" t="s">
        <v>2745</v>
      </c>
      <c r="C231" s="382" t="s">
        <v>2746</v>
      </c>
      <c r="D231" s="382" t="s">
        <v>300</v>
      </c>
      <c r="E231" s="382" t="s">
        <v>1768</v>
      </c>
      <c r="F231" s="383">
        <v>1</v>
      </c>
      <c r="G231" s="383">
        <v>10</v>
      </c>
      <c r="H231" s="383">
        <v>-20</v>
      </c>
      <c r="I231" s="383"/>
      <c r="J231" s="383"/>
      <c r="K231" s="383">
        <v>1.1000000000000001</v>
      </c>
      <c r="L231" s="382" t="s">
        <v>1851</v>
      </c>
      <c r="M231" s="383">
        <f>0.01*(H231+100)/100*(I231+100)/100*(J231+100)/100</f>
        <v>8.0000000000000002E-3</v>
      </c>
      <c r="N231" s="383">
        <f>F231*M231</f>
        <v>8.0000000000000002E-3</v>
      </c>
      <c r="O231" s="382" t="s">
        <v>3466</v>
      </c>
      <c r="P231" s="382" t="s">
        <v>3601</v>
      </c>
      <c r="Q231" s="329" t="s">
        <v>1305</v>
      </c>
      <c r="R231" s="329" t="s">
        <v>2222</v>
      </c>
      <c r="S231" s="330">
        <v>0.01</v>
      </c>
      <c r="T231" s="329" t="s">
        <v>2748</v>
      </c>
      <c r="V231" s="330">
        <f>N231</f>
        <v>8.0000000000000002E-3</v>
      </c>
    </row>
    <row r="232" spans="1:26" ht="30" customHeight="1">
      <c r="A232" s="382" t="s">
        <v>2222</v>
      </c>
      <c r="B232" s="382" t="s">
        <v>1851</v>
      </c>
      <c r="C232" s="382" t="s">
        <v>2221</v>
      </c>
      <c r="D232" s="382" t="s">
        <v>1852</v>
      </c>
      <c r="E232" s="382" t="s">
        <v>378</v>
      </c>
      <c r="F232" s="383">
        <f>SUM(V231:V231)</f>
        <v>8.0000000000000002E-3</v>
      </c>
      <c r="G232" s="383"/>
      <c r="H232" s="383"/>
      <c r="I232" s="383"/>
      <c r="J232" s="383"/>
      <c r="K232" s="383">
        <f>TRUNC(F232*[4]공량설정_일위대가!B150/100, [4]공량설정_일위대가!C151)</f>
        <v>8.0000000000000002E-3</v>
      </c>
      <c r="L232" s="382" t="s">
        <v>378</v>
      </c>
      <c r="M232" s="383"/>
      <c r="N232" s="383"/>
      <c r="O232" s="383" t="s">
        <v>3466</v>
      </c>
      <c r="P232" s="382" t="s">
        <v>378</v>
      </c>
      <c r="Q232" s="329" t="s">
        <v>1305</v>
      </c>
      <c r="R232" s="329" t="s">
        <v>378</v>
      </c>
      <c r="T232" s="329" t="s">
        <v>2749</v>
      </c>
    </row>
    <row r="233" spans="1:26" ht="30" customHeight="1">
      <c r="A233" s="734" t="s">
        <v>3602</v>
      </c>
      <c r="B233" s="734"/>
      <c r="C233" s="734"/>
      <c r="D233" s="734"/>
      <c r="E233" s="734"/>
      <c r="F233" s="734"/>
      <c r="G233" s="734"/>
      <c r="H233" s="734"/>
      <c r="I233" s="734"/>
      <c r="J233" s="734"/>
      <c r="K233" s="734"/>
      <c r="L233" s="734"/>
      <c r="M233" s="734"/>
      <c r="N233" s="734"/>
      <c r="O233" s="734"/>
      <c r="P233" s="734"/>
    </row>
    <row r="234" spans="1:26" ht="30" customHeight="1">
      <c r="A234" s="382" t="s">
        <v>2753</v>
      </c>
      <c r="B234" s="382" t="s">
        <v>2272</v>
      </c>
      <c r="C234" s="382" t="s">
        <v>2752</v>
      </c>
      <c r="D234" s="382" t="s">
        <v>300</v>
      </c>
      <c r="E234" s="382" t="s">
        <v>1688</v>
      </c>
      <c r="F234" s="383">
        <v>1</v>
      </c>
      <c r="G234" s="383">
        <v>5</v>
      </c>
      <c r="H234" s="383"/>
      <c r="I234" s="383"/>
      <c r="J234" s="383"/>
      <c r="K234" s="383">
        <v>1.05</v>
      </c>
      <c r="L234" s="382" t="s">
        <v>1992</v>
      </c>
      <c r="M234" s="383">
        <f>0.029*(H234+100)/100*(I234+100)/100*(J234+100)/100</f>
        <v>2.9000000000000005E-2</v>
      </c>
      <c r="N234" s="383">
        <f>F234*M234</f>
        <v>2.9000000000000005E-2</v>
      </c>
      <c r="O234" s="382" t="s">
        <v>3467</v>
      </c>
      <c r="P234" s="382" t="s">
        <v>3603</v>
      </c>
      <c r="Q234" s="329" t="s">
        <v>1309</v>
      </c>
      <c r="R234" s="329" t="s">
        <v>2280</v>
      </c>
      <c r="S234" s="330">
        <v>2.9000000000000001E-2</v>
      </c>
      <c r="T234" s="329" t="s">
        <v>2754</v>
      </c>
      <c r="Z234" s="330">
        <f>N234</f>
        <v>2.9000000000000005E-2</v>
      </c>
    </row>
    <row r="235" spans="1:26" ht="30" customHeight="1">
      <c r="A235" s="382" t="s">
        <v>2280</v>
      </c>
      <c r="B235" s="382" t="s">
        <v>1992</v>
      </c>
      <c r="C235" s="382" t="s">
        <v>2279</v>
      </c>
      <c r="D235" s="382" t="s">
        <v>1852</v>
      </c>
      <c r="E235" s="382" t="s">
        <v>378</v>
      </c>
      <c r="F235" s="383">
        <f>SUM(Z234:Z234)</f>
        <v>2.9000000000000005E-2</v>
      </c>
      <c r="G235" s="383"/>
      <c r="H235" s="383"/>
      <c r="I235" s="383"/>
      <c r="J235" s="383"/>
      <c r="K235" s="383">
        <f>TRUNC(F235*[4]공량설정_일위대가!B152/100, [4]공량설정_일위대가!C153)</f>
        <v>2.9000000000000001E-2</v>
      </c>
      <c r="L235" s="382" t="s">
        <v>378</v>
      </c>
      <c r="M235" s="383"/>
      <c r="N235" s="383"/>
      <c r="O235" s="383" t="s">
        <v>3467</v>
      </c>
      <c r="P235" s="382" t="s">
        <v>378</v>
      </c>
      <c r="Q235" s="329" t="s">
        <v>1309</v>
      </c>
      <c r="R235" s="329" t="s">
        <v>378</v>
      </c>
      <c r="T235" s="329" t="s">
        <v>2757</v>
      </c>
    </row>
    <row r="236" spans="1:26" ht="30" customHeight="1">
      <c r="A236" s="734" t="s">
        <v>3604</v>
      </c>
      <c r="B236" s="734"/>
      <c r="C236" s="734"/>
      <c r="D236" s="734"/>
      <c r="E236" s="734"/>
      <c r="F236" s="734"/>
      <c r="G236" s="734"/>
      <c r="H236" s="734"/>
      <c r="I236" s="734"/>
      <c r="J236" s="734"/>
      <c r="K236" s="734"/>
      <c r="L236" s="734"/>
      <c r="M236" s="734"/>
      <c r="N236" s="734"/>
      <c r="O236" s="734"/>
      <c r="P236" s="734"/>
    </row>
    <row r="237" spans="1:26" ht="30" customHeight="1">
      <c r="A237" s="382" t="s">
        <v>2760</v>
      </c>
      <c r="B237" s="382" t="s">
        <v>512</v>
      </c>
      <c r="C237" s="382" t="s">
        <v>2759</v>
      </c>
      <c r="D237" s="382" t="s">
        <v>265</v>
      </c>
      <c r="E237" s="382" t="s">
        <v>1771</v>
      </c>
      <c r="F237" s="383">
        <v>1</v>
      </c>
      <c r="G237" s="383">
        <v>0</v>
      </c>
      <c r="H237" s="383"/>
      <c r="I237" s="383"/>
      <c r="J237" s="383"/>
      <c r="K237" s="383">
        <v>1</v>
      </c>
      <c r="L237" s="382" t="s">
        <v>1851</v>
      </c>
      <c r="M237" s="383">
        <f>0.08*(H237+100)/100*(I237+100)/100*(J237+100)/100</f>
        <v>0.08</v>
      </c>
      <c r="N237" s="383">
        <f>F237*M237</f>
        <v>0.08</v>
      </c>
      <c r="O237" s="382" t="s">
        <v>3466</v>
      </c>
      <c r="P237" s="382" t="s">
        <v>3519</v>
      </c>
      <c r="Q237" s="329" t="s">
        <v>1312</v>
      </c>
      <c r="R237" s="329" t="s">
        <v>2222</v>
      </c>
      <c r="S237" s="330">
        <v>0.08</v>
      </c>
      <c r="T237" s="329" t="s">
        <v>2761</v>
      </c>
      <c r="V237" s="330">
        <f>N237</f>
        <v>0.08</v>
      </c>
    </row>
    <row r="238" spans="1:26" ht="30" customHeight="1">
      <c r="A238" s="382" t="s">
        <v>2222</v>
      </c>
      <c r="B238" s="382" t="s">
        <v>1851</v>
      </c>
      <c r="C238" s="382" t="s">
        <v>2221</v>
      </c>
      <c r="D238" s="382" t="s">
        <v>1852</v>
      </c>
      <c r="E238" s="382" t="s">
        <v>378</v>
      </c>
      <c r="F238" s="383">
        <f>SUM(V237:V237)</f>
        <v>0.08</v>
      </c>
      <c r="G238" s="383"/>
      <c r="H238" s="383"/>
      <c r="I238" s="383"/>
      <c r="J238" s="383"/>
      <c r="K238" s="383">
        <f>TRUNC(F238*[4]공량설정_일위대가!B154/100, [4]공량설정_일위대가!C155)</f>
        <v>0.08</v>
      </c>
      <c r="L238" s="382" t="s">
        <v>378</v>
      </c>
      <c r="M238" s="383"/>
      <c r="N238" s="383"/>
      <c r="O238" s="383" t="s">
        <v>3466</v>
      </c>
      <c r="P238" s="382" t="s">
        <v>378</v>
      </c>
      <c r="Q238" s="329" t="s">
        <v>1312</v>
      </c>
      <c r="R238" s="329" t="s">
        <v>378</v>
      </c>
      <c r="T238" s="329" t="s">
        <v>2762</v>
      </c>
    </row>
    <row r="239" spans="1:26" ht="30" customHeight="1">
      <c r="A239" s="734" t="s">
        <v>3605</v>
      </c>
      <c r="B239" s="734"/>
      <c r="C239" s="734"/>
      <c r="D239" s="734"/>
      <c r="E239" s="734"/>
      <c r="F239" s="734"/>
      <c r="G239" s="734"/>
      <c r="H239" s="734"/>
      <c r="I239" s="734"/>
      <c r="J239" s="734"/>
      <c r="K239" s="734"/>
      <c r="L239" s="734"/>
      <c r="M239" s="734"/>
      <c r="N239" s="734"/>
      <c r="O239" s="734"/>
      <c r="P239" s="734"/>
    </row>
    <row r="240" spans="1:26" ht="30" customHeight="1">
      <c r="A240" s="382" t="s">
        <v>2766</v>
      </c>
      <c r="B240" s="382" t="s">
        <v>512</v>
      </c>
      <c r="C240" s="382" t="s">
        <v>2765</v>
      </c>
      <c r="D240" s="382" t="s">
        <v>265</v>
      </c>
      <c r="E240" s="382" t="s">
        <v>1771</v>
      </c>
      <c r="F240" s="383">
        <v>1</v>
      </c>
      <c r="G240" s="383">
        <v>0</v>
      </c>
      <c r="H240" s="383"/>
      <c r="I240" s="383"/>
      <c r="J240" s="383"/>
      <c r="K240" s="383">
        <v>1</v>
      </c>
      <c r="L240" s="382" t="s">
        <v>1851</v>
      </c>
      <c r="M240" s="383">
        <f>0.08*(H240+100)/100*(I240+100)/100*(J240+100)/100</f>
        <v>0.08</v>
      </c>
      <c r="N240" s="383">
        <f>F240*M240</f>
        <v>0.08</v>
      </c>
      <c r="O240" s="382" t="s">
        <v>3466</v>
      </c>
      <c r="P240" s="382" t="s">
        <v>3519</v>
      </c>
      <c r="Q240" s="329" t="s">
        <v>1315</v>
      </c>
      <c r="R240" s="329" t="s">
        <v>2222</v>
      </c>
      <c r="S240" s="330">
        <v>0.08</v>
      </c>
      <c r="T240" s="329" t="s">
        <v>2767</v>
      </c>
      <c r="V240" s="330">
        <f>N240</f>
        <v>0.08</v>
      </c>
    </row>
    <row r="241" spans="1:22" ht="30" customHeight="1">
      <c r="A241" s="382" t="s">
        <v>2222</v>
      </c>
      <c r="B241" s="382" t="s">
        <v>1851</v>
      </c>
      <c r="C241" s="382" t="s">
        <v>2221</v>
      </c>
      <c r="D241" s="382" t="s">
        <v>1852</v>
      </c>
      <c r="E241" s="382" t="s">
        <v>378</v>
      </c>
      <c r="F241" s="383">
        <f>SUM(V240:V240)</f>
        <v>0.08</v>
      </c>
      <c r="G241" s="383"/>
      <c r="H241" s="383"/>
      <c r="I241" s="383"/>
      <c r="J241" s="383"/>
      <c r="K241" s="383">
        <f>TRUNC(F241*[4]공량설정_일위대가!B156/100, [4]공량설정_일위대가!C157)</f>
        <v>0.08</v>
      </c>
      <c r="L241" s="382" t="s">
        <v>378</v>
      </c>
      <c r="M241" s="383"/>
      <c r="N241" s="383"/>
      <c r="O241" s="383" t="s">
        <v>3466</v>
      </c>
      <c r="P241" s="382" t="s">
        <v>378</v>
      </c>
      <c r="Q241" s="329" t="s">
        <v>1315</v>
      </c>
      <c r="R241" s="329" t="s">
        <v>378</v>
      </c>
      <c r="T241" s="329" t="s">
        <v>2768</v>
      </c>
    </row>
    <row r="242" spans="1:22" ht="30" customHeight="1">
      <c r="A242" s="734" t="s">
        <v>3606</v>
      </c>
      <c r="B242" s="734"/>
      <c r="C242" s="734"/>
      <c r="D242" s="734"/>
      <c r="E242" s="734"/>
      <c r="F242" s="734"/>
      <c r="G242" s="734"/>
      <c r="H242" s="734"/>
      <c r="I242" s="734"/>
      <c r="J242" s="734"/>
      <c r="K242" s="734"/>
      <c r="L242" s="734"/>
      <c r="M242" s="734"/>
      <c r="N242" s="734"/>
      <c r="O242" s="734"/>
      <c r="P242" s="734"/>
    </row>
    <row r="243" spans="1:22" ht="30" customHeight="1">
      <c r="A243" s="382" t="s">
        <v>2772</v>
      </c>
      <c r="B243" s="382" t="s">
        <v>2771</v>
      </c>
      <c r="C243" s="382" t="s">
        <v>378</v>
      </c>
      <c r="D243" s="382" t="s">
        <v>265</v>
      </c>
      <c r="E243" s="382" t="s">
        <v>1771</v>
      </c>
      <c r="F243" s="383">
        <v>1</v>
      </c>
      <c r="G243" s="383">
        <v>0</v>
      </c>
      <c r="H243" s="383"/>
      <c r="I243" s="383"/>
      <c r="J243" s="383"/>
      <c r="K243" s="383">
        <v>1</v>
      </c>
      <c r="L243" s="382" t="s">
        <v>1851</v>
      </c>
      <c r="M243" s="383">
        <f>0.095*(H243+100)/100*(I243+100)/100*(J243+100)/100</f>
        <v>9.5000000000000001E-2</v>
      </c>
      <c r="N243" s="383">
        <f>F243*M243</f>
        <v>9.5000000000000001E-2</v>
      </c>
      <c r="O243" s="382" t="s">
        <v>3466</v>
      </c>
      <c r="P243" s="382" t="s">
        <v>3607</v>
      </c>
      <c r="Q243" s="329" t="s">
        <v>1318</v>
      </c>
      <c r="R243" s="329" t="s">
        <v>2222</v>
      </c>
      <c r="S243" s="330">
        <v>9.5000000000000001E-2</v>
      </c>
      <c r="T243" s="329" t="s">
        <v>2773</v>
      </c>
      <c r="V243" s="330">
        <f>N243</f>
        <v>9.5000000000000001E-2</v>
      </c>
    </row>
    <row r="244" spans="1:22" ht="30" customHeight="1">
      <c r="A244" s="382" t="s">
        <v>2222</v>
      </c>
      <c r="B244" s="382" t="s">
        <v>1851</v>
      </c>
      <c r="C244" s="382" t="s">
        <v>2221</v>
      </c>
      <c r="D244" s="382" t="s">
        <v>1852</v>
      </c>
      <c r="E244" s="382" t="s">
        <v>378</v>
      </c>
      <c r="F244" s="383">
        <f>SUM(V243:V243)</f>
        <v>9.5000000000000001E-2</v>
      </c>
      <c r="G244" s="383"/>
      <c r="H244" s="383"/>
      <c r="I244" s="383"/>
      <c r="J244" s="383"/>
      <c r="K244" s="383">
        <f>TRUNC(F244*[4]공량설정_일위대가!B158/100, [4]공량설정_일위대가!C159)</f>
        <v>9.5000000000000001E-2</v>
      </c>
      <c r="L244" s="382" t="s">
        <v>378</v>
      </c>
      <c r="M244" s="383"/>
      <c r="N244" s="383"/>
      <c r="O244" s="383" t="s">
        <v>3466</v>
      </c>
      <c r="P244" s="382" t="s">
        <v>378</v>
      </c>
      <c r="Q244" s="329" t="s">
        <v>1318</v>
      </c>
      <c r="R244" s="329" t="s">
        <v>378</v>
      </c>
      <c r="T244" s="329" t="s">
        <v>2775</v>
      </c>
    </row>
    <row r="245" spans="1:22" ht="30" customHeight="1">
      <c r="A245" s="735" t="s">
        <v>3608</v>
      </c>
      <c r="B245" s="735"/>
      <c r="C245" s="735"/>
      <c r="D245" s="735"/>
      <c r="E245" s="735"/>
      <c r="F245" s="735"/>
      <c r="G245" s="735"/>
      <c r="H245" s="735"/>
      <c r="I245" s="735"/>
      <c r="J245" s="735"/>
      <c r="K245" s="735"/>
      <c r="L245" s="735"/>
      <c r="M245" s="735"/>
      <c r="N245" s="735"/>
      <c r="O245" s="735"/>
      <c r="P245" s="735"/>
    </row>
    <row r="246" spans="1:22" ht="30" customHeight="1">
      <c r="A246" s="384" t="s">
        <v>2778</v>
      </c>
      <c r="B246" s="384" t="s">
        <v>446</v>
      </c>
      <c r="C246" s="384" t="s">
        <v>2777</v>
      </c>
      <c r="D246" s="384" t="s">
        <v>255</v>
      </c>
      <c r="E246" s="384" t="s">
        <v>1674</v>
      </c>
      <c r="F246" s="385">
        <v>1</v>
      </c>
      <c r="G246" s="385"/>
      <c r="H246" s="385"/>
      <c r="I246" s="385"/>
      <c r="J246" s="385"/>
      <c r="K246" s="385">
        <v>1</v>
      </c>
      <c r="L246" s="384" t="s">
        <v>1851</v>
      </c>
      <c r="M246" s="385">
        <f>0.044*(H246+100)/100*(I246+100)/100*(J246+100)/100</f>
        <v>4.3999999999999997E-2</v>
      </c>
      <c r="N246" s="385">
        <f>F246*M246</f>
        <v>4.3999999999999997E-2</v>
      </c>
      <c r="O246" s="384" t="s">
        <v>3466</v>
      </c>
      <c r="P246" s="384" t="s">
        <v>3609</v>
      </c>
      <c r="Q246" s="329" t="s">
        <v>1324</v>
      </c>
      <c r="R246" s="329" t="s">
        <v>2222</v>
      </c>
      <c r="S246" s="330">
        <v>4.3999999999999997E-2</v>
      </c>
      <c r="T246" s="329" t="s">
        <v>2779</v>
      </c>
      <c r="V246" s="330">
        <f>N246</f>
        <v>4.3999999999999997E-2</v>
      </c>
    </row>
    <row r="247" spans="1:22" ht="30" customHeight="1">
      <c r="A247" s="384" t="s">
        <v>2222</v>
      </c>
      <c r="B247" s="384" t="s">
        <v>1851</v>
      </c>
      <c r="C247" s="384" t="s">
        <v>2221</v>
      </c>
      <c r="D247" s="384" t="s">
        <v>1852</v>
      </c>
      <c r="E247" s="384" t="s">
        <v>378</v>
      </c>
      <c r="F247" s="385">
        <f>SUM(V246:V246)</f>
        <v>4.3999999999999997E-2</v>
      </c>
      <c r="G247" s="385"/>
      <c r="H247" s="385"/>
      <c r="I247" s="385"/>
      <c r="J247" s="385"/>
      <c r="K247" s="385">
        <f>TRUNC(F247*[4]공량설정_일위대가!B160/100, [4]공량설정_일위대가!C161)</f>
        <v>4.3999999999999997E-2</v>
      </c>
      <c r="L247" s="384" t="s">
        <v>378</v>
      </c>
      <c r="M247" s="385"/>
      <c r="N247" s="385"/>
      <c r="O247" s="385" t="s">
        <v>3466</v>
      </c>
      <c r="P247" s="384" t="s">
        <v>378</v>
      </c>
      <c r="Q247" s="329" t="s">
        <v>1324</v>
      </c>
      <c r="R247" s="329" t="s">
        <v>378</v>
      </c>
      <c r="T247" s="329" t="s">
        <v>2782</v>
      </c>
    </row>
    <row r="248" spans="1:22" ht="30" customHeight="1">
      <c r="A248" s="735" t="s">
        <v>3610</v>
      </c>
      <c r="B248" s="735"/>
      <c r="C248" s="735"/>
      <c r="D248" s="735"/>
      <c r="E248" s="735"/>
      <c r="F248" s="735"/>
      <c r="G248" s="735"/>
      <c r="H248" s="735"/>
      <c r="I248" s="735"/>
      <c r="J248" s="735"/>
      <c r="K248" s="735"/>
      <c r="L248" s="735"/>
      <c r="M248" s="735"/>
      <c r="N248" s="735"/>
      <c r="O248" s="735"/>
      <c r="P248" s="735"/>
    </row>
    <row r="249" spans="1:22" ht="30" customHeight="1">
      <c r="A249" s="384" t="s">
        <v>2785</v>
      </c>
      <c r="B249" s="384" t="s">
        <v>2735</v>
      </c>
      <c r="C249" s="384" t="s">
        <v>2784</v>
      </c>
      <c r="D249" s="384" t="s">
        <v>265</v>
      </c>
      <c r="E249" s="384" t="s">
        <v>1764</v>
      </c>
      <c r="F249" s="385">
        <v>1</v>
      </c>
      <c r="G249" s="385">
        <v>0</v>
      </c>
      <c r="H249" s="385"/>
      <c r="I249" s="385"/>
      <c r="J249" s="385"/>
      <c r="K249" s="385">
        <v>1</v>
      </c>
      <c r="L249" s="384" t="s">
        <v>1851</v>
      </c>
      <c r="M249" s="385">
        <v>0.12</v>
      </c>
      <c r="N249" s="385">
        <f>F249*M249</f>
        <v>0.12</v>
      </c>
      <c r="O249" s="384" t="s">
        <v>3466</v>
      </c>
      <c r="P249" s="384" t="s">
        <v>3611</v>
      </c>
      <c r="Q249" s="329" t="s">
        <v>1329</v>
      </c>
      <c r="R249" s="329" t="s">
        <v>2222</v>
      </c>
      <c r="S249" s="330">
        <v>0.2</v>
      </c>
      <c r="T249" s="329" t="s">
        <v>2786</v>
      </c>
      <c r="V249" s="330">
        <f>N249</f>
        <v>0.12</v>
      </c>
    </row>
    <row r="250" spans="1:22" ht="30" customHeight="1">
      <c r="A250" s="384" t="s">
        <v>2222</v>
      </c>
      <c r="B250" s="384" t="s">
        <v>1851</v>
      </c>
      <c r="C250" s="384" t="s">
        <v>2221</v>
      </c>
      <c r="D250" s="384" t="s">
        <v>1852</v>
      </c>
      <c r="E250" s="384" t="s">
        <v>378</v>
      </c>
      <c r="F250" s="385">
        <f>SUM(V249:V249)</f>
        <v>0.12</v>
      </c>
      <c r="G250" s="385"/>
      <c r="H250" s="385"/>
      <c r="I250" s="385"/>
      <c r="J250" s="385"/>
      <c r="K250" s="386">
        <f>F250</f>
        <v>0.12</v>
      </c>
      <c r="L250" s="384" t="s">
        <v>378</v>
      </c>
      <c r="M250" s="385"/>
      <c r="N250" s="385"/>
      <c r="O250" s="385" t="s">
        <v>3466</v>
      </c>
      <c r="P250" s="384" t="s">
        <v>378</v>
      </c>
      <c r="Q250" s="329" t="s">
        <v>1329</v>
      </c>
      <c r="R250" s="329" t="s">
        <v>378</v>
      </c>
      <c r="T250" s="329" t="s">
        <v>2790</v>
      </c>
    </row>
    <row r="251" spans="1:22" ht="30" customHeight="1">
      <c r="A251" s="735" t="s">
        <v>3612</v>
      </c>
      <c r="B251" s="735"/>
      <c r="C251" s="735"/>
      <c r="D251" s="735"/>
      <c r="E251" s="735"/>
      <c r="F251" s="735"/>
      <c r="G251" s="735"/>
      <c r="H251" s="735"/>
      <c r="I251" s="735"/>
      <c r="J251" s="735"/>
      <c r="K251" s="735"/>
      <c r="L251" s="735"/>
      <c r="M251" s="735"/>
      <c r="N251" s="735"/>
      <c r="O251" s="735"/>
      <c r="P251" s="735"/>
    </row>
    <row r="252" spans="1:22" ht="30" customHeight="1">
      <c r="A252" s="384" t="s">
        <v>2793</v>
      </c>
      <c r="B252" s="384" t="s">
        <v>2735</v>
      </c>
      <c r="C252" s="384" t="s">
        <v>2736</v>
      </c>
      <c r="D252" s="384" t="s">
        <v>265</v>
      </c>
      <c r="E252" s="384" t="s">
        <v>1764</v>
      </c>
      <c r="F252" s="385">
        <v>1</v>
      </c>
      <c r="G252" s="385">
        <v>0</v>
      </c>
      <c r="H252" s="385"/>
      <c r="I252" s="385"/>
      <c r="J252" s="385"/>
      <c r="K252" s="385">
        <v>1</v>
      </c>
      <c r="L252" s="384" t="s">
        <v>1851</v>
      </c>
      <c r="M252" s="385">
        <v>0.12</v>
      </c>
      <c r="N252" s="385">
        <f>F252*M252</f>
        <v>0.12</v>
      </c>
      <c r="O252" s="384" t="s">
        <v>3466</v>
      </c>
      <c r="P252" s="384" t="s">
        <v>3611</v>
      </c>
      <c r="Q252" s="329" t="s">
        <v>1332</v>
      </c>
      <c r="R252" s="329" t="s">
        <v>2222</v>
      </c>
      <c r="S252" s="330">
        <v>0.2</v>
      </c>
      <c r="T252" s="329" t="s">
        <v>2794</v>
      </c>
      <c r="V252" s="330">
        <f>N252</f>
        <v>0.12</v>
      </c>
    </row>
    <row r="253" spans="1:22" ht="30" customHeight="1">
      <c r="A253" s="384" t="s">
        <v>2222</v>
      </c>
      <c r="B253" s="384" t="s">
        <v>1851</v>
      </c>
      <c r="C253" s="384" t="s">
        <v>2221</v>
      </c>
      <c r="D253" s="384" t="s">
        <v>1852</v>
      </c>
      <c r="E253" s="384" t="s">
        <v>378</v>
      </c>
      <c r="F253" s="385">
        <f>SUM(V252:V252)</f>
        <v>0.12</v>
      </c>
      <c r="G253" s="385"/>
      <c r="H253" s="385"/>
      <c r="I253" s="385"/>
      <c r="J253" s="385"/>
      <c r="K253" s="385">
        <f>F253</f>
        <v>0.12</v>
      </c>
      <c r="L253" s="384" t="s">
        <v>378</v>
      </c>
      <c r="M253" s="385"/>
      <c r="N253" s="385"/>
      <c r="O253" s="385" t="s">
        <v>3466</v>
      </c>
      <c r="P253" s="384" t="s">
        <v>378</v>
      </c>
      <c r="Q253" s="329" t="s">
        <v>1332</v>
      </c>
      <c r="R253" s="329" t="s">
        <v>378</v>
      </c>
      <c r="T253" s="329" t="s">
        <v>2796</v>
      </c>
    </row>
    <row r="254" spans="1:22" ht="30" customHeight="1">
      <c r="A254" s="735" t="s">
        <v>3613</v>
      </c>
      <c r="B254" s="735"/>
      <c r="C254" s="735"/>
      <c r="D254" s="735"/>
      <c r="E254" s="735"/>
      <c r="F254" s="735"/>
      <c r="G254" s="735"/>
      <c r="H254" s="735"/>
      <c r="I254" s="735"/>
      <c r="J254" s="735"/>
      <c r="K254" s="735"/>
      <c r="L254" s="735"/>
      <c r="M254" s="735"/>
      <c r="N254" s="735"/>
      <c r="O254" s="735"/>
      <c r="P254" s="735"/>
    </row>
    <row r="255" spans="1:22" ht="30" customHeight="1">
      <c r="A255" s="384" t="s">
        <v>2801</v>
      </c>
      <c r="B255" s="384" t="s">
        <v>451</v>
      </c>
      <c r="C255" s="384" t="s">
        <v>2800</v>
      </c>
      <c r="D255" s="384" t="s">
        <v>265</v>
      </c>
      <c r="E255" s="384" t="s">
        <v>1764</v>
      </c>
      <c r="F255" s="385">
        <v>1</v>
      </c>
      <c r="G255" s="385">
        <v>0</v>
      </c>
      <c r="H255" s="385"/>
      <c r="I255" s="385"/>
      <c r="J255" s="385"/>
      <c r="K255" s="385">
        <v>1</v>
      </c>
      <c r="L255" s="384" t="s">
        <v>1851</v>
      </c>
      <c r="M255" s="385">
        <f>0.2*(H255+100)/100*(I255+100)/100*(J255+100)/100</f>
        <v>0.2</v>
      </c>
      <c r="N255" s="385">
        <f>F255*M255</f>
        <v>0.2</v>
      </c>
      <c r="O255" s="384" t="s">
        <v>3466</v>
      </c>
      <c r="P255" s="384" t="s">
        <v>3599</v>
      </c>
      <c r="Q255" s="329" t="s">
        <v>1335</v>
      </c>
      <c r="R255" s="329" t="s">
        <v>2222</v>
      </c>
      <c r="S255" s="330">
        <v>0.2</v>
      </c>
      <c r="T255" s="329" t="s">
        <v>2802</v>
      </c>
      <c r="V255" s="330">
        <f>N255</f>
        <v>0.2</v>
      </c>
    </row>
    <row r="256" spans="1:22" ht="30" customHeight="1">
      <c r="A256" s="384" t="s">
        <v>2222</v>
      </c>
      <c r="B256" s="384" t="s">
        <v>1851</v>
      </c>
      <c r="C256" s="384" t="s">
        <v>2221</v>
      </c>
      <c r="D256" s="384" t="s">
        <v>1852</v>
      </c>
      <c r="E256" s="384" t="s">
        <v>378</v>
      </c>
      <c r="F256" s="385">
        <f>SUM(V255:V255)</f>
        <v>0.2</v>
      </c>
      <c r="G256" s="385"/>
      <c r="H256" s="385"/>
      <c r="I256" s="385"/>
      <c r="J256" s="385"/>
      <c r="K256" s="385">
        <f>TRUNC(F256*[4]공량설정_일위대가!B166/100, [4]공량설정_일위대가!C167)</f>
        <v>0.2</v>
      </c>
      <c r="L256" s="384" t="s">
        <v>378</v>
      </c>
      <c r="M256" s="385"/>
      <c r="N256" s="385"/>
      <c r="O256" s="385" t="s">
        <v>3466</v>
      </c>
      <c r="P256" s="384" t="s">
        <v>378</v>
      </c>
      <c r="Q256" s="329" t="s">
        <v>1335</v>
      </c>
      <c r="R256" s="329" t="s">
        <v>378</v>
      </c>
      <c r="T256" s="329" t="s">
        <v>2806</v>
      </c>
    </row>
    <row r="257" spans="1:22" ht="30" customHeight="1">
      <c r="A257" s="734" t="s">
        <v>3614</v>
      </c>
      <c r="B257" s="734"/>
      <c r="C257" s="734"/>
      <c r="D257" s="734"/>
      <c r="E257" s="734"/>
      <c r="F257" s="734"/>
      <c r="G257" s="734"/>
      <c r="H257" s="734"/>
      <c r="I257" s="734"/>
      <c r="J257" s="734"/>
      <c r="K257" s="734"/>
      <c r="L257" s="734"/>
      <c r="M257" s="734"/>
      <c r="N257" s="734"/>
      <c r="O257" s="734"/>
      <c r="P257" s="734"/>
    </row>
    <row r="258" spans="1:22" ht="30" customHeight="1">
      <c r="A258" s="382" t="s">
        <v>2810</v>
      </c>
      <c r="B258" s="382" t="s">
        <v>2745</v>
      </c>
      <c r="C258" s="382" t="s">
        <v>2809</v>
      </c>
      <c r="D258" s="382" t="s">
        <v>300</v>
      </c>
      <c r="E258" s="382" t="s">
        <v>1768</v>
      </c>
      <c r="F258" s="383">
        <v>1</v>
      </c>
      <c r="G258" s="383">
        <v>10</v>
      </c>
      <c r="H258" s="383"/>
      <c r="I258" s="383"/>
      <c r="J258" s="383"/>
      <c r="K258" s="383">
        <v>1.1000000000000001</v>
      </c>
      <c r="L258" s="382" t="s">
        <v>1851</v>
      </c>
      <c r="M258" s="383">
        <f>0.01*(H258+100)/100*(I258+100)/100*(J258+100)/100</f>
        <v>0.01</v>
      </c>
      <c r="N258" s="383">
        <f>F258*M258</f>
        <v>0.01</v>
      </c>
      <c r="O258" s="382" t="s">
        <v>3466</v>
      </c>
      <c r="P258" s="382" t="s">
        <v>3544</v>
      </c>
      <c r="Q258" s="329" t="s">
        <v>1338</v>
      </c>
      <c r="R258" s="329" t="s">
        <v>2222</v>
      </c>
      <c r="S258" s="330">
        <v>0.01</v>
      </c>
      <c r="T258" s="329" t="s">
        <v>2811</v>
      </c>
      <c r="V258" s="330">
        <f>N258</f>
        <v>0.01</v>
      </c>
    </row>
    <row r="259" spans="1:22" ht="30" customHeight="1">
      <c r="A259" s="382" t="s">
        <v>2222</v>
      </c>
      <c r="B259" s="382" t="s">
        <v>1851</v>
      </c>
      <c r="C259" s="382" t="s">
        <v>2221</v>
      </c>
      <c r="D259" s="382" t="s">
        <v>1852</v>
      </c>
      <c r="E259" s="382" t="s">
        <v>378</v>
      </c>
      <c r="F259" s="383">
        <f>SUM(V258:V258)</f>
        <v>0.01</v>
      </c>
      <c r="G259" s="383"/>
      <c r="H259" s="383"/>
      <c r="I259" s="383"/>
      <c r="J259" s="383"/>
      <c r="K259" s="383">
        <f>TRUNC(F259*[4]공량설정_일위대가!B168/100, [4]공량설정_일위대가!C169)</f>
        <v>0.01</v>
      </c>
      <c r="L259" s="382" t="s">
        <v>378</v>
      </c>
      <c r="M259" s="383"/>
      <c r="N259" s="383"/>
      <c r="O259" s="383" t="s">
        <v>3466</v>
      </c>
      <c r="P259" s="382" t="s">
        <v>378</v>
      </c>
      <c r="Q259" s="329" t="s">
        <v>1338</v>
      </c>
      <c r="R259" s="329" t="s">
        <v>378</v>
      </c>
      <c r="T259" s="329" t="s">
        <v>2812</v>
      </c>
    </row>
    <row r="260" spans="1:22" ht="30" customHeight="1">
      <c r="A260" s="734" t="s">
        <v>3615</v>
      </c>
      <c r="B260" s="734"/>
      <c r="C260" s="734"/>
      <c r="D260" s="734"/>
      <c r="E260" s="734"/>
      <c r="F260" s="734"/>
      <c r="G260" s="734"/>
      <c r="H260" s="734"/>
      <c r="I260" s="734"/>
      <c r="J260" s="734"/>
      <c r="K260" s="734"/>
      <c r="L260" s="734"/>
      <c r="M260" s="734"/>
      <c r="N260" s="734"/>
      <c r="O260" s="734"/>
      <c r="P260" s="734"/>
    </row>
    <row r="261" spans="1:22" ht="30" customHeight="1">
      <c r="A261" s="382" t="s">
        <v>2817</v>
      </c>
      <c r="B261" s="382" t="s">
        <v>2815</v>
      </c>
      <c r="C261" s="382" t="s">
        <v>2816</v>
      </c>
      <c r="D261" s="382" t="s">
        <v>265</v>
      </c>
      <c r="E261" s="382" t="s">
        <v>1781</v>
      </c>
      <c r="F261" s="383">
        <v>1</v>
      </c>
      <c r="G261" s="383">
        <v>0</v>
      </c>
      <c r="H261" s="383"/>
      <c r="I261" s="383"/>
      <c r="J261" s="383"/>
      <c r="K261" s="383">
        <v>1</v>
      </c>
      <c r="L261" s="382" t="s">
        <v>1851</v>
      </c>
      <c r="M261" s="383">
        <f>0.085*(H261+100)/100*(I261+100)/100*(J261+100)/100</f>
        <v>8.5000000000000006E-2</v>
      </c>
      <c r="N261" s="383">
        <f>F261*M261</f>
        <v>8.5000000000000006E-2</v>
      </c>
      <c r="O261" s="382" t="s">
        <v>3466</v>
      </c>
      <c r="P261" s="382" t="s">
        <v>3616</v>
      </c>
      <c r="Q261" s="329" t="s">
        <v>1341</v>
      </c>
      <c r="R261" s="329" t="s">
        <v>2222</v>
      </c>
      <c r="S261" s="330">
        <v>8.5000000000000006E-2</v>
      </c>
      <c r="T261" s="329" t="s">
        <v>2818</v>
      </c>
      <c r="V261" s="330">
        <f>N261</f>
        <v>8.5000000000000006E-2</v>
      </c>
    </row>
    <row r="262" spans="1:22" ht="30" customHeight="1">
      <c r="A262" s="382" t="s">
        <v>2222</v>
      </c>
      <c r="B262" s="382" t="s">
        <v>1851</v>
      </c>
      <c r="C262" s="382" t="s">
        <v>2221</v>
      </c>
      <c r="D262" s="382" t="s">
        <v>1852</v>
      </c>
      <c r="E262" s="382" t="s">
        <v>378</v>
      </c>
      <c r="F262" s="383">
        <f>SUM(V261:V261)</f>
        <v>8.5000000000000006E-2</v>
      </c>
      <c r="G262" s="383"/>
      <c r="H262" s="383"/>
      <c r="I262" s="383"/>
      <c r="J262" s="383"/>
      <c r="K262" s="383">
        <f>TRUNC(F262*[4]공량설정_일위대가!B170/100, [4]공량설정_일위대가!C171)</f>
        <v>8.5000000000000006E-2</v>
      </c>
      <c r="L262" s="382" t="s">
        <v>378</v>
      </c>
      <c r="M262" s="383"/>
      <c r="N262" s="383"/>
      <c r="O262" s="383" t="s">
        <v>3466</v>
      </c>
      <c r="P262" s="382" t="s">
        <v>378</v>
      </c>
      <c r="Q262" s="329" t="s">
        <v>1341</v>
      </c>
      <c r="R262" s="329" t="s">
        <v>378</v>
      </c>
      <c r="T262" s="329" t="s">
        <v>2819</v>
      </c>
    </row>
    <row r="263" spans="1:22" ht="30" customHeight="1">
      <c r="A263" s="734" t="s">
        <v>3617</v>
      </c>
      <c r="B263" s="734"/>
      <c r="C263" s="734"/>
      <c r="D263" s="734"/>
      <c r="E263" s="734"/>
      <c r="F263" s="734"/>
      <c r="G263" s="734"/>
      <c r="H263" s="734"/>
      <c r="I263" s="734"/>
      <c r="J263" s="734"/>
      <c r="K263" s="734"/>
      <c r="L263" s="734"/>
      <c r="M263" s="734"/>
      <c r="N263" s="734"/>
      <c r="O263" s="734"/>
      <c r="P263" s="734"/>
    </row>
    <row r="264" spans="1:22" ht="30" customHeight="1">
      <c r="A264" s="382" t="s">
        <v>2823</v>
      </c>
      <c r="B264" s="382" t="s">
        <v>2815</v>
      </c>
      <c r="C264" s="382" t="s">
        <v>2822</v>
      </c>
      <c r="D264" s="382" t="s">
        <v>265</v>
      </c>
      <c r="E264" s="382" t="s">
        <v>1781</v>
      </c>
      <c r="F264" s="383">
        <v>1</v>
      </c>
      <c r="G264" s="383">
        <v>0</v>
      </c>
      <c r="H264" s="383"/>
      <c r="I264" s="383"/>
      <c r="J264" s="383"/>
      <c r="K264" s="383">
        <v>1</v>
      </c>
      <c r="L264" s="382" t="s">
        <v>1851</v>
      </c>
      <c r="M264" s="383">
        <f>0.085*(H264+100)/100*(I264+100)/100*(J264+100)/100</f>
        <v>8.5000000000000006E-2</v>
      </c>
      <c r="N264" s="383">
        <f>F264*M264</f>
        <v>8.5000000000000006E-2</v>
      </c>
      <c r="O264" s="382" t="s">
        <v>3466</v>
      </c>
      <c r="P264" s="382" t="s">
        <v>3616</v>
      </c>
      <c r="Q264" s="329" t="s">
        <v>1344</v>
      </c>
      <c r="R264" s="329" t="s">
        <v>2222</v>
      </c>
      <c r="S264" s="330">
        <v>8.5000000000000006E-2</v>
      </c>
      <c r="T264" s="329" t="s">
        <v>2824</v>
      </c>
      <c r="V264" s="330">
        <f>N264</f>
        <v>8.5000000000000006E-2</v>
      </c>
    </row>
    <row r="265" spans="1:22" ht="30" customHeight="1">
      <c r="A265" s="382" t="s">
        <v>2222</v>
      </c>
      <c r="B265" s="382" t="s">
        <v>1851</v>
      </c>
      <c r="C265" s="382" t="s">
        <v>2221</v>
      </c>
      <c r="D265" s="382" t="s">
        <v>1852</v>
      </c>
      <c r="E265" s="382" t="s">
        <v>378</v>
      </c>
      <c r="F265" s="383">
        <f>SUM(V264:V264)</f>
        <v>8.5000000000000006E-2</v>
      </c>
      <c r="G265" s="383"/>
      <c r="H265" s="383"/>
      <c r="I265" s="383"/>
      <c r="J265" s="383"/>
      <c r="K265" s="383">
        <f>TRUNC(F265*[4]공량설정_일위대가!B172/100, [4]공량설정_일위대가!C173)</f>
        <v>8.5000000000000006E-2</v>
      </c>
      <c r="L265" s="382" t="s">
        <v>378</v>
      </c>
      <c r="M265" s="383"/>
      <c r="N265" s="383"/>
      <c r="O265" s="383" t="s">
        <v>3466</v>
      </c>
      <c r="P265" s="382" t="s">
        <v>378</v>
      </c>
      <c r="Q265" s="329" t="s">
        <v>1344</v>
      </c>
      <c r="R265" s="329" t="s">
        <v>378</v>
      </c>
      <c r="T265" s="329" t="s">
        <v>2825</v>
      </c>
    </row>
    <row r="266" spans="1:22" ht="30" customHeight="1">
      <c r="A266" s="734" t="s">
        <v>3618</v>
      </c>
      <c r="B266" s="734"/>
      <c r="C266" s="734"/>
      <c r="D266" s="734"/>
      <c r="E266" s="734"/>
      <c r="F266" s="734"/>
      <c r="G266" s="734"/>
      <c r="H266" s="734"/>
      <c r="I266" s="734"/>
      <c r="J266" s="734"/>
      <c r="K266" s="734"/>
      <c r="L266" s="734"/>
      <c r="M266" s="734"/>
      <c r="N266" s="734"/>
      <c r="O266" s="734"/>
      <c r="P266" s="734"/>
    </row>
    <row r="267" spans="1:22" ht="30" customHeight="1">
      <c r="A267" s="382" t="s">
        <v>2829</v>
      </c>
      <c r="B267" s="382" t="s">
        <v>2815</v>
      </c>
      <c r="C267" s="382" t="s">
        <v>2828</v>
      </c>
      <c r="D267" s="382" t="s">
        <v>265</v>
      </c>
      <c r="E267" s="382" t="s">
        <v>1781</v>
      </c>
      <c r="F267" s="383">
        <v>1</v>
      </c>
      <c r="G267" s="383">
        <v>0</v>
      </c>
      <c r="H267" s="383"/>
      <c r="I267" s="383"/>
      <c r="J267" s="383"/>
      <c r="K267" s="383">
        <v>1</v>
      </c>
      <c r="L267" s="382" t="s">
        <v>1851</v>
      </c>
      <c r="M267" s="383">
        <f>0.085*(H267+100)/100*(I267+100)/100*(J267+100)/100</f>
        <v>8.5000000000000006E-2</v>
      </c>
      <c r="N267" s="383">
        <f>F267*M267</f>
        <v>8.5000000000000006E-2</v>
      </c>
      <c r="O267" s="382" t="s">
        <v>3466</v>
      </c>
      <c r="P267" s="382" t="s">
        <v>3616</v>
      </c>
      <c r="Q267" s="329" t="s">
        <v>1347</v>
      </c>
      <c r="R267" s="329" t="s">
        <v>2222</v>
      </c>
      <c r="S267" s="330">
        <v>8.5000000000000006E-2</v>
      </c>
      <c r="T267" s="329" t="s">
        <v>2830</v>
      </c>
      <c r="V267" s="330">
        <f>N267</f>
        <v>8.5000000000000006E-2</v>
      </c>
    </row>
    <row r="268" spans="1:22" ht="30" customHeight="1">
      <c r="A268" s="382" t="s">
        <v>2222</v>
      </c>
      <c r="B268" s="382" t="s">
        <v>1851</v>
      </c>
      <c r="C268" s="382" t="s">
        <v>2221</v>
      </c>
      <c r="D268" s="382" t="s">
        <v>1852</v>
      </c>
      <c r="E268" s="382" t="s">
        <v>378</v>
      </c>
      <c r="F268" s="383">
        <f>SUM(V267:V267)</f>
        <v>8.5000000000000006E-2</v>
      </c>
      <c r="G268" s="383"/>
      <c r="H268" s="383"/>
      <c r="I268" s="383"/>
      <c r="J268" s="383"/>
      <c r="K268" s="383">
        <f>TRUNC(F268*[4]공량설정_일위대가!B174/100, [4]공량설정_일위대가!C175)</f>
        <v>8.5000000000000006E-2</v>
      </c>
      <c r="L268" s="382" t="s">
        <v>378</v>
      </c>
      <c r="M268" s="383"/>
      <c r="N268" s="383"/>
      <c r="O268" s="383" t="s">
        <v>3466</v>
      </c>
      <c r="P268" s="382" t="s">
        <v>378</v>
      </c>
      <c r="Q268" s="329" t="s">
        <v>1347</v>
      </c>
      <c r="R268" s="329" t="s">
        <v>378</v>
      </c>
      <c r="T268" s="329" t="s">
        <v>2831</v>
      </c>
    </row>
    <row r="269" spans="1:22" ht="30" customHeight="1">
      <c r="A269" s="734" t="s">
        <v>3619</v>
      </c>
      <c r="B269" s="734"/>
      <c r="C269" s="734"/>
      <c r="D269" s="734"/>
      <c r="E269" s="734"/>
      <c r="F269" s="734"/>
      <c r="G269" s="734"/>
      <c r="H269" s="734"/>
      <c r="I269" s="734"/>
      <c r="J269" s="734"/>
      <c r="K269" s="734"/>
      <c r="L269" s="734"/>
      <c r="M269" s="734"/>
      <c r="N269" s="734"/>
      <c r="O269" s="734"/>
      <c r="P269" s="734"/>
    </row>
    <row r="270" spans="1:22" ht="30" customHeight="1">
      <c r="A270" s="382" t="s">
        <v>2835</v>
      </c>
      <c r="B270" s="382" t="s">
        <v>2815</v>
      </c>
      <c r="C270" s="382" t="s">
        <v>2834</v>
      </c>
      <c r="D270" s="382" t="s">
        <v>265</v>
      </c>
      <c r="E270" s="382" t="s">
        <v>1781</v>
      </c>
      <c r="F270" s="383">
        <v>1</v>
      </c>
      <c r="G270" s="383">
        <v>0</v>
      </c>
      <c r="H270" s="383"/>
      <c r="I270" s="383"/>
      <c r="J270" s="383"/>
      <c r="K270" s="383">
        <v>1</v>
      </c>
      <c r="L270" s="382" t="s">
        <v>1851</v>
      </c>
      <c r="M270" s="383">
        <f>0.085*(H270+100)/100*(I270+100)/100*(J270+100)/100</f>
        <v>8.5000000000000006E-2</v>
      </c>
      <c r="N270" s="383">
        <f>F270*M270</f>
        <v>8.5000000000000006E-2</v>
      </c>
      <c r="O270" s="382" t="s">
        <v>3466</v>
      </c>
      <c r="P270" s="382" t="s">
        <v>3616</v>
      </c>
      <c r="Q270" s="329" t="s">
        <v>1350</v>
      </c>
      <c r="R270" s="329" t="s">
        <v>2222</v>
      </c>
      <c r="S270" s="330">
        <v>8.5000000000000006E-2</v>
      </c>
      <c r="T270" s="329" t="s">
        <v>2836</v>
      </c>
      <c r="V270" s="330">
        <f>N270</f>
        <v>8.5000000000000006E-2</v>
      </c>
    </row>
    <row r="271" spans="1:22" ht="30" customHeight="1">
      <c r="A271" s="382" t="s">
        <v>2222</v>
      </c>
      <c r="B271" s="382" t="s">
        <v>1851</v>
      </c>
      <c r="C271" s="382" t="s">
        <v>2221</v>
      </c>
      <c r="D271" s="382" t="s">
        <v>1852</v>
      </c>
      <c r="E271" s="382" t="s">
        <v>378</v>
      </c>
      <c r="F271" s="383">
        <f>SUM(V270:V270)</f>
        <v>8.5000000000000006E-2</v>
      </c>
      <c r="G271" s="383"/>
      <c r="H271" s="383"/>
      <c r="I271" s="383"/>
      <c r="J271" s="383"/>
      <c r="K271" s="383">
        <f>TRUNC(F271*[4]공량설정_일위대가!B176/100, [4]공량설정_일위대가!C177)</f>
        <v>8.5000000000000006E-2</v>
      </c>
      <c r="L271" s="382" t="s">
        <v>378</v>
      </c>
      <c r="M271" s="383"/>
      <c r="N271" s="383"/>
      <c r="O271" s="383" t="s">
        <v>3466</v>
      </c>
      <c r="P271" s="382" t="s">
        <v>378</v>
      </c>
      <c r="Q271" s="329" t="s">
        <v>1350</v>
      </c>
      <c r="R271" s="329" t="s">
        <v>378</v>
      </c>
      <c r="T271" s="329" t="s">
        <v>2837</v>
      </c>
    </row>
    <row r="272" spans="1:22" ht="30" customHeight="1">
      <c r="A272" s="734" t="s">
        <v>3620</v>
      </c>
      <c r="B272" s="734"/>
      <c r="C272" s="734"/>
      <c r="D272" s="734"/>
      <c r="E272" s="734"/>
      <c r="F272" s="734"/>
      <c r="G272" s="734"/>
      <c r="H272" s="734"/>
      <c r="I272" s="734"/>
      <c r="J272" s="734"/>
      <c r="K272" s="734"/>
      <c r="L272" s="734"/>
      <c r="M272" s="734"/>
      <c r="N272" s="734"/>
      <c r="O272" s="734"/>
      <c r="P272" s="734"/>
    </row>
    <row r="273" spans="1:22" ht="30" customHeight="1">
      <c r="A273" s="382" t="s">
        <v>2841</v>
      </c>
      <c r="B273" s="382" t="s">
        <v>489</v>
      </c>
      <c r="C273" s="382" t="s">
        <v>2840</v>
      </c>
      <c r="D273" s="382" t="s">
        <v>265</v>
      </c>
      <c r="E273" s="382" t="s">
        <v>3621</v>
      </c>
      <c r="F273" s="383">
        <v>1</v>
      </c>
      <c r="G273" s="383">
        <v>0</v>
      </c>
      <c r="H273" s="383"/>
      <c r="I273" s="383"/>
      <c r="J273" s="383"/>
      <c r="K273" s="383">
        <v>1</v>
      </c>
      <c r="L273" s="382" t="s">
        <v>1851</v>
      </c>
      <c r="M273" s="383">
        <f>0.111*(H273+100)/100*(I273+100)/100*(J273+100)/100</f>
        <v>0.111</v>
      </c>
      <c r="N273" s="383">
        <f>F273*M273</f>
        <v>0.111</v>
      </c>
      <c r="O273" s="382" t="s">
        <v>3466</v>
      </c>
      <c r="P273" s="382" t="s">
        <v>3622</v>
      </c>
      <c r="Q273" s="329" t="s">
        <v>1353</v>
      </c>
      <c r="R273" s="329" t="s">
        <v>2222</v>
      </c>
      <c r="S273" s="330">
        <v>0.111</v>
      </c>
      <c r="T273" s="329" t="s">
        <v>2842</v>
      </c>
      <c r="V273" s="330">
        <f>N273</f>
        <v>0.111</v>
      </c>
    </row>
    <row r="274" spans="1:22" ht="30" customHeight="1">
      <c r="A274" s="382" t="s">
        <v>2222</v>
      </c>
      <c r="B274" s="382" t="s">
        <v>1851</v>
      </c>
      <c r="C274" s="382" t="s">
        <v>2221</v>
      </c>
      <c r="D274" s="382" t="s">
        <v>1852</v>
      </c>
      <c r="E274" s="382" t="s">
        <v>378</v>
      </c>
      <c r="F274" s="383">
        <f>SUM(V273:V273)</f>
        <v>0.111</v>
      </c>
      <c r="G274" s="383"/>
      <c r="H274" s="383"/>
      <c r="I274" s="383"/>
      <c r="J274" s="383"/>
      <c r="K274" s="383">
        <f>TRUNC(F274*[4]공량설정_일위대가!B178/100, [4]공량설정_일위대가!C179)</f>
        <v>0.111</v>
      </c>
      <c r="L274" s="382" t="s">
        <v>378</v>
      </c>
      <c r="M274" s="383"/>
      <c r="N274" s="383"/>
      <c r="O274" s="383" t="s">
        <v>3466</v>
      </c>
      <c r="P274" s="382" t="s">
        <v>378</v>
      </c>
      <c r="Q274" s="329" t="s">
        <v>1353</v>
      </c>
      <c r="R274" s="329" t="s">
        <v>378</v>
      </c>
      <c r="T274" s="329" t="s">
        <v>2843</v>
      </c>
    </row>
    <row r="275" spans="1:22" ht="30" customHeight="1">
      <c r="A275" s="734" t="s">
        <v>3623</v>
      </c>
      <c r="B275" s="734"/>
      <c r="C275" s="734"/>
      <c r="D275" s="734"/>
      <c r="E275" s="734"/>
      <c r="F275" s="734"/>
      <c r="G275" s="734"/>
      <c r="H275" s="734"/>
      <c r="I275" s="734"/>
      <c r="J275" s="734"/>
      <c r="K275" s="734"/>
      <c r="L275" s="734"/>
      <c r="M275" s="734"/>
      <c r="N275" s="734"/>
      <c r="O275" s="734"/>
      <c r="P275" s="734"/>
    </row>
    <row r="276" spans="1:22" ht="30" customHeight="1">
      <c r="A276" s="382" t="s">
        <v>2846</v>
      </c>
      <c r="B276" s="382" t="s">
        <v>493</v>
      </c>
      <c r="C276" s="382" t="s">
        <v>494</v>
      </c>
      <c r="D276" s="382" t="s">
        <v>265</v>
      </c>
      <c r="E276" s="382" t="s">
        <v>1732</v>
      </c>
      <c r="F276" s="383">
        <v>1</v>
      </c>
      <c r="G276" s="383">
        <v>0</v>
      </c>
      <c r="H276" s="383"/>
      <c r="I276" s="383"/>
      <c r="J276" s="383"/>
      <c r="K276" s="383">
        <v>1</v>
      </c>
      <c r="L276" s="382" t="s">
        <v>1851</v>
      </c>
      <c r="M276" s="383">
        <f>0.138*(H276+100)/100*(I276+100)/100*(J276+100)/100</f>
        <v>0.13800000000000001</v>
      </c>
      <c r="N276" s="383">
        <f>F276*M276</f>
        <v>0.13800000000000001</v>
      </c>
      <c r="O276" s="382" t="s">
        <v>3466</v>
      </c>
      <c r="P276" s="382" t="s">
        <v>3555</v>
      </c>
      <c r="Q276" s="329" t="s">
        <v>1360</v>
      </c>
      <c r="R276" s="329" t="s">
        <v>2222</v>
      </c>
      <c r="S276" s="330">
        <v>0.13800000000000001</v>
      </c>
      <c r="T276" s="329" t="s">
        <v>2847</v>
      </c>
      <c r="V276" s="330">
        <f>N276</f>
        <v>0.13800000000000001</v>
      </c>
    </row>
    <row r="277" spans="1:22" ht="30" customHeight="1">
      <c r="A277" s="382" t="s">
        <v>2222</v>
      </c>
      <c r="B277" s="382" t="s">
        <v>1851</v>
      </c>
      <c r="C277" s="382" t="s">
        <v>2221</v>
      </c>
      <c r="D277" s="382" t="s">
        <v>1852</v>
      </c>
      <c r="E277" s="382" t="s">
        <v>378</v>
      </c>
      <c r="F277" s="383">
        <f>SUM(V276:V276)</f>
        <v>0.13800000000000001</v>
      </c>
      <c r="G277" s="383"/>
      <c r="H277" s="383"/>
      <c r="I277" s="383"/>
      <c r="J277" s="383"/>
      <c r="K277" s="383">
        <f>TRUNC(F277*[4]공량설정_일위대가!B180/100, [4]공량설정_일위대가!C181)</f>
        <v>0.13800000000000001</v>
      </c>
      <c r="L277" s="382" t="s">
        <v>378</v>
      </c>
      <c r="M277" s="383"/>
      <c r="N277" s="383"/>
      <c r="O277" s="383" t="s">
        <v>3466</v>
      </c>
      <c r="P277" s="382" t="s">
        <v>378</v>
      </c>
      <c r="Q277" s="329" t="s">
        <v>1360</v>
      </c>
      <c r="R277" s="329" t="s">
        <v>378</v>
      </c>
      <c r="T277" s="329" t="s">
        <v>2849</v>
      </c>
    </row>
    <row r="278" spans="1:22" ht="30" customHeight="1">
      <c r="A278" s="734" t="s">
        <v>3624</v>
      </c>
      <c r="B278" s="734"/>
      <c r="C278" s="734"/>
      <c r="D278" s="734"/>
      <c r="E278" s="734"/>
      <c r="F278" s="734"/>
      <c r="G278" s="734"/>
      <c r="H278" s="734"/>
      <c r="I278" s="734"/>
      <c r="J278" s="734"/>
      <c r="K278" s="734"/>
      <c r="L278" s="734"/>
      <c r="M278" s="734"/>
      <c r="N278" s="734"/>
      <c r="O278" s="734"/>
      <c r="P278" s="734"/>
    </row>
    <row r="279" spans="1:22" ht="30" customHeight="1">
      <c r="A279" s="382" t="s">
        <v>2851</v>
      </c>
      <c r="B279" s="382" t="s">
        <v>495</v>
      </c>
      <c r="C279" s="382" t="s">
        <v>496</v>
      </c>
      <c r="D279" s="382" t="s">
        <v>265</v>
      </c>
      <c r="E279" s="382" t="s">
        <v>1732</v>
      </c>
      <c r="F279" s="383">
        <v>1</v>
      </c>
      <c r="G279" s="383">
        <v>0</v>
      </c>
      <c r="H279" s="383"/>
      <c r="I279" s="383"/>
      <c r="J279" s="383"/>
      <c r="K279" s="383">
        <v>1</v>
      </c>
      <c r="L279" s="382" t="s">
        <v>1851</v>
      </c>
      <c r="M279" s="383">
        <f>0.249*(H279+100)/100*(I279+100)/100*(J279+100)/100</f>
        <v>0.249</v>
      </c>
      <c r="N279" s="383">
        <f>F279*M279</f>
        <v>0.249</v>
      </c>
      <c r="O279" s="382" t="s">
        <v>3466</v>
      </c>
      <c r="P279" s="382" t="s">
        <v>3625</v>
      </c>
      <c r="Q279" s="329" t="s">
        <v>1363</v>
      </c>
      <c r="R279" s="329" t="s">
        <v>2222</v>
      </c>
      <c r="S279" s="330">
        <v>0.249</v>
      </c>
      <c r="T279" s="329" t="s">
        <v>2852</v>
      </c>
      <c r="V279" s="330">
        <f>N279</f>
        <v>0.249</v>
      </c>
    </row>
    <row r="280" spans="1:22" ht="30" customHeight="1">
      <c r="A280" s="382" t="s">
        <v>2222</v>
      </c>
      <c r="B280" s="382" t="s">
        <v>1851</v>
      </c>
      <c r="C280" s="382" t="s">
        <v>2221</v>
      </c>
      <c r="D280" s="382" t="s">
        <v>1852</v>
      </c>
      <c r="E280" s="382" t="s">
        <v>378</v>
      </c>
      <c r="F280" s="383">
        <f>SUM(V279:V279)</f>
        <v>0.249</v>
      </c>
      <c r="G280" s="383"/>
      <c r="H280" s="383"/>
      <c r="I280" s="383"/>
      <c r="J280" s="383"/>
      <c r="K280" s="383">
        <f>TRUNC(F280*[4]공량설정_일위대가!B182/100, [4]공량설정_일위대가!C183)</f>
        <v>0.249</v>
      </c>
      <c r="L280" s="382" t="s">
        <v>378</v>
      </c>
      <c r="M280" s="383"/>
      <c r="N280" s="383"/>
      <c r="O280" s="383" t="s">
        <v>3466</v>
      </c>
      <c r="P280" s="382" t="s">
        <v>378</v>
      </c>
      <c r="Q280" s="329" t="s">
        <v>1363</v>
      </c>
      <c r="R280" s="329" t="s">
        <v>378</v>
      </c>
      <c r="T280" s="329" t="s">
        <v>2853</v>
      </c>
    </row>
    <row r="281" spans="1:22" ht="30" customHeight="1">
      <c r="A281" s="734" t="s">
        <v>3626</v>
      </c>
      <c r="B281" s="734"/>
      <c r="C281" s="734"/>
      <c r="D281" s="734"/>
      <c r="E281" s="734"/>
      <c r="F281" s="734"/>
      <c r="G281" s="734"/>
      <c r="H281" s="734"/>
      <c r="I281" s="734"/>
      <c r="J281" s="734"/>
      <c r="K281" s="734"/>
      <c r="L281" s="734"/>
      <c r="M281" s="734"/>
      <c r="N281" s="734"/>
      <c r="O281" s="734"/>
      <c r="P281" s="734"/>
    </row>
    <row r="282" spans="1:22" ht="30" customHeight="1">
      <c r="A282" s="382" t="s">
        <v>2856</v>
      </c>
      <c r="B282" s="382" t="s">
        <v>497</v>
      </c>
      <c r="C282" s="382" t="s">
        <v>498</v>
      </c>
      <c r="D282" s="382" t="s">
        <v>265</v>
      </c>
      <c r="E282" s="382" t="s">
        <v>1732</v>
      </c>
      <c r="F282" s="383">
        <v>1</v>
      </c>
      <c r="G282" s="383">
        <v>0</v>
      </c>
      <c r="H282" s="383"/>
      <c r="I282" s="383"/>
      <c r="J282" s="383"/>
      <c r="K282" s="383">
        <v>1</v>
      </c>
      <c r="L282" s="382" t="s">
        <v>1851</v>
      </c>
      <c r="M282" s="383">
        <f>0.158*(H282+100)/100*(I282+100)/100*(J282+100)/100</f>
        <v>0.158</v>
      </c>
      <c r="N282" s="383">
        <f>F282*M282</f>
        <v>0.158</v>
      </c>
      <c r="O282" s="382" t="s">
        <v>3466</v>
      </c>
      <c r="P282" s="382" t="s">
        <v>3627</v>
      </c>
      <c r="Q282" s="329" t="s">
        <v>1366</v>
      </c>
      <c r="R282" s="329" t="s">
        <v>2222</v>
      </c>
      <c r="S282" s="330">
        <v>0.158</v>
      </c>
      <c r="T282" s="329" t="s">
        <v>2857</v>
      </c>
      <c r="V282" s="330">
        <f>N282</f>
        <v>0.158</v>
      </c>
    </row>
    <row r="283" spans="1:22" ht="30" customHeight="1">
      <c r="A283" s="382" t="s">
        <v>2222</v>
      </c>
      <c r="B283" s="382" t="s">
        <v>1851</v>
      </c>
      <c r="C283" s="382" t="s">
        <v>2221</v>
      </c>
      <c r="D283" s="382" t="s">
        <v>1852</v>
      </c>
      <c r="E283" s="382" t="s">
        <v>378</v>
      </c>
      <c r="F283" s="383">
        <f>SUM(V282:V282)</f>
        <v>0.158</v>
      </c>
      <c r="G283" s="383"/>
      <c r="H283" s="383"/>
      <c r="I283" s="383"/>
      <c r="J283" s="383"/>
      <c r="K283" s="383">
        <f>TRUNC(F283*[4]공량설정_일위대가!B184/100, [4]공량설정_일위대가!C185)</f>
        <v>0.158</v>
      </c>
      <c r="L283" s="382" t="s">
        <v>378</v>
      </c>
      <c r="M283" s="383"/>
      <c r="N283" s="383"/>
      <c r="O283" s="383" t="s">
        <v>3466</v>
      </c>
      <c r="P283" s="382" t="s">
        <v>378</v>
      </c>
      <c r="Q283" s="329" t="s">
        <v>1366</v>
      </c>
      <c r="R283" s="329" t="s">
        <v>378</v>
      </c>
      <c r="T283" s="329" t="s">
        <v>2858</v>
      </c>
    </row>
    <row r="284" spans="1:22" ht="30" customHeight="1">
      <c r="A284" s="734" t="s">
        <v>3628</v>
      </c>
      <c r="B284" s="734"/>
      <c r="C284" s="734"/>
      <c r="D284" s="734"/>
      <c r="E284" s="734"/>
      <c r="F284" s="734"/>
      <c r="G284" s="734"/>
      <c r="H284" s="734"/>
      <c r="I284" s="734"/>
      <c r="J284" s="734"/>
      <c r="K284" s="734"/>
      <c r="L284" s="734"/>
      <c r="M284" s="734"/>
      <c r="N284" s="734"/>
      <c r="O284" s="734"/>
      <c r="P284" s="734"/>
    </row>
    <row r="285" spans="1:22" ht="30" customHeight="1">
      <c r="A285" s="382" t="s">
        <v>2861</v>
      </c>
      <c r="B285" s="382" t="s">
        <v>499</v>
      </c>
      <c r="C285" s="382" t="s">
        <v>500</v>
      </c>
      <c r="D285" s="382" t="s">
        <v>265</v>
      </c>
      <c r="E285" s="382" t="s">
        <v>1732</v>
      </c>
      <c r="F285" s="383">
        <v>1</v>
      </c>
      <c r="G285" s="383">
        <v>0</v>
      </c>
      <c r="H285" s="383"/>
      <c r="I285" s="383"/>
      <c r="J285" s="383"/>
      <c r="K285" s="383">
        <v>1</v>
      </c>
      <c r="L285" s="382" t="s">
        <v>1851</v>
      </c>
      <c r="M285" s="383">
        <f>0.221*(H285+100)/100*(I285+100)/100*(J285+100)/100</f>
        <v>0.221</v>
      </c>
      <c r="N285" s="383">
        <f>F285*M285</f>
        <v>0.221</v>
      </c>
      <c r="O285" s="382" t="s">
        <v>3466</v>
      </c>
      <c r="P285" s="382" t="s">
        <v>3629</v>
      </c>
      <c r="Q285" s="329" t="s">
        <v>1369</v>
      </c>
      <c r="R285" s="329" t="s">
        <v>2222</v>
      </c>
      <c r="S285" s="330">
        <v>0.221</v>
      </c>
      <c r="T285" s="329" t="s">
        <v>2862</v>
      </c>
      <c r="V285" s="330">
        <f>N285</f>
        <v>0.221</v>
      </c>
    </row>
    <row r="286" spans="1:22" ht="30" customHeight="1">
      <c r="A286" s="382" t="s">
        <v>2222</v>
      </c>
      <c r="B286" s="382" t="s">
        <v>1851</v>
      </c>
      <c r="C286" s="382" t="s">
        <v>2221</v>
      </c>
      <c r="D286" s="382" t="s">
        <v>1852</v>
      </c>
      <c r="E286" s="382" t="s">
        <v>378</v>
      </c>
      <c r="F286" s="383">
        <f>SUM(V285:V285)</f>
        <v>0.221</v>
      </c>
      <c r="G286" s="383"/>
      <c r="H286" s="383"/>
      <c r="I286" s="383"/>
      <c r="J286" s="383"/>
      <c r="K286" s="383">
        <f>TRUNC(F286*[4]공량설정_일위대가!B186/100, [4]공량설정_일위대가!C187)</f>
        <v>0.221</v>
      </c>
      <c r="L286" s="382" t="s">
        <v>378</v>
      </c>
      <c r="M286" s="383"/>
      <c r="N286" s="383"/>
      <c r="O286" s="383" t="s">
        <v>3466</v>
      </c>
      <c r="P286" s="382" t="s">
        <v>378</v>
      </c>
      <c r="Q286" s="329" t="s">
        <v>1369</v>
      </c>
      <c r="R286" s="329" t="s">
        <v>378</v>
      </c>
      <c r="T286" s="329" t="s">
        <v>2863</v>
      </c>
    </row>
    <row r="287" spans="1:22" ht="30" customHeight="1">
      <c r="A287" s="734" t="s">
        <v>3630</v>
      </c>
      <c r="B287" s="734"/>
      <c r="C287" s="734"/>
      <c r="D287" s="734"/>
      <c r="E287" s="734"/>
      <c r="F287" s="734"/>
      <c r="G287" s="734"/>
      <c r="H287" s="734"/>
      <c r="I287" s="734"/>
      <c r="J287" s="734"/>
      <c r="K287" s="734"/>
      <c r="L287" s="734"/>
      <c r="M287" s="734"/>
      <c r="N287" s="734"/>
      <c r="O287" s="734"/>
      <c r="P287" s="734"/>
    </row>
    <row r="288" spans="1:22" ht="30" customHeight="1">
      <c r="A288" s="382" t="s">
        <v>2866</v>
      </c>
      <c r="B288" s="382" t="s">
        <v>501</v>
      </c>
      <c r="C288" s="382" t="s">
        <v>502</v>
      </c>
      <c r="D288" s="382" t="s">
        <v>265</v>
      </c>
      <c r="E288" s="382" t="s">
        <v>1732</v>
      </c>
      <c r="F288" s="383">
        <v>1</v>
      </c>
      <c r="G288" s="383">
        <v>0</v>
      </c>
      <c r="H288" s="383"/>
      <c r="I288" s="383"/>
      <c r="J288" s="383"/>
      <c r="K288" s="383">
        <v>1</v>
      </c>
      <c r="L288" s="382" t="s">
        <v>1851</v>
      </c>
      <c r="M288" s="383">
        <f>0.138*(H288+100)/100*(I288+100)/100*(J288+100)/100</f>
        <v>0.13800000000000001</v>
      </c>
      <c r="N288" s="383">
        <f>F288*M288</f>
        <v>0.13800000000000001</v>
      </c>
      <c r="O288" s="382" t="s">
        <v>3466</v>
      </c>
      <c r="P288" s="382" t="s">
        <v>3555</v>
      </c>
      <c r="Q288" s="329" t="s">
        <v>1372</v>
      </c>
      <c r="R288" s="329" t="s">
        <v>2222</v>
      </c>
      <c r="S288" s="330">
        <v>0.13800000000000001</v>
      </c>
      <c r="T288" s="329" t="s">
        <v>2867</v>
      </c>
      <c r="V288" s="330">
        <f>N288</f>
        <v>0.13800000000000001</v>
      </c>
    </row>
    <row r="289" spans="1:22" ht="30" customHeight="1">
      <c r="A289" s="382" t="s">
        <v>2222</v>
      </c>
      <c r="B289" s="382" t="s">
        <v>1851</v>
      </c>
      <c r="C289" s="382" t="s">
        <v>2221</v>
      </c>
      <c r="D289" s="382" t="s">
        <v>1852</v>
      </c>
      <c r="E289" s="382" t="s">
        <v>378</v>
      </c>
      <c r="F289" s="383">
        <f>SUM(V288:V288)</f>
        <v>0.13800000000000001</v>
      </c>
      <c r="G289" s="383"/>
      <c r="H289" s="383"/>
      <c r="I289" s="383"/>
      <c r="J289" s="383"/>
      <c r="K289" s="383">
        <f>TRUNC(F289*[4]공량설정_일위대가!B188/100, [4]공량설정_일위대가!C189)</f>
        <v>0.13800000000000001</v>
      </c>
      <c r="L289" s="382" t="s">
        <v>378</v>
      </c>
      <c r="M289" s="383"/>
      <c r="N289" s="383"/>
      <c r="O289" s="383" t="s">
        <v>3466</v>
      </c>
      <c r="P289" s="382" t="s">
        <v>378</v>
      </c>
      <c r="Q289" s="329" t="s">
        <v>1372</v>
      </c>
      <c r="R289" s="329" t="s">
        <v>378</v>
      </c>
      <c r="T289" s="329" t="s">
        <v>2868</v>
      </c>
    </row>
    <row r="290" spans="1:22" ht="30" customHeight="1">
      <c r="A290" s="734" t="s">
        <v>3631</v>
      </c>
      <c r="B290" s="734"/>
      <c r="C290" s="734"/>
      <c r="D290" s="734"/>
      <c r="E290" s="734"/>
      <c r="F290" s="734"/>
      <c r="G290" s="734"/>
      <c r="H290" s="734"/>
      <c r="I290" s="734"/>
      <c r="J290" s="734"/>
      <c r="K290" s="734"/>
      <c r="L290" s="734"/>
      <c r="M290" s="734"/>
      <c r="N290" s="734"/>
      <c r="O290" s="734"/>
      <c r="P290" s="734"/>
    </row>
    <row r="291" spans="1:22" ht="30" customHeight="1">
      <c r="A291" s="382" t="s">
        <v>2871</v>
      </c>
      <c r="B291" s="382" t="s">
        <v>503</v>
      </c>
      <c r="C291" s="382" t="s">
        <v>504</v>
      </c>
      <c r="D291" s="382" t="s">
        <v>265</v>
      </c>
      <c r="E291" s="382" t="s">
        <v>1732</v>
      </c>
      <c r="F291" s="383">
        <v>1</v>
      </c>
      <c r="G291" s="383">
        <v>0</v>
      </c>
      <c r="H291" s="383"/>
      <c r="I291" s="383"/>
      <c r="J291" s="383"/>
      <c r="K291" s="383">
        <v>1</v>
      </c>
      <c r="L291" s="382" t="s">
        <v>1851</v>
      </c>
      <c r="M291" s="383">
        <f>0.117*(H291+100)/100*(I291+100)/100*(J291+100)/100</f>
        <v>0.11700000000000001</v>
      </c>
      <c r="N291" s="383">
        <f>F291*M291</f>
        <v>0.11700000000000001</v>
      </c>
      <c r="O291" s="382" t="s">
        <v>3466</v>
      </c>
      <c r="P291" s="382" t="s">
        <v>3632</v>
      </c>
      <c r="Q291" s="329" t="s">
        <v>1375</v>
      </c>
      <c r="R291" s="329" t="s">
        <v>2222</v>
      </c>
      <c r="S291" s="330">
        <v>0.11700000000000001</v>
      </c>
      <c r="T291" s="329" t="s">
        <v>2872</v>
      </c>
      <c r="V291" s="330">
        <f>N291</f>
        <v>0.11700000000000001</v>
      </c>
    </row>
    <row r="292" spans="1:22" ht="30" customHeight="1">
      <c r="A292" s="382" t="s">
        <v>2222</v>
      </c>
      <c r="B292" s="382" t="s">
        <v>1851</v>
      </c>
      <c r="C292" s="382" t="s">
        <v>2221</v>
      </c>
      <c r="D292" s="382" t="s">
        <v>1852</v>
      </c>
      <c r="E292" s="382" t="s">
        <v>378</v>
      </c>
      <c r="F292" s="383">
        <f>SUM(V291:V291)</f>
        <v>0.11700000000000001</v>
      </c>
      <c r="G292" s="383"/>
      <c r="H292" s="383"/>
      <c r="I292" s="383"/>
      <c r="J292" s="383"/>
      <c r="K292" s="383">
        <f>TRUNC(F292*[4]공량설정_일위대가!B190/100, [4]공량설정_일위대가!C191)</f>
        <v>0.11700000000000001</v>
      </c>
      <c r="L292" s="382" t="s">
        <v>378</v>
      </c>
      <c r="M292" s="383"/>
      <c r="N292" s="383"/>
      <c r="O292" s="383" t="s">
        <v>3466</v>
      </c>
      <c r="P292" s="382" t="s">
        <v>378</v>
      </c>
      <c r="Q292" s="329" t="s">
        <v>1375</v>
      </c>
      <c r="R292" s="329" t="s">
        <v>378</v>
      </c>
      <c r="T292" s="329" t="s">
        <v>2873</v>
      </c>
    </row>
    <row r="293" spans="1:22" ht="30" customHeight="1">
      <c r="A293" s="734" t="s">
        <v>3633</v>
      </c>
      <c r="B293" s="734"/>
      <c r="C293" s="734"/>
      <c r="D293" s="734"/>
      <c r="E293" s="734"/>
      <c r="F293" s="734"/>
      <c r="G293" s="734"/>
      <c r="H293" s="734"/>
      <c r="I293" s="734"/>
      <c r="J293" s="734"/>
      <c r="K293" s="734"/>
      <c r="L293" s="734"/>
      <c r="M293" s="734"/>
      <c r="N293" s="734"/>
      <c r="O293" s="734"/>
      <c r="P293" s="734"/>
    </row>
    <row r="294" spans="1:22" ht="30" customHeight="1">
      <c r="A294" s="382" t="s">
        <v>2876</v>
      </c>
      <c r="B294" s="382" t="s">
        <v>505</v>
      </c>
      <c r="C294" s="382" t="s">
        <v>506</v>
      </c>
      <c r="D294" s="382" t="s">
        <v>265</v>
      </c>
      <c r="E294" s="382" t="s">
        <v>1732</v>
      </c>
      <c r="F294" s="383">
        <v>1</v>
      </c>
      <c r="G294" s="383">
        <v>0</v>
      </c>
      <c r="H294" s="383"/>
      <c r="I294" s="383"/>
      <c r="J294" s="383"/>
      <c r="K294" s="383">
        <v>1</v>
      </c>
      <c r="L294" s="382" t="s">
        <v>1851</v>
      </c>
      <c r="M294" s="383">
        <f>0.155*(H294+100)/100*(I294+100)/100*(J294+100)/100</f>
        <v>0.155</v>
      </c>
      <c r="N294" s="383">
        <f>F294*M294</f>
        <v>0.155</v>
      </c>
      <c r="O294" s="382" t="s">
        <v>3466</v>
      </c>
      <c r="P294" s="382" t="s">
        <v>3634</v>
      </c>
      <c r="Q294" s="329" t="s">
        <v>1378</v>
      </c>
      <c r="R294" s="329" t="s">
        <v>2222</v>
      </c>
      <c r="S294" s="330">
        <v>0.155</v>
      </c>
      <c r="T294" s="329" t="s">
        <v>2877</v>
      </c>
      <c r="V294" s="330">
        <f>N294</f>
        <v>0.155</v>
      </c>
    </row>
    <row r="295" spans="1:22" ht="30" customHeight="1">
      <c r="A295" s="382" t="s">
        <v>2222</v>
      </c>
      <c r="B295" s="382" t="s">
        <v>1851</v>
      </c>
      <c r="C295" s="382" t="s">
        <v>2221</v>
      </c>
      <c r="D295" s="382" t="s">
        <v>1852</v>
      </c>
      <c r="E295" s="382" t="s">
        <v>378</v>
      </c>
      <c r="F295" s="383">
        <f>SUM(V294:V294)</f>
        <v>0.155</v>
      </c>
      <c r="G295" s="383"/>
      <c r="H295" s="383"/>
      <c r="I295" s="383"/>
      <c r="J295" s="383"/>
      <c r="K295" s="383">
        <f>TRUNC(F295*[4]공량설정_일위대가!B192/100, [4]공량설정_일위대가!C193)</f>
        <v>0.155</v>
      </c>
      <c r="L295" s="382" t="s">
        <v>378</v>
      </c>
      <c r="M295" s="383"/>
      <c r="N295" s="383"/>
      <c r="O295" s="383" t="s">
        <v>3466</v>
      </c>
      <c r="P295" s="382" t="s">
        <v>378</v>
      </c>
      <c r="Q295" s="329" t="s">
        <v>1378</v>
      </c>
      <c r="R295" s="329" t="s">
        <v>378</v>
      </c>
      <c r="T295" s="329" t="s">
        <v>2878</v>
      </c>
    </row>
    <row r="296" spans="1:22" ht="30" customHeight="1">
      <c r="A296" s="734" t="s">
        <v>3635</v>
      </c>
      <c r="B296" s="734"/>
      <c r="C296" s="734"/>
      <c r="D296" s="734"/>
      <c r="E296" s="734"/>
      <c r="F296" s="734"/>
      <c r="G296" s="734"/>
      <c r="H296" s="734"/>
      <c r="I296" s="734"/>
      <c r="J296" s="734"/>
      <c r="K296" s="734"/>
      <c r="L296" s="734"/>
      <c r="M296" s="734"/>
      <c r="N296" s="734"/>
      <c r="O296" s="734"/>
      <c r="P296" s="734"/>
    </row>
    <row r="297" spans="1:22" ht="30" customHeight="1">
      <c r="A297" s="382" t="s">
        <v>2881</v>
      </c>
      <c r="B297" s="382" t="s">
        <v>507</v>
      </c>
      <c r="C297" s="382" t="s">
        <v>508</v>
      </c>
      <c r="D297" s="382" t="s">
        <v>265</v>
      </c>
      <c r="E297" s="382" t="s">
        <v>1732</v>
      </c>
      <c r="F297" s="383">
        <v>1</v>
      </c>
      <c r="G297" s="383">
        <v>0</v>
      </c>
      <c r="H297" s="383"/>
      <c r="I297" s="383"/>
      <c r="J297" s="383"/>
      <c r="K297" s="383">
        <v>1</v>
      </c>
      <c r="L297" s="382" t="s">
        <v>1851</v>
      </c>
      <c r="M297" s="383">
        <f>0.117*(H297+100)/100*(I297+100)/100*(J297+100)/100</f>
        <v>0.11700000000000001</v>
      </c>
      <c r="N297" s="383">
        <f>F297*M297</f>
        <v>0.11700000000000001</v>
      </c>
      <c r="O297" s="382" t="s">
        <v>3466</v>
      </c>
      <c r="P297" s="382" t="s">
        <v>3632</v>
      </c>
      <c r="Q297" s="329" t="s">
        <v>1381</v>
      </c>
      <c r="R297" s="329" t="s">
        <v>2222</v>
      </c>
      <c r="S297" s="330">
        <v>0.11700000000000001</v>
      </c>
      <c r="T297" s="329" t="s">
        <v>2882</v>
      </c>
      <c r="V297" s="330">
        <f>N297</f>
        <v>0.11700000000000001</v>
      </c>
    </row>
    <row r="298" spans="1:22" ht="30" customHeight="1">
      <c r="A298" s="382" t="s">
        <v>2222</v>
      </c>
      <c r="B298" s="382" t="s">
        <v>1851</v>
      </c>
      <c r="C298" s="382" t="s">
        <v>2221</v>
      </c>
      <c r="D298" s="382" t="s">
        <v>1852</v>
      </c>
      <c r="E298" s="382" t="s">
        <v>378</v>
      </c>
      <c r="F298" s="383">
        <f>SUM(V297:V297)</f>
        <v>0.11700000000000001</v>
      </c>
      <c r="G298" s="383"/>
      <c r="H298" s="383"/>
      <c r="I298" s="383"/>
      <c r="J298" s="383"/>
      <c r="K298" s="383">
        <f>TRUNC(F298*[4]공량설정_일위대가!B194/100, [4]공량설정_일위대가!C195)</f>
        <v>0.11700000000000001</v>
      </c>
      <c r="L298" s="382" t="s">
        <v>378</v>
      </c>
      <c r="M298" s="383"/>
      <c r="N298" s="383"/>
      <c r="O298" s="383" t="s">
        <v>3466</v>
      </c>
      <c r="P298" s="382" t="s">
        <v>378</v>
      </c>
      <c r="Q298" s="329" t="s">
        <v>1381</v>
      </c>
      <c r="R298" s="329" t="s">
        <v>378</v>
      </c>
      <c r="T298" s="329" t="s">
        <v>2883</v>
      </c>
    </row>
    <row r="299" spans="1:22" ht="30" customHeight="1">
      <c r="A299" s="734" t="s">
        <v>3636</v>
      </c>
      <c r="B299" s="734"/>
      <c r="C299" s="734"/>
      <c r="D299" s="734"/>
      <c r="E299" s="734"/>
      <c r="F299" s="734"/>
      <c r="G299" s="734"/>
      <c r="H299" s="734"/>
      <c r="I299" s="734"/>
      <c r="J299" s="734"/>
      <c r="K299" s="734"/>
      <c r="L299" s="734"/>
      <c r="M299" s="734"/>
      <c r="N299" s="734"/>
      <c r="O299" s="734"/>
      <c r="P299" s="734"/>
    </row>
    <row r="300" spans="1:22" ht="30" customHeight="1">
      <c r="A300" s="382" t="s">
        <v>2886</v>
      </c>
      <c r="B300" s="382" t="s">
        <v>509</v>
      </c>
      <c r="C300" s="382" t="s">
        <v>510</v>
      </c>
      <c r="D300" s="382" t="s">
        <v>265</v>
      </c>
      <c r="E300" s="382" t="s">
        <v>1732</v>
      </c>
      <c r="F300" s="383">
        <v>1</v>
      </c>
      <c r="G300" s="383">
        <v>0</v>
      </c>
      <c r="H300" s="383"/>
      <c r="I300" s="383"/>
      <c r="J300" s="383"/>
      <c r="K300" s="383">
        <v>1</v>
      </c>
      <c r="L300" s="382" t="s">
        <v>1851</v>
      </c>
      <c r="M300" s="383">
        <f>0.117*(H300+100)/100*(I300+100)/100*(J300+100)/100</f>
        <v>0.11700000000000001</v>
      </c>
      <c r="N300" s="383">
        <f>F300*M300</f>
        <v>0.11700000000000001</v>
      </c>
      <c r="O300" s="382" t="s">
        <v>3466</v>
      </c>
      <c r="P300" s="382" t="s">
        <v>3632</v>
      </c>
      <c r="Q300" s="329" t="s">
        <v>1384</v>
      </c>
      <c r="R300" s="329" t="s">
        <v>2222</v>
      </c>
      <c r="S300" s="330">
        <v>0.11700000000000001</v>
      </c>
      <c r="T300" s="329" t="s">
        <v>2887</v>
      </c>
      <c r="V300" s="330">
        <f>N300</f>
        <v>0.11700000000000001</v>
      </c>
    </row>
    <row r="301" spans="1:22" ht="30" customHeight="1">
      <c r="A301" s="382" t="s">
        <v>2222</v>
      </c>
      <c r="B301" s="382" t="s">
        <v>1851</v>
      </c>
      <c r="C301" s="382" t="s">
        <v>2221</v>
      </c>
      <c r="D301" s="382" t="s">
        <v>1852</v>
      </c>
      <c r="E301" s="382" t="s">
        <v>378</v>
      </c>
      <c r="F301" s="383">
        <f>SUM(V300:V300)</f>
        <v>0.11700000000000001</v>
      </c>
      <c r="G301" s="383"/>
      <c r="H301" s="383"/>
      <c r="I301" s="383"/>
      <c r="J301" s="383"/>
      <c r="K301" s="383">
        <f>TRUNC(F301*[4]공량설정_일위대가!B196/100, [4]공량설정_일위대가!C197)</f>
        <v>0.11700000000000001</v>
      </c>
      <c r="L301" s="382" t="s">
        <v>378</v>
      </c>
      <c r="M301" s="383"/>
      <c r="N301" s="383"/>
      <c r="O301" s="383" t="s">
        <v>3466</v>
      </c>
      <c r="P301" s="382" t="s">
        <v>378</v>
      </c>
      <c r="Q301" s="329" t="s">
        <v>1384</v>
      </c>
      <c r="R301" s="329" t="s">
        <v>378</v>
      </c>
      <c r="T301" s="329" t="s">
        <v>2888</v>
      </c>
    </row>
    <row r="302" spans="1:22" ht="30" customHeight="1">
      <c r="A302" s="734" t="s">
        <v>3637</v>
      </c>
      <c r="B302" s="734"/>
      <c r="C302" s="734"/>
      <c r="D302" s="734"/>
      <c r="E302" s="734"/>
      <c r="F302" s="734"/>
      <c r="G302" s="734"/>
      <c r="H302" s="734"/>
      <c r="I302" s="734"/>
      <c r="J302" s="734"/>
      <c r="K302" s="734"/>
      <c r="L302" s="734"/>
      <c r="M302" s="734"/>
      <c r="N302" s="734"/>
      <c r="O302" s="734"/>
      <c r="P302" s="734"/>
    </row>
    <row r="303" spans="1:22" ht="30" customHeight="1">
      <c r="A303" s="382" t="s">
        <v>2892</v>
      </c>
      <c r="B303" s="382" t="s">
        <v>446</v>
      </c>
      <c r="C303" s="382" t="s">
        <v>2891</v>
      </c>
      <c r="D303" s="382" t="s">
        <v>255</v>
      </c>
      <c r="E303" s="382" t="s">
        <v>3577</v>
      </c>
      <c r="F303" s="383">
        <v>1</v>
      </c>
      <c r="G303" s="383">
        <v>10</v>
      </c>
      <c r="H303" s="383">
        <v>20</v>
      </c>
      <c r="I303" s="383"/>
      <c r="J303" s="383"/>
      <c r="K303" s="383">
        <v>1.1000000000000001</v>
      </c>
      <c r="L303" s="382" t="s">
        <v>1851</v>
      </c>
      <c r="M303" s="383">
        <f>0.136*(H303+100)/100*(I303+100)/100*(J303+100)/100</f>
        <v>0.16320000000000001</v>
      </c>
      <c r="N303" s="383">
        <f>F303*M303</f>
        <v>0.16320000000000001</v>
      </c>
      <c r="O303" s="382" t="s">
        <v>3466</v>
      </c>
      <c r="P303" s="382" t="s">
        <v>3638</v>
      </c>
      <c r="Q303" s="329" t="s">
        <v>1391</v>
      </c>
      <c r="R303" s="329" t="s">
        <v>2222</v>
      </c>
      <c r="S303" s="330">
        <v>0.13600000000000001</v>
      </c>
      <c r="T303" s="329" t="s">
        <v>2893</v>
      </c>
      <c r="V303" s="330">
        <f>N303</f>
        <v>0.16320000000000001</v>
      </c>
    </row>
    <row r="304" spans="1:22" ht="30" customHeight="1">
      <c r="A304" s="382" t="s">
        <v>2222</v>
      </c>
      <c r="B304" s="382" t="s">
        <v>1851</v>
      </c>
      <c r="C304" s="382" t="s">
        <v>2221</v>
      </c>
      <c r="D304" s="382" t="s">
        <v>1852</v>
      </c>
      <c r="E304" s="382" t="s">
        <v>378</v>
      </c>
      <c r="F304" s="383">
        <f>SUM(V303:V303)</f>
        <v>0.16320000000000001</v>
      </c>
      <c r="G304" s="383"/>
      <c r="H304" s="383"/>
      <c r="I304" s="383"/>
      <c r="J304" s="383"/>
      <c r="K304" s="383">
        <f>TRUNC(F304*[4]공량설정_일위대가!B198/100, [4]공량설정_일위대가!C199)</f>
        <v>0.16300000000000001</v>
      </c>
      <c r="L304" s="382" t="s">
        <v>378</v>
      </c>
      <c r="M304" s="383"/>
      <c r="N304" s="383"/>
      <c r="O304" s="383" t="s">
        <v>3466</v>
      </c>
      <c r="P304" s="382" t="s">
        <v>378</v>
      </c>
      <c r="Q304" s="329" t="s">
        <v>1391</v>
      </c>
      <c r="R304" s="329" t="s">
        <v>378</v>
      </c>
      <c r="T304" s="329" t="s">
        <v>2896</v>
      </c>
    </row>
    <row r="305" spans="1:26" s="340" customFormat="1" ht="30" customHeight="1">
      <c r="A305" s="735" t="s">
        <v>3639</v>
      </c>
      <c r="B305" s="735"/>
      <c r="C305" s="735"/>
      <c r="D305" s="735"/>
      <c r="E305" s="735"/>
      <c r="F305" s="735"/>
      <c r="G305" s="735"/>
      <c r="H305" s="735"/>
      <c r="I305" s="735"/>
      <c r="J305" s="735"/>
      <c r="K305" s="735"/>
      <c r="L305" s="735"/>
      <c r="M305" s="735"/>
      <c r="N305" s="735"/>
      <c r="O305" s="735"/>
      <c r="P305" s="735"/>
    </row>
    <row r="306" spans="1:26" s="340" customFormat="1" ht="30" customHeight="1">
      <c r="A306" s="384" t="s">
        <v>2899</v>
      </c>
      <c r="B306" s="384" t="s">
        <v>446</v>
      </c>
      <c r="C306" s="384" t="s">
        <v>2898</v>
      </c>
      <c r="D306" s="384" t="s">
        <v>255</v>
      </c>
      <c r="E306" s="384" t="s">
        <v>3577</v>
      </c>
      <c r="F306" s="385">
        <v>1</v>
      </c>
      <c r="G306" s="385"/>
      <c r="H306" s="385"/>
      <c r="I306" s="385"/>
      <c r="J306" s="385"/>
      <c r="K306" s="385">
        <v>1</v>
      </c>
      <c r="L306" s="384" t="s">
        <v>1851</v>
      </c>
      <c r="M306" s="385">
        <f>0.087*(H306+100)/100*(I306+100)/100*(J306+100)/100</f>
        <v>8.6999999999999994E-2</v>
      </c>
      <c r="N306" s="385">
        <f>F306*M306</f>
        <v>8.6999999999999994E-2</v>
      </c>
      <c r="O306" s="384" t="s">
        <v>3466</v>
      </c>
      <c r="P306" s="384" t="s">
        <v>3640</v>
      </c>
      <c r="Q306" s="339" t="s">
        <v>1394</v>
      </c>
      <c r="R306" s="339" t="s">
        <v>2222</v>
      </c>
      <c r="S306" s="340">
        <v>8.6999999999999994E-2</v>
      </c>
      <c r="T306" s="339" t="s">
        <v>2900</v>
      </c>
      <c r="V306" s="340">
        <f>N306</f>
        <v>8.6999999999999994E-2</v>
      </c>
    </row>
    <row r="307" spans="1:26" s="340" customFormat="1" ht="30" customHeight="1">
      <c r="A307" s="384" t="s">
        <v>2222</v>
      </c>
      <c r="B307" s="384" t="s">
        <v>1851</v>
      </c>
      <c r="C307" s="384" t="s">
        <v>2221</v>
      </c>
      <c r="D307" s="384" t="s">
        <v>1852</v>
      </c>
      <c r="E307" s="384" t="s">
        <v>378</v>
      </c>
      <c r="F307" s="385">
        <f>SUM(V306:V306)</f>
        <v>8.6999999999999994E-2</v>
      </c>
      <c r="G307" s="385"/>
      <c r="H307" s="385"/>
      <c r="I307" s="385"/>
      <c r="J307" s="385"/>
      <c r="K307" s="385">
        <f>TRUNC(F307*[4]공량설정_일위대가!B200/100, [4]공량설정_일위대가!C201)</f>
        <v>8.6999999999999994E-2</v>
      </c>
      <c r="L307" s="384" t="s">
        <v>378</v>
      </c>
      <c r="M307" s="385"/>
      <c r="N307" s="385"/>
      <c r="O307" s="385" t="s">
        <v>3466</v>
      </c>
      <c r="P307" s="384" t="s">
        <v>378</v>
      </c>
      <c r="Q307" s="339" t="s">
        <v>1394</v>
      </c>
      <c r="R307" s="339" t="s">
        <v>378</v>
      </c>
      <c r="T307" s="339" t="s">
        <v>2903</v>
      </c>
    </row>
    <row r="308" spans="1:26" ht="30" customHeight="1">
      <c r="A308" s="734" t="s">
        <v>3641</v>
      </c>
      <c r="B308" s="734"/>
      <c r="C308" s="734"/>
      <c r="D308" s="734"/>
      <c r="E308" s="734"/>
      <c r="F308" s="734"/>
      <c r="G308" s="734"/>
      <c r="H308" s="734"/>
      <c r="I308" s="734"/>
      <c r="J308" s="734"/>
      <c r="K308" s="734"/>
      <c r="L308" s="734"/>
      <c r="M308" s="734"/>
      <c r="N308" s="734"/>
      <c r="O308" s="734"/>
      <c r="P308" s="734"/>
    </row>
    <row r="309" spans="1:26" ht="30" customHeight="1">
      <c r="A309" s="382" t="s">
        <v>2747</v>
      </c>
      <c r="B309" s="382" t="s">
        <v>2745</v>
      </c>
      <c r="C309" s="382" t="s">
        <v>2746</v>
      </c>
      <c r="D309" s="382" t="s">
        <v>300</v>
      </c>
      <c r="E309" s="382" t="s">
        <v>1768</v>
      </c>
      <c r="F309" s="383">
        <v>1</v>
      </c>
      <c r="G309" s="383">
        <v>10</v>
      </c>
      <c r="H309" s="383"/>
      <c r="I309" s="383"/>
      <c r="J309" s="383"/>
      <c r="K309" s="383">
        <v>1.1000000000000001</v>
      </c>
      <c r="L309" s="382" t="s">
        <v>1851</v>
      </c>
      <c r="M309" s="383">
        <f>0.01*(H309+100)/100*(I309+100)/100*(J309+100)/100</f>
        <v>0.01</v>
      </c>
      <c r="N309" s="383">
        <f>F309*M309</f>
        <v>0.01</v>
      </c>
      <c r="O309" s="382" t="s">
        <v>3466</v>
      </c>
      <c r="P309" s="382" t="s">
        <v>3544</v>
      </c>
      <c r="Q309" s="329" t="s">
        <v>1404</v>
      </c>
      <c r="R309" s="329" t="s">
        <v>2222</v>
      </c>
      <c r="S309" s="330">
        <v>0.01</v>
      </c>
      <c r="T309" s="329" t="s">
        <v>2905</v>
      </c>
      <c r="V309" s="330">
        <f>N309</f>
        <v>0.01</v>
      </c>
    </row>
    <row r="310" spans="1:26" ht="30" customHeight="1">
      <c r="A310" s="382" t="s">
        <v>2222</v>
      </c>
      <c r="B310" s="382" t="s">
        <v>1851</v>
      </c>
      <c r="C310" s="382" t="s">
        <v>2221</v>
      </c>
      <c r="D310" s="382" t="s">
        <v>1852</v>
      </c>
      <c r="E310" s="382" t="s">
        <v>378</v>
      </c>
      <c r="F310" s="383">
        <f>SUM(V309:V309)</f>
        <v>0.01</v>
      </c>
      <c r="G310" s="383"/>
      <c r="H310" s="383"/>
      <c r="I310" s="383"/>
      <c r="J310" s="383"/>
      <c r="K310" s="383">
        <f>TRUNC(F310*[4]공량설정_일위대가!B202/100, [4]공량설정_일위대가!C203)</f>
        <v>0.01</v>
      </c>
      <c r="L310" s="382" t="s">
        <v>378</v>
      </c>
      <c r="M310" s="383"/>
      <c r="N310" s="383"/>
      <c r="O310" s="383" t="s">
        <v>3466</v>
      </c>
      <c r="P310" s="382" t="s">
        <v>378</v>
      </c>
      <c r="Q310" s="329" t="s">
        <v>1404</v>
      </c>
      <c r="R310" s="329" t="s">
        <v>378</v>
      </c>
      <c r="T310" s="329" t="s">
        <v>2906</v>
      </c>
    </row>
    <row r="311" spans="1:26" ht="30" customHeight="1">
      <c r="A311" s="734" t="s">
        <v>3642</v>
      </c>
      <c r="B311" s="734"/>
      <c r="C311" s="734"/>
      <c r="D311" s="734"/>
      <c r="E311" s="734"/>
      <c r="F311" s="734"/>
      <c r="G311" s="734"/>
      <c r="H311" s="734"/>
      <c r="I311" s="734"/>
      <c r="J311" s="734"/>
      <c r="K311" s="734"/>
      <c r="L311" s="734"/>
      <c r="M311" s="734"/>
      <c r="N311" s="734"/>
      <c r="O311" s="734"/>
      <c r="P311" s="734"/>
    </row>
    <row r="312" spans="1:26" ht="30" customHeight="1">
      <c r="A312" s="382" t="s">
        <v>2253</v>
      </c>
      <c r="B312" s="382" t="s">
        <v>2237</v>
      </c>
      <c r="C312" s="382" t="s">
        <v>2252</v>
      </c>
      <c r="D312" s="382" t="s">
        <v>300</v>
      </c>
      <c r="E312" s="382" t="s">
        <v>1678</v>
      </c>
      <c r="F312" s="383">
        <v>1</v>
      </c>
      <c r="G312" s="383">
        <v>5</v>
      </c>
      <c r="H312" s="383">
        <v>50</v>
      </c>
      <c r="I312" s="383"/>
      <c r="J312" s="383"/>
      <c r="K312" s="383">
        <v>1.05</v>
      </c>
      <c r="L312" s="382" t="s">
        <v>1992</v>
      </c>
      <c r="M312" s="383">
        <f>0.007*(H312+100)/100*(I312+100)/100*(J312+100)/100</f>
        <v>1.0500000000000001E-2</v>
      </c>
      <c r="N312" s="383">
        <f>F312*M312</f>
        <v>1.0500000000000001E-2</v>
      </c>
      <c r="O312" s="382" t="s">
        <v>3467</v>
      </c>
      <c r="P312" s="382" t="s">
        <v>378</v>
      </c>
      <c r="Q312" s="329" t="s">
        <v>1408</v>
      </c>
      <c r="R312" s="329" t="s">
        <v>2280</v>
      </c>
      <c r="S312" s="330">
        <v>7.0000000000000001E-3</v>
      </c>
      <c r="T312" s="329" t="s">
        <v>2909</v>
      </c>
      <c r="Z312" s="330">
        <f>N312</f>
        <v>1.0500000000000001E-2</v>
      </c>
    </row>
    <row r="313" spans="1:26" ht="30" customHeight="1">
      <c r="A313" s="382" t="s">
        <v>2280</v>
      </c>
      <c r="B313" s="382" t="s">
        <v>1992</v>
      </c>
      <c r="C313" s="382" t="s">
        <v>2279</v>
      </c>
      <c r="D313" s="382" t="s">
        <v>1852</v>
      </c>
      <c r="E313" s="382" t="s">
        <v>378</v>
      </c>
      <c r="F313" s="383">
        <f>SUM(Z312:Z312)</f>
        <v>1.0500000000000001E-2</v>
      </c>
      <c r="G313" s="383"/>
      <c r="H313" s="383"/>
      <c r="I313" s="383"/>
      <c r="J313" s="383"/>
      <c r="K313" s="383">
        <f>TRUNC(F313*[4]공량설정_일위대가!B204/100, [4]공량설정_일위대가!C205)</f>
        <v>1.0500000000000001E-2</v>
      </c>
      <c r="L313" s="382" t="s">
        <v>378</v>
      </c>
      <c r="M313" s="383"/>
      <c r="N313" s="383"/>
      <c r="O313" s="383" t="s">
        <v>3467</v>
      </c>
      <c r="P313" s="382" t="s">
        <v>378</v>
      </c>
      <c r="Q313" s="329" t="s">
        <v>1408</v>
      </c>
      <c r="R313" s="329" t="s">
        <v>378</v>
      </c>
      <c r="T313" s="329" t="s">
        <v>2911</v>
      </c>
    </row>
  </sheetData>
  <mergeCells count="91">
    <mergeCell ref="A35:P35"/>
    <mergeCell ref="A1:P1"/>
    <mergeCell ref="A2:P2"/>
    <mergeCell ref="A4:P4"/>
    <mergeCell ref="A7:P7"/>
    <mergeCell ref="A10:P10"/>
    <mergeCell ref="A13:P13"/>
    <mergeCell ref="A16:P16"/>
    <mergeCell ref="A19:P19"/>
    <mergeCell ref="A22:P22"/>
    <mergeCell ref="A25:P25"/>
    <mergeCell ref="A30:P30"/>
    <mergeCell ref="A84:P84"/>
    <mergeCell ref="A38:P38"/>
    <mergeCell ref="A41:P41"/>
    <mergeCell ref="A44:P44"/>
    <mergeCell ref="A49:P49"/>
    <mergeCell ref="A52:P52"/>
    <mergeCell ref="A55:P55"/>
    <mergeCell ref="A58:P58"/>
    <mergeCell ref="A61:P61"/>
    <mergeCell ref="A68:P68"/>
    <mergeCell ref="A74:P74"/>
    <mergeCell ref="A79:P79"/>
    <mergeCell ref="A138:P138"/>
    <mergeCell ref="A89:P89"/>
    <mergeCell ref="A94:P94"/>
    <mergeCell ref="A99:P99"/>
    <mergeCell ref="A102:P102"/>
    <mergeCell ref="A105:P105"/>
    <mergeCell ref="A108:P108"/>
    <mergeCell ref="A111:P111"/>
    <mergeCell ref="A114:P114"/>
    <mergeCell ref="A129:P129"/>
    <mergeCell ref="A132:P132"/>
    <mergeCell ref="A135:P135"/>
    <mergeCell ref="A180:P180"/>
    <mergeCell ref="A141:P141"/>
    <mergeCell ref="A144:P144"/>
    <mergeCell ref="A147:P147"/>
    <mergeCell ref="A150:P150"/>
    <mergeCell ref="A155:P155"/>
    <mergeCell ref="A159:P159"/>
    <mergeCell ref="A163:P163"/>
    <mergeCell ref="A166:P166"/>
    <mergeCell ref="A169:P169"/>
    <mergeCell ref="A172:P172"/>
    <mergeCell ref="A175:P175"/>
    <mergeCell ref="A218:P218"/>
    <mergeCell ref="A185:P185"/>
    <mergeCell ref="A188:P188"/>
    <mergeCell ref="A191:P191"/>
    <mergeCell ref="A194:P194"/>
    <mergeCell ref="A197:P197"/>
    <mergeCell ref="A200:P200"/>
    <mergeCell ref="A203:P203"/>
    <mergeCell ref="A206:P206"/>
    <mergeCell ref="A209:P209"/>
    <mergeCell ref="A212:P212"/>
    <mergeCell ref="A215:P215"/>
    <mergeCell ref="A254:P254"/>
    <mergeCell ref="A221:P221"/>
    <mergeCell ref="A224:P224"/>
    <mergeCell ref="A227:P227"/>
    <mergeCell ref="A230:P230"/>
    <mergeCell ref="A233:P233"/>
    <mergeCell ref="A236:P236"/>
    <mergeCell ref="A239:P239"/>
    <mergeCell ref="A242:P242"/>
    <mergeCell ref="A245:P245"/>
    <mergeCell ref="A248:P248"/>
    <mergeCell ref="A251:P251"/>
    <mergeCell ref="A290:P290"/>
    <mergeCell ref="A257:P257"/>
    <mergeCell ref="A260:P260"/>
    <mergeCell ref="A263:P263"/>
    <mergeCell ref="A266:P266"/>
    <mergeCell ref="A269:P269"/>
    <mergeCell ref="A272:P272"/>
    <mergeCell ref="A275:P275"/>
    <mergeCell ref="A278:P278"/>
    <mergeCell ref="A281:P281"/>
    <mergeCell ref="A284:P284"/>
    <mergeCell ref="A287:P287"/>
    <mergeCell ref="A311:P311"/>
    <mergeCell ref="A293:P293"/>
    <mergeCell ref="A296:P296"/>
    <mergeCell ref="A299:P299"/>
    <mergeCell ref="A302:P302"/>
    <mergeCell ref="A305:P305"/>
    <mergeCell ref="A308:P308"/>
  </mergeCells>
  <phoneticPr fontId="1" type="noConversion"/>
  <pageMargins left="0.78740157480314954" right="0" top="0.39370078740157477" bottom="0.39370078740157477" header="0" footer="0"/>
  <pageSetup paperSize="9" scale="54" fitToHeight="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297A3-020A-4B18-87C5-D73E4C05D35B}">
  <dimension ref="A1:N22"/>
  <sheetViews>
    <sheetView showZeros="0" view="pageBreakPreview" zoomScaleNormal="100" zoomScaleSheetLayoutView="100" workbookViewId="0">
      <selection sqref="A1:F1"/>
    </sheetView>
  </sheetViews>
  <sheetFormatPr defaultRowHeight="16.5"/>
  <cols>
    <col min="1" max="1" width="9" style="387"/>
    <col min="2" max="2" width="9.875" style="387" bestFit="1" customWidth="1"/>
    <col min="3" max="3" width="3.125" style="387" customWidth="1"/>
    <col min="4" max="4" width="10.125" style="387" bestFit="1" customWidth="1"/>
    <col min="5" max="5" width="2.75" style="387" bestFit="1" customWidth="1"/>
    <col min="6" max="6" width="12.875" style="387" bestFit="1" customWidth="1"/>
    <col min="7" max="7" width="2.75" style="387" bestFit="1" customWidth="1"/>
    <col min="8" max="8" width="9.875" style="387" bestFit="1" customWidth="1"/>
    <col min="9" max="9" width="2.75" style="387" bestFit="1" customWidth="1"/>
    <col min="10" max="10" width="12.875" style="387" bestFit="1" customWidth="1"/>
    <col min="11" max="11" width="2.75" style="387" bestFit="1" customWidth="1"/>
    <col min="12" max="12" width="12.875" style="387" bestFit="1" customWidth="1"/>
    <col min="13" max="13" width="2.75" style="387" bestFit="1" customWidth="1"/>
    <col min="14" max="14" width="12.875" style="387" bestFit="1" customWidth="1"/>
    <col min="15" max="16384" width="9" style="387"/>
  </cols>
  <sheetData>
    <row r="1" spans="1:14">
      <c r="A1" s="387" t="s">
        <v>3643</v>
      </c>
    </row>
    <row r="2" spans="1:14">
      <c r="A2" s="387" t="s">
        <v>3644</v>
      </c>
    </row>
    <row r="3" spans="1:14">
      <c r="A3" s="387" t="s">
        <v>3645</v>
      </c>
    </row>
    <row r="5" spans="1:14">
      <c r="C5" s="387" t="s">
        <v>3646</v>
      </c>
      <c r="E5" s="387" t="s">
        <v>3647</v>
      </c>
      <c r="F5" s="387">
        <f>B5*D5</f>
        <v>0</v>
      </c>
      <c r="G5" s="387" t="s">
        <v>3648</v>
      </c>
      <c r="I5" s="387" t="s">
        <v>3647</v>
      </c>
      <c r="J5" s="387">
        <f>F5+H5</f>
        <v>0</v>
      </c>
      <c r="K5" s="387" t="s">
        <v>3646</v>
      </c>
      <c r="L5" s="387" t="s">
        <v>3649</v>
      </c>
      <c r="M5" s="387" t="s">
        <v>3647</v>
      </c>
      <c r="N5" s="387">
        <f>J5*1.1</f>
        <v>0</v>
      </c>
    </row>
    <row r="7" spans="1:14">
      <c r="A7" s="387" t="s">
        <v>3650</v>
      </c>
    </row>
    <row r="8" spans="1:14">
      <c r="A8" s="387" t="s">
        <v>3651</v>
      </c>
    </row>
    <row r="9" spans="1:14">
      <c r="A9" s="387" t="s">
        <v>3652</v>
      </c>
    </row>
    <row r="11" spans="1:14">
      <c r="A11" s="387" t="s">
        <v>3653</v>
      </c>
    </row>
    <row r="12" spans="1:14">
      <c r="E12" s="387" t="s">
        <v>3647</v>
      </c>
      <c r="F12" s="387">
        <f>B12*D12</f>
        <v>0</v>
      </c>
      <c r="G12" s="387" t="s">
        <v>3648</v>
      </c>
      <c r="I12" s="387" t="s">
        <v>3647</v>
      </c>
      <c r="J12" s="387">
        <f>F12+H12</f>
        <v>0</v>
      </c>
    </row>
    <row r="14" spans="1:14">
      <c r="A14" s="387" t="s">
        <v>3654</v>
      </c>
    </row>
    <row r="15" spans="1:14">
      <c r="A15" s="387" t="s">
        <v>3655</v>
      </c>
    </row>
    <row r="16" spans="1:14">
      <c r="A16" s="387" t="s">
        <v>3656</v>
      </c>
    </row>
    <row r="18" spans="1:12">
      <c r="A18" s="387" t="s">
        <v>3657</v>
      </c>
    </row>
    <row r="19" spans="1:12">
      <c r="B19" s="388"/>
      <c r="C19" s="387" t="s">
        <v>3646</v>
      </c>
      <c r="E19" s="387" t="s">
        <v>3647</v>
      </c>
      <c r="F19" s="387">
        <f>B19*D19</f>
        <v>0</v>
      </c>
      <c r="G19" s="387" t="s">
        <v>3648</v>
      </c>
      <c r="I19" s="387" t="s">
        <v>3647</v>
      </c>
      <c r="J19" s="387">
        <f>F19+H19</f>
        <v>0</v>
      </c>
    </row>
    <row r="21" spans="1:12">
      <c r="A21" s="387" t="s">
        <v>3650</v>
      </c>
    </row>
    <row r="22" spans="1:12">
      <c r="B22" s="387">
        <f>J12</f>
        <v>0</v>
      </c>
      <c r="C22" s="387" t="s">
        <v>3648</v>
      </c>
      <c r="D22" s="389">
        <f>J19</f>
        <v>0</v>
      </c>
      <c r="E22" s="389"/>
      <c r="F22" s="389"/>
      <c r="G22" s="387" t="s">
        <v>3647</v>
      </c>
      <c r="H22" s="387">
        <f>B22+D22+F22</f>
        <v>0</v>
      </c>
      <c r="I22" s="387" t="s">
        <v>3646</v>
      </c>
      <c r="J22" s="387" t="s">
        <v>3658</v>
      </c>
      <c r="K22" s="387" t="s">
        <v>3647</v>
      </c>
      <c r="L22" s="387">
        <f>H22*1.1</f>
        <v>0</v>
      </c>
    </row>
  </sheetData>
  <phoneticPr fontId="1" type="noConversion"/>
  <pageMargins left="0.75" right="0.75" top="0.67" bottom="0.53" header="0.5" footer="0.5"/>
  <pageSetup paperSize="9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7FEDC-2204-486B-B7D8-40ACD6397A86}">
  <dimension ref="A1:T153"/>
  <sheetViews>
    <sheetView showZeros="0" view="pageBreakPreview" topLeftCell="D1" zoomScaleNormal="100" zoomScaleSheetLayoutView="100" workbookViewId="0">
      <selection sqref="A1:F1"/>
    </sheetView>
  </sheetViews>
  <sheetFormatPr defaultRowHeight="13.5"/>
  <cols>
    <col min="1" max="1" width="7" style="344" hidden="1" customWidth="1"/>
    <col min="2" max="2" width="11.625" style="344" hidden="1" customWidth="1"/>
    <col min="3" max="3" width="17.375" style="344" hidden="1" customWidth="1"/>
    <col min="4" max="5" width="25.625" style="344" customWidth="1"/>
    <col min="6" max="6" width="5.125" style="399" customWidth="1"/>
    <col min="7" max="7" width="12.5" style="346" customWidth="1"/>
    <col min="8" max="8" width="11.125" style="400" customWidth="1"/>
    <col min="9" max="9" width="12.625" style="365" hidden="1" customWidth="1"/>
    <col min="10" max="10" width="11.125" style="400" customWidth="1"/>
    <col min="11" max="11" width="6.125" style="390" customWidth="1"/>
    <col min="12" max="12" width="11.125" style="400" customWidth="1"/>
    <col min="13" max="13" width="6.125" style="390" customWidth="1"/>
    <col min="14" max="14" width="11.125" style="400" customWidth="1"/>
    <col min="15" max="15" width="6.125" style="390" customWidth="1"/>
    <col min="16" max="16" width="11.125" style="400" customWidth="1"/>
    <col min="17" max="17" width="6.125" style="390" customWidth="1"/>
    <col min="18" max="18" width="3.375" style="400" hidden="1" customWidth="1"/>
    <col min="19" max="19" width="5.5" style="390" hidden="1" customWidth="1"/>
    <col min="20" max="20" width="12.125" style="344" customWidth="1"/>
    <col min="21" max="16384" width="9" style="347"/>
  </cols>
  <sheetData>
    <row r="1" spans="1:20" ht="18.95" customHeight="1">
      <c r="B1" s="344" t="s">
        <v>3659</v>
      </c>
      <c r="D1" s="738" t="s">
        <v>3660</v>
      </c>
      <c r="E1" s="709"/>
      <c r="F1" s="709"/>
      <c r="G1" s="709"/>
      <c r="H1" s="709"/>
      <c r="I1" s="709"/>
      <c r="J1" s="709"/>
      <c r="K1" s="709"/>
      <c r="L1" s="739" t="s">
        <v>1493</v>
      </c>
      <c r="M1" s="740"/>
      <c r="N1" s="740"/>
      <c r="O1" s="740"/>
      <c r="P1" s="740"/>
      <c r="Q1" s="347"/>
      <c r="R1" s="391"/>
      <c r="S1" s="347"/>
    </row>
    <row r="2" spans="1:20" ht="18.95" customHeight="1">
      <c r="A2" s="710" t="s">
        <v>194</v>
      </c>
      <c r="B2" s="710" t="s">
        <v>195</v>
      </c>
      <c r="C2" s="710" t="s">
        <v>570</v>
      </c>
      <c r="D2" s="707" t="s">
        <v>571</v>
      </c>
      <c r="E2" s="707" t="s">
        <v>572</v>
      </c>
      <c r="F2" s="707" t="s">
        <v>199</v>
      </c>
      <c r="G2" s="706" t="s">
        <v>3661</v>
      </c>
      <c r="H2" s="349" t="s">
        <v>3662</v>
      </c>
      <c r="I2" s="349"/>
      <c r="J2" s="707" t="s">
        <v>3663</v>
      </c>
      <c r="K2" s="707"/>
      <c r="L2" s="707" t="s">
        <v>3664</v>
      </c>
      <c r="M2" s="707"/>
      <c r="N2" s="707" t="s">
        <v>3665</v>
      </c>
      <c r="O2" s="707"/>
      <c r="P2" s="707" t="s">
        <v>3666</v>
      </c>
      <c r="Q2" s="707"/>
      <c r="R2" s="707" t="s">
        <v>3666</v>
      </c>
      <c r="S2" s="707"/>
      <c r="T2" s="707" t="s">
        <v>576</v>
      </c>
    </row>
    <row r="3" spans="1:20" ht="18.95" customHeight="1">
      <c r="A3" s="710"/>
      <c r="B3" s="710"/>
      <c r="C3" s="710"/>
      <c r="D3" s="707"/>
      <c r="E3" s="707"/>
      <c r="F3" s="707"/>
      <c r="G3" s="706"/>
      <c r="H3" s="392" t="s">
        <v>206</v>
      </c>
      <c r="I3" s="349" t="s">
        <v>570</v>
      </c>
      <c r="J3" s="392" t="s">
        <v>206</v>
      </c>
      <c r="K3" s="349" t="s">
        <v>3667</v>
      </c>
      <c r="L3" s="392" t="s">
        <v>206</v>
      </c>
      <c r="M3" s="349" t="s">
        <v>3667</v>
      </c>
      <c r="N3" s="392" t="s">
        <v>206</v>
      </c>
      <c r="O3" s="349" t="s">
        <v>3667</v>
      </c>
      <c r="P3" s="392" t="s">
        <v>206</v>
      </c>
      <c r="Q3" s="349" t="s">
        <v>3667</v>
      </c>
      <c r="R3" s="392" t="s">
        <v>206</v>
      </c>
      <c r="S3" s="349" t="s">
        <v>3667</v>
      </c>
      <c r="T3" s="707"/>
    </row>
    <row r="4" spans="1:20" ht="18.95" customHeight="1">
      <c r="C4" s="344" t="s">
        <v>1924</v>
      </c>
      <c r="D4" s="393" t="s">
        <v>394</v>
      </c>
      <c r="E4" s="393" t="s">
        <v>436</v>
      </c>
      <c r="F4" s="394" t="s">
        <v>255</v>
      </c>
      <c r="G4" s="357">
        <v>2379</v>
      </c>
      <c r="H4" s="395">
        <v>2379</v>
      </c>
      <c r="I4" s="353"/>
      <c r="J4" s="395">
        <v>3600</v>
      </c>
      <c r="K4" s="396" t="s">
        <v>3668</v>
      </c>
      <c r="L4" s="395">
        <v>4160</v>
      </c>
      <c r="M4" s="396" t="s">
        <v>3669</v>
      </c>
      <c r="N4" s="395"/>
      <c r="O4" s="396"/>
      <c r="P4" s="395"/>
      <c r="Q4" s="396"/>
      <c r="R4" s="395"/>
      <c r="S4" s="396"/>
      <c r="T4" s="354"/>
    </row>
    <row r="5" spans="1:20" ht="18.95" customHeight="1">
      <c r="C5" s="344" t="s">
        <v>1930</v>
      </c>
      <c r="D5" s="393" t="s">
        <v>394</v>
      </c>
      <c r="E5" s="393" t="s">
        <v>393</v>
      </c>
      <c r="F5" s="394" t="s">
        <v>255</v>
      </c>
      <c r="G5" s="357">
        <v>3940</v>
      </c>
      <c r="H5" s="395">
        <v>3940</v>
      </c>
      <c r="I5" s="353"/>
      <c r="J5" s="395">
        <v>6050</v>
      </c>
      <c r="K5" s="396" t="s">
        <v>3668</v>
      </c>
      <c r="L5" s="395">
        <v>6959</v>
      </c>
      <c r="M5" s="396" t="s">
        <v>3669</v>
      </c>
      <c r="N5" s="395"/>
      <c r="O5" s="396"/>
      <c r="P5" s="395"/>
      <c r="Q5" s="396"/>
      <c r="R5" s="395"/>
      <c r="S5" s="396"/>
      <c r="T5" s="354"/>
    </row>
    <row r="6" spans="1:20" ht="18.95" customHeight="1">
      <c r="C6" s="344" t="s">
        <v>1933</v>
      </c>
      <c r="D6" s="393" t="s">
        <v>394</v>
      </c>
      <c r="E6" s="393" t="s">
        <v>395</v>
      </c>
      <c r="F6" s="394" t="s">
        <v>255</v>
      </c>
      <c r="G6" s="357">
        <v>14950</v>
      </c>
      <c r="H6" s="395">
        <v>14950</v>
      </c>
      <c r="I6" s="353"/>
      <c r="J6" s="395">
        <v>23120</v>
      </c>
      <c r="K6" s="396" t="s">
        <v>3668</v>
      </c>
      <c r="L6" s="395">
        <v>26650</v>
      </c>
      <c r="M6" s="396" t="s">
        <v>3669</v>
      </c>
      <c r="N6" s="395"/>
      <c r="O6" s="396"/>
      <c r="P6" s="395"/>
      <c r="Q6" s="396"/>
      <c r="R6" s="395"/>
      <c r="S6" s="396"/>
      <c r="T6" s="354"/>
    </row>
    <row r="7" spans="1:20" ht="18.95" customHeight="1">
      <c r="C7" s="344" t="s">
        <v>1936</v>
      </c>
      <c r="D7" s="393" t="s">
        <v>394</v>
      </c>
      <c r="E7" s="393" t="s">
        <v>436</v>
      </c>
      <c r="F7" s="394" t="s">
        <v>255</v>
      </c>
      <c r="G7" s="357">
        <v>2379</v>
      </c>
      <c r="H7" s="395">
        <v>2379</v>
      </c>
      <c r="I7" s="353"/>
      <c r="J7" s="395">
        <v>3600</v>
      </c>
      <c r="K7" s="396" t="s">
        <v>3668</v>
      </c>
      <c r="L7" s="395">
        <v>4160</v>
      </c>
      <c r="M7" s="396" t="s">
        <v>3669</v>
      </c>
      <c r="N7" s="395"/>
      <c r="O7" s="396"/>
      <c r="P7" s="395"/>
      <c r="Q7" s="396"/>
      <c r="R7" s="395"/>
      <c r="S7" s="396"/>
      <c r="T7" s="354"/>
    </row>
    <row r="8" spans="1:20" ht="18.95" customHeight="1">
      <c r="C8" s="344" t="s">
        <v>1939</v>
      </c>
      <c r="D8" s="393" t="s">
        <v>344</v>
      </c>
      <c r="E8" s="393" t="s">
        <v>532</v>
      </c>
      <c r="F8" s="394" t="s">
        <v>255</v>
      </c>
      <c r="G8" s="357">
        <v>257</v>
      </c>
      <c r="H8" s="395">
        <v>257</v>
      </c>
      <c r="I8" s="353"/>
      <c r="J8" s="395">
        <v>375</v>
      </c>
      <c r="K8" s="396" t="s">
        <v>3670</v>
      </c>
      <c r="L8" s="395">
        <v>400</v>
      </c>
      <c r="M8" s="396" t="s">
        <v>3671</v>
      </c>
      <c r="N8" s="395"/>
      <c r="O8" s="396"/>
      <c r="P8" s="395"/>
      <c r="Q8" s="396"/>
      <c r="R8" s="395"/>
      <c r="S8" s="396"/>
      <c r="T8" s="354"/>
    </row>
    <row r="9" spans="1:20" ht="18.95" customHeight="1">
      <c r="C9" s="344" t="s">
        <v>1942</v>
      </c>
      <c r="D9" s="393" t="s">
        <v>344</v>
      </c>
      <c r="E9" s="393" t="s">
        <v>533</v>
      </c>
      <c r="F9" s="394" t="s">
        <v>255</v>
      </c>
      <c r="G9" s="357">
        <v>606</v>
      </c>
      <c r="H9" s="395">
        <v>606</v>
      </c>
      <c r="I9" s="353"/>
      <c r="J9" s="395">
        <v>850</v>
      </c>
      <c r="K9" s="396" t="s">
        <v>3670</v>
      </c>
      <c r="L9" s="395">
        <v>929</v>
      </c>
      <c r="M9" s="396" t="s">
        <v>3671</v>
      </c>
      <c r="N9" s="395"/>
      <c r="O9" s="396"/>
      <c r="P9" s="395"/>
      <c r="Q9" s="396"/>
      <c r="R9" s="395"/>
      <c r="S9" s="396"/>
      <c r="T9" s="354"/>
    </row>
    <row r="10" spans="1:20" ht="18.95" customHeight="1">
      <c r="C10" s="344" t="s">
        <v>1945</v>
      </c>
      <c r="D10" s="393" t="s">
        <v>344</v>
      </c>
      <c r="E10" s="393" t="s">
        <v>345</v>
      </c>
      <c r="F10" s="394" t="s">
        <v>255</v>
      </c>
      <c r="G10" s="357">
        <v>764</v>
      </c>
      <c r="H10" s="395">
        <v>764</v>
      </c>
      <c r="I10" s="353"/>
      <c r="J10" s="395">
        <v>1375</v>
      </c>
      <c r="K10" s="396" t="s">
        <v>3670</v>
      </c>
      <c r="L10" s="395">
        <v>1249</v>
      </c>
      <c r="M10" s="396" t="s">
        <v>3671</v>
      </c>
      <c r="N10" s="395"/>
      <c r="O10" s="396"/>
      <c r="P10" s="395"/>
      <c r="Q10" s="396"/>
      <c r="R10" s="395"/>
      <c r="S10" s="396"/>
      <c r="T10" s="354"/>
    </row>
    <row r="11" spans="1:20" ht="18.95" customHeight="1">
      <c r="C11" s="344" t="s">
        <v>1948</v>
      </c>
      <c r="D11" s="393" t="s">
        <v>344</v>
      </c>
      <c r="E11" s="393" t="s">
        <v>396</v>
      </c>
      <c r="F11" s="394" t="s">
        <v>255</v>
      </c>
      <c r="G11" s="357">
        <v>935</v>
      </c>
      <c r="H11" s="395">
        <v>935</v>
      </c>
      <c r="I11" s="353"/>
      <c r="J11" s="395">
        <v>1625</v>
      </c>
      <c r="K11" s="396" t="s">
        <v>3670</v>
      </c>
      <c r="L11" s="395">
        <v>1631</v>
      </c>
      <c r="M11" s="396" t="s">
        <v>3671</v>
      </c>
      <c r="N11" s="395"/>
      <c r="O11" s="396"/>
      <c r="P11" s="395"/>
      <c r="Q11" s="396"/>
      <c r="R11" s="395"/>
      <c r="S11" s="396"/>
      <c r="T11" s="354"/>
    </row>
    <row r="12" spans="1:20" ht="18.95" customHeight="1">
      <c r="C12" s="344" t="s">
        <v>1951</v>
      </c>
      <c r="D12" s="393" t="s">
        <v>344</v>
      </c>
      <c r="E12" s="393" t="s">
        <v>254</v>
      </c>
      <c r="F12" s="394" t="s">
        <v>255</v>
      </c>
      <c r="G12" s="357">
        <v>1873</v>
      </c>
      <c r="H12" s="395">
        <v>1873</v>
      </c>
      <c r="I12" s="353"/>
      <c r="J12" s="395">
        <v>3000</v>
      </c>
      <c r="K12" s="396" t="s">
        <v>3670</v>
      </c>
      <c r="L12" s="395">
        <v>2866</v>
      </c>
      <c r="M12" s="396" t="s">
        <v>3671</v>
      </c>
      <c r="N12" s="395"/>
      <c r="O12" s="396"/>
      <c r="P12" s="395"/>
      <c r="Q12" s="396"/>
      <c r="R12" s="395"/>
      <c r="S12" s="396"/>
      <c r="T12" s="354"/>
    </row>
    <row r="13" spans="1:20" ht="18.95" customHeight="1">
      <c r="C13" s="344" t="s">
        <v>1954</v>
      </c>
      <c r="D13" s="393" t="s">
        <v>344</v>
      </c>
      <c r="E13" s="393" t="s">
        <v>397</v>
      </c>
      <c r="F13" s="394" t="s">
        <v>255</v>
      </c>
      <c r="G13" s="357">
        <v>3697</v>
      </c>
      <c r="H13" s="395">
        <v>3697</v>
      </c>
      <c r="I13" s="353"/>
      <c r="J13" s="395">
        <v>5500</v>
      </c>
      <c r="K13" s="396" t="s">
        <v>3670</v>
      </c>
      <c r="L13" s="395">
        <v>5375</v>
      </c>
      <c r="M13" s="396" t="s">
        <v>3671</v>
      </c>
      <c r="N13" s="395"/>
      <c r="O13" s="396"/>
      <c r="P13" s="395"/>
      <c r="Q13" s="396"/>
      <c r="R13" s="395"/>
      <c r="S13" s="396"/>
      <c r="T13" s="354"/>
    </row>
    <row r="14" spans="1:20" ht="18.95" customHeight="1">
      <c r="C14" s="344" t="s">
        <v>1957</v>
      </c>
      <c r="D14" s="393" t="s">
        <v>437</v>
      </c>
      <c r="E14" s="393" t="s">
        <v>1958</v>
      </c>
      <c r="F14" s="394" t="s">
        <v>255</v>
      </c>
      <c r="G14" s="357">
        <v>246</v>
      </c>
      <c r="H14" s="395">
        <v>246</v>
      </c>
      <c r="I14" s="353"/>
      <c r="J14" s="395">
        <v>290</v>
      </c>
      <c r="K14" s="396" t="s">
        <v>3441</v>
      </c>
      <c r="L14" s="395">
        <v>291</v>
      </c>
      <c r="M14" s="396" t="s">
        <v>3672</v>
      </c>
      <c r="N14" s="395"/>
      <c r="O14" s="396"/>
      <c r="P14" s="395"/>
      <c r="Q14" s="396"/>
      <c r="R14" s="395"/>
      <c r="S14" s="396"/>
      <c r="T14" s="354"/>
    </row>
    <row r="15" spans="1:20" ht="18.95" customHeight="1">
      <c r="C15" s="344" t="s">
        <v>1963</v>
      </c>
      <c r="D15" s="393" t="s">
        <v>437</v>
      </c>
      <c r="E15" s="393" t="s">
        <v>1964</v>
      </c>
      <c r="F15" s="394" t="s">
        <v>255</v>
      </c>
      <c r="G15" s="357">
        <v>305</v>
      </c>
      <c r="H15" s="395">
        <v>305</v>
      </c>
      <c r="I15" s="353"/>
      <c r="J15" s="395">
        <v>360</v>
      </c>
      <c r="K15" s="396" t="s">
        <v>3441</v>
      </c>
      <c r="L15" s="395">
        <v>380</v>
      </c>
      <c r="M15" s="396" t="s">
        <v>3672</v>
      </c>
      <c r="N15" s="395"/>
      <c r="O15" s="396"/>
      <c r="P15" s="395"/>
      <c r="Q15" s="396"/>
      <c r="R15" s="395"/>
      <c r="S15" s="396"/>
      <c r="T15" s="354"/>
    </row>
    <row r="16" spans="1:20" ht="18.95" customHeight="1">
      <c r="C16" s="344" t="s">
        <v>1967</v>
      </c>
      <c r="D16" s="393" t="s">
        <v>256</v>
      </c>
      <c r="E16" s="393" t="s">
        <v>346</v>
      </c>
      <c r="F16" s="394" t="s">
        <v>255</v>
      </c>
      <c r="G16" s="357">
        <v>305</v>
      </c>
      <c r="H16" s="395">
        <v>305</v>
      </c>
      <c r="I16" s="353"/>
      <c r="J16" s="395">
        <v>320</v>
      </c>
      <c r="K16" s="396" t="s">
        <v>3673</v>
      </c>
      <c r="L16" s="395">
        <v>437</v>
      </c>
      <c r="M16" s="396" t="s">
        <v>3671</v>
      </c>
      <c r="N16" s="395"/>
      <c r="O16" s="396"/>
      <c r="P16" s="395"/>
      <c r="Q16" s="396"/>
      <c r="R16" s="395"/>
      <c r="S16" s="396"/>
      <c r="T16" s="354"/>
    </row>
    <row r="17" spans="3:20" ht="18.95" customHeight="1">
      <c r="C17" s="344" t="s">
        <v>1972</v>
      </c>
      <c r="D17" s="393" t="s">
        <v>256</v>
      </c>
      <c r="E17" s="393" t="s">
        <v>347</v>
      </c>
      <c r="F17" s="394" t="s">
        <v>255</v>
      </c>
      <c r="G17" s="357">
        <v>2300</v>
      </c>
      <c r="H17" s="395">
        <v>2300</v>
      </c>
      <c r="I17" s="353"/>
      <c r="J17" s="395">
        <v>2500</v>
      </c>
      <c r="K17" s="396" t="s">
        <v>3673</v>
      </c>
      <c r="L17" s="395">
        <v>3128</v>
      </c>
      <c r="M17" s="396" t="s">
        <v>3671</v>
      </c>
      <c r="N17" s="395"/>
      <c r="O17" s="396"/>
      <c r="P17" s="395"/>
      <c r="Q17" s="396"/>
      <c r="R17" s="395"/>
      <c r="S17" s="396"/>
      <c r="T17" s="354"/>
    </row>
    <row r="18" spans="3:20" ht="18.95" customHeight="1">
      <c r="C18" s="344" t="s">
        <v>1975</v>
      </c>
      <c r="D18" s="393" t="s">
        <v>446</v>
      </c>
      <c r="E18" s="393" t="s">
        <v>447</v>
      </c>
      <c r="F18" s="394" t="s">
        <v>255</v>
      </c>
      <c r="G18" s="357">
        <v>360</v>
      </c>
      <c r="H18" s="395">
        <v>360</v>
      </c>
      <c r="I18" s="353"/>
      <c r="J18" s="395">
        <v>400</v>
      </c>
      <c r="K18" s="396" t="s">
        <v>3668</v>
      </c>
      <c r="L18" s="395">
        <v>970</v>
      </c>
      <c r="M18" s="396" t="s">
        <v>3674</v>
      </c>
      <c r="N18" s="395"/>
      <c r="O18" s="396"/>
      <c r="P18" s="395"/>
      <c r="Q18" s="396"/>
      <c r="R18" s="395"/>
      <c r="S18" s="396"/>
      <c r="T18" s="354"/>
    </row>
    <row r="19" spans="3:20" ht="18.95" customHeight="1">
      <c r="C19" s="344" t="s">
        <v>1978</v>
      </c>
      <c r="D19" s="393" t="s">
        <v>446</v>
      </c>
      <c r="E19" s="393" t="s">
        <v>523</v>
      </c>
      <c r="F19" s="394" t="s">
        <v>255</v>
      </c>
      <c r="G19" s="357">
        <v>807</v>
      </c>
      <c r="H19" s="395">
        <v>807</v>
      </c>
      <c r="I19" s="353"/>
      <c r="J19" s="395">
        <v>1200</v>
      </c>
      <c r="K19" s="396" t="s">
        <v>3668</v>
      </c>
      <c r="L19" s="395">
        <v>2660</v>
      </c>
      <c r="M19" s="396" t="s">
        <v>3674</v>
      </c>
      <c r="N19" s="395"/>
      <c r="O19" s="396"/>
      <c r="P19" s="395"/>
      <c r="Q19" s="396"/>
      <c r="R19" s="395"/>
      <c r="S19" s="396"/>
      <c r="T19" s="354"/>
    </row>
    <row r="20" spans="3:20" ht="18.95" customHeight="1">
      <c r="C20" s="344" t="s">
        <v>1981</v>
      </c>
      <c r="D20" s="393" t="s">
        <v>446</v>
      </c>
      <c r="E20" s="393" t="s">
        <v>524</v>
      </c>
      <c r="F20" s="394" t="s">
        <v>255</v>
      </c>
      <c r="G20" s="357">
        <v>1380</v>
      </c>
      <c r="H20" s="395">
        <v>1380</v>
      </c>
      <c r="I20" s="353"/>
      <c r="J20" s="395">
        <v>2400</v>
      </c>
      <c r="K20" s="396" t="s">
        <v>3668</v>
      </c>
      <c r="L20" s="395">
        <v>5290</v>
      </c>
      <c r="M20" s="396" t="s">
        <v>3674</v>
      </c>
      <c r="N20" s="395"/>
      <c r="O20" s="396"/>
      <c r="P20" s="395"/>
      <c r="Q20" s="396"/>
      <c r="R20" s="395"/>
      <c r="S20" s="396"/>
      <c r="T20" s="354"/>
    </row>
    <row r="21" spans="3:20" ht="18.95" customHeight="1">
      <c r="C21" s="344" t="s">
        <v>1984</v>
      </c>
      <c r="D21" s="393" t="s">
        <v>446</v>
      </c>
      <c r="E21" s="393" t="s">
        <v>525</v>
      </c>
      <c r="F21" s="394" t="s">
        <v>265</v>
      </c>
      <c r="G21" s="357">
        <v>800</v>
      </c>
      <c r="H21" s="395">
        <v>1198</v>
      </c>
      <c r="I21" s="353"/>
      <c r="J21" s="395">
        <v>800</v>
      </c>
      <c r="K21" s="396" t="s">
        <v>3668</v>
      </c>
      <c r="L21" s="395">
        <v>3280</v>
      </c>
      <c r="M21" s="396" t="s">
        <v>3674</v>
      </c>
      <c r="N21" s="395"/>
      <c r="O21" s="396"/>
      <c r="P21" s="395"/>
      <c r="Q21" s="396"/>
      <c r="R21" s="395"/>
      <c r="S21" s="396"/>
      <c r="T21" s="354"/>
    </row>
    <row r="22" spans="3:20" ht="18.95" customHeight="1">
      <c r="C22" s="344" t="s">
        <v>1987</v>
      </c>
      <c r="D22" s="393" t="s">
        <v>446</v>
      </c>
      <c r="E22" s="393" t="s">
        <v>526</v>
      </c>
      <c r="F22" s="394" t="s">
        <v>265</v>
      </c>
      <c r="G22" s="357">
        <v>1400</v>
      </c>
      <c r="H22" s="395">
        <v>2152</v>
      </c>
      <c r="I22" s="353"/>
      <c r="J22" s="395">
        <v>1400</v>
      </c>
      <c r="K22" s="396" t="s">
        <v>3668</v>
      </c>
      <c r="L22" s="395">
        <v>6560</v>
      </c>
      <c r="M22" s="396" t="s">
        <v>3674</v>
      </c>
      <c r="N22" s="395"/>
      <c r="O22" s="396"/>
      <c r="P22" s="395"/>
      <c r="Q22" s="396"/>
      <c r="R22" s="395"/>
      <c r="S22" s="396"/>
      <c r="T22" s="354"/>
    </row>
    <row r="23" spans="3:20" ht="18.95" customHeight="1">
      <c r="C23" s="344" t="s">
        <v>1990</v>
      </c>
      <c r="D23" s="393" t="s">
        <v>260</v>
      </c>
      <c r="E23" s="393" t="s">
        <v>348</v>
      </c>
      <c r="F23" s="394" t="s">
        <v>262</v>
      </c>
      <c r="G23" s="357">
        <v>10650</v>
      </c>
      <c r="H23" s="395"/>
      <c r="I23" s="353"/>
      <c r="J23" s="395">
        <v>10650</v>
      </c>
      <c r="K23" s="396" t="s">
        <v>3285</v>
      </c>
      <c r="L23" s="395"/>
      <c r="M23" s="396"/>
      <c r="N23" s="395"/>
      <c r="O23" s="396"/>
      <c r="P23" s="395"/>
      <c r="Q23" s="396"/>
      <c r="R23" s="395"/>
      <c r="S23" s="396"/>
      <c r="T23" s="354"/>
    </row>
    <row r="24" spans="3:20" ht="18.95" customHeight="1">
      <c r="C24" s="344" t="s">
        <v>1995</v>
      </c>
      <c r="D24" s="393" t="s">
        <v>260</v>
      </c>
      <c r="E24" s="393" t="s">
        <v>261</v>
      </c>
      <c r="F24" s="394" t="s">
        <v>262</v>
      </c>
      <c r="G24" s="357">
        <v>16800</v>
      </c>
      <c r="H24" s="395"/>
      <c r="I24" s="353"/>
      <c r="J24" s="395">
        <v>16800</v>
      </c>
      <c r="K24" s="396" t="s">
        <v>3285</v>
      </c>
      <c r="L24" s="395"/>
      <c r="M24" s="396"/>
      <c r="N24" s="395"/>
      <c r="O24" s="396"/>
      <c r="P24" s="395"/>
      <c r="Q24" s="396"/>
      <c r="R24" s="395"/>
      <c r="S24" s="396"/>
      <c r="T24" s="354"/>
    </row>
    <row r="25" spans="3:20" ht="18.95" customHeight="1">
      <c r="C25" s="344" t="s">
        <v>1998</v>
      </c>
      <c r="D25" s="393" t="s">
        <v>260</v>
      </c>
      <c r="E25" s="393" t="s">
        <v>398</v>
      </c>
      <c r="F25" s="394" t="s">
        <v>262</v>
      </c>
      <c r="G25" s="357">
        <v>19500</v>
      </c>
      <c r="H25" s="395"/>
      <c r="I25" s="353"/>
      <c r="J25" s="395">
        <v>19500</v>
      </c>
      <c r="K25" s="396" t="s">
        <v>3285</v>
      </c>
      <c r="L25" s="395">
        <v>40500</v>
      </c>
      <c r="M25" s="396" t="s">
        <v>3675</v>
      </c>
      <c r="N25" s="395"/>
      <c r="O25" s="396"/>
      <c r="P25" s="395"/>
      <c r="Q25" s="396"/>
      <c r="R25" s="395"/>
      <c r="S25" s="396"/>
      <c r="T25" s="354"/>
    </row>
    <row r="26" spans="3:20" ht="18.95" customHeight="1">
      <c r="C26" s="344" t="s">
        <v>2001</v>
      </c>
      <c r="D26" s="393" t="s">
        <v>260</v>
      </c>
      <c r="E26" s="393" t="s">
        <v>349</v>
      </c>
      <c r="F26" s="394" t="s">
        <v>262</v>
      </c>
      <c r="G26" s="357">
        <v>30600</v>
      </c>
      <c r="H26" s="395"/>
      <c r="I26" s="353"/>
      <c r="J26" s="395">
        <v>30600</v>
      </c>
      <c r="K26" s="396" t="s">
        <v>3285</v>
      </c>
      <c r="L26" s="395"/>
      <c r="M26" s="396"/>
      <c r="N26" s="395"/>
      <c r="O26" s="396"/>
      <c r="P26" s="395"/>
      <c r="Q26" s="396"/>
      <c r="R26" s="395"/>
      <c r="S26" s="396"/>
      <c r="T26" s="354"/>
    </row>
    <row r="27" spans="3:20" ht="18.95" customHeight="1">
      <c r="C27" s="344" t="s">
        <v>2006</v>
      </c>
      <c r="D27" s="393" t="s">
        <v>399</v>
      </c>
      <c r="E27" s="393" t="s">
        <v>400</v>
      </c>
      <c r="F27" s="394" t="s">
        <v>265</v>
      </c>
      <c r="G27" s="357">
        <v>4099</v>
      </c>
      <c r="H27" s="395">
        <v>4099</v>
      </c>
      <c r="I27" s="353"/>
      <c r="J27" s="395">
        <v>4500</v>
      </c>
      <c r="K27" s="396" t="s">
        <v>3668</v>
      </c>
      <c r="L27" s="395">
        <v>5412</v>
      </c>
      <c r="M27" s="396" t="s">
        <v>3676</v>
      </c>
      <c r="N27" s="395"/>
      <c r="O27" s="396"/>
      <c r="P27" s="395"/>
      <c r="Q27" s="396"/>
      <c r="R27" s="395"/>
      <c r="S27" s="396"/>
      <c r="T27" s="354"/>
    </row>
    <row r="28" spans="3:20" ht="18.95" customHeight="1">
      <c r="C28" s="344" t="s">
        <v>2009</v>
      </c>
      <c r="D28" s="393" t="s">
        <v>263</v>
      </c>
      <c r="E28" s="393" t="s">
        <v>536</v>
      </c>
      <c r="F28" s="394" t="s">
        <v>265</v>
      </c>
      <c r="G28" s="357">
        <v>777</v>
      </c>
      <c r="H28" s="395">
        <v>777</v>
      </c>
      <c r="I28" s="353"/>
      <c r="J28" s="395">
        <v>1090</v>
      </c>
      <c r="K28" s="396" t="s">
        <v>3670</v>
      </c>
      <c r="L28" s="395">
        <v>1193</v>
      </c>
      <c r="M28" s="396" t="s">
        <v>3671</v>
      </c>
      <c r="N28" s="395"/>
      <c r="O28" s="396"/>
      <c r="P28" s="395"/>
      <c r="Q28" s="396"/>
      <c r="R28" s="395"/>
      <c r="S28" s="396"/>
      <c r="T28" s="354"/>
    </row>
    <row r="29" spans="3:20" ht="18.95" customHeight="1">
      <c r="C29" s="344" t="s">
        <v>2012</v>
      </c>
      <c r="D29" s="393" t="s">
        <v>263</v>
      </c>
      <c r="E29" s="393" t="s">
        <v>350</v>
      </c>
      <c r="F29" s="394" t="s">
        <v>265</v>
      </c>
      <c r="G29" s="357">
        <v>913</v>
      </c>
      <c r="H29" s="395">
        <v>913</v>
      </c>
      <c r="I29" s="353"/>
      <c r="J29" s="395">
        <v>1220</v>
      </c>
      <c r="K29" s="396" t="s">
        <v>3670</v>
      </c>
      <c r="L29" s="395">
        <v>1360</v>
      </c>
      <c r="M29" s="396" t="s">
        <v>3671</v>
      </c>
      <c r="N29" s="395"/>
      <c r="O29" s="396"/>
      <c r="P29" s="395"/>
      <c r="Q29" s="396"/>
      <c r="R29" s="395"/>
      <c r="S29" s="396"/>
      <c r="T29" s="354"/>
    </row>
    <row r="30" spans="3:20" ht="18.95" customHeight="1">
      <c r="C30" s="344" t="s">
        <v>2015</v>
      </c>
      <c r="D30" s="393" t="s">
        <v>263</v>
      </c>
      <c r="E30" s="393" t="s">
        <v>264</v>
      </c>
      <c r="F30" s="394" t="s">
        <v>265</v>
      </c>
      <c r="G30" s="357">
        <v>3529</v>
      </c>
      <c r="H30" s="395">
        <v>3529</v>
      </c>
      <c r="I30" s="353"/>
      <c r="J30" s="395">
        <v>5220</v>
      </c>
      <c r="K30" s="396" t="s">
        <v>3670</v>
      </c>
      <c r="L30" s="395">
        <v>6072</v>
      </c>
      <c r="M30" s="396" t="s">
        <v>3671</v>
      </c>
      <c r="N30" s="395"/>
      <c r="O30" s="396"/>
      <c r="P30" s="395"/>
      <c r="Q30" s="396"/>
      <c r="R30" s="395"/>
      <c r="S30" s="396"/>
      <c r="T30" s="354"/>
    </row>
    <row r="31" spans="3:20" ht="18.95" customHeight="1">
      <c r="C31" s="344" t="s">
        <v>2018</v>
      </c>
      <c r="D31" s="393" t="s">
        <v>263</v>
      </c>
      <c r="E31" s="393" t="s">
        <v>401</v>
      </c>
      <c r="F31" s="394" t="s">
        <v>265</v>
      </c>
      <c r="G31" s="357">
        <v>7500</v>
      </c>
      <c r="H31" s="395">
        <v>7500</v>
      </c>
      <c r="I31" s="353"/>
      <c r="J31" s="395">
        <v>10490</v>
      </c>
      <c r="K31" s="396" t="s">
        <v>3670</v>
      </c>
      <c r="L31" s="395">
        <v>11386</v>
      </c>
      <c r="M31" s="396" t="s">
        <v>3671</v>
      </c>
      <c r="N31" s="395"/>
      <c r="O31" s="396"/>
      <c r="P31" s="395"/>
      <c r="Q31" s="396"/>
      <c r="R31" s="395"/>
      <c r="S31" s="396"/>
      <c r="T31" s="354"/>
    </row>
    <row r="32" spans="3:20" ht="18.95" customHeight="1">
      <c r="C32" s="344" t="s">
        <v>2021</v>
      </c>
      <c r="D32" s="393" t="s">
        <v>448</v>
      </c>
      <c r="E32" s="393" t="s">
        <v>449</v>
      </c>
      <c r="F32" s="394" t="s">
        <v>265</v>
      </c>
      <c r="G32" s="357">
        <v>558</v>
      </c>
      <c r="H32" s="395">
        <v>558</v>
      </c>
      <c r="I32" s="353"/>
      <c r="J32" s="395">
        <v>790</v>
      </c>
      <c r="K32" s="396" t="s">
        <v>3677</v>
      </c>
      <c r="L32" s="395">
        <v>704</v>
      </c>
      <c r="M32" s="396" t="s">
        <v>3678</v>
      </c>
      <c r="N32" s="395"/>
      <c r="O32" s="396"/>
      <c r="P32" s="395"/>
      <c r="Q32" s="396"/>
      <c r="R32" s="395"/>
      <c r="S32" s="396"/>
      <c r="T32" s="354"/>
    </row>
    <row r="33" spans="3:20" ht="18.95" customHeight="1">
      <c r="C33" s="344" t="s">
        <v>2024</v>
      </c>
      <c r="D33" s="393" t="s">
        <v>448</v>
      </c>
      <c r="E33" s="393" t="s">
        <v>450</v>
      </c>
      <c r="F33" s="394" t="s">
        <v>265</v>
      </c>
      <c r="G33" s="357">
        <v>811</v>
      </c>
      <c r="H33" s="395"/>
      <c r="I33" s="353"/>
      <c r="J33" s="395">
        <v>920</v>
      </c>
      <c r="K33" s="396" t="s">
        <v>3677</v>
      </c>
      <c r="L33" s="395">
        <v>811</v>
      </c>
      <c r="M33" s="396" t="s">
        <v>3678</v>
      </c>
      <c r="N33" s="395"/>
      <c r="O33" s="396"/>
      <c r="P33" s="395"/>
      <c r="Q33" s="396"/>
      <c r="R33" s="395"/>
      <c r="S33" s="396"/>
      <c r="T33" s="354"/>
    </row>
    <row r="34" spans="3:20" ht="18.95" customHeight="1">
      <c r="C34" s="344" t="s">
        <v>2027</v>
      </c>
      <c r="D34" s="393" t="s">
        <v>451</v>
      </c>
      <c r="E34" s="393" t="s">
        <v>452</v>
      </c>
      <c r="F34" s="394" t="s">
        <v>265</v>
      </c>
      <c r="G34" s="357">
        <v>583</v>
      </c>
      <c r="H34" s="395">
        <v>583</v>
      </c>
      <c r="I34" s="353"/>
      <c r="J34" s="395">
        <v>650</v>
      </c>
      <c r="K34" s="396" t="s">
        <v>3677</v>
      </c>
      <c r="L34" s="395">
        <v>583</v>
      </c>
      <c r="M34" s="396" t="s">
        <v>3678</v>
      </c>
      <c r="N34" s="395"/>
      <c r="O34" s="396"/>
      <c r="P34" s="395"/>
      <c r="Q34" s="396"/>
      <c r="R34" s="395"/>
      <c r="S34" s="396"/>
      <c r="T34" s="354"/>
    </row>
    <row r="35" spans="3:20" ht="18.95" customHeight="1">
      <c r="C35" s="344" t="s">
        <v>2030</v>
      </c>
      <c r="D35" s="393" t="s">
        <v>451</v>
      </c>
      <c r="E35" s="393" t="s">
        <v>453</v>
      </c>
      <c r="F35" s="394" t="s">
        <v>265</v>
      </c>
      <c r="G35" s="357">
        <v>605</v>
      </c>
      <c r="H35" s="395">
        <v>811</v>
      </c>
      <c r="I35" s="353"/>
      <c r="J35" s="395">
        <v>920</v>
      </c>
      <c r="K35" s="396" t="s">
        <v>3677</v>
      </c>
      <c r="L35" s="395">
        <v>605</v>
      </c>
      <c r="M35" s="396" t="s">
        <v>3678</v>
      </c>
      <c r="N35" s="395"/>
      <c r="O35" s="396"/>
      <c r="P35" s="395"/>
      <c r="Q35" s="396"/>
      <c r="R35" s="395"/>
      <c r="S35" s="396"/>
      <c r="T35" s="354"/>
    </row>
    <row r="36" spans="3:20" ht="18.95" customHeight="1">
      <c r="C36" s="344" t="s">
        <v>2033</v>
      </c>
      <c r="D36" s="393" t="s">
        <v>454</v>
      </c>
      <c r="E36" s="393" t="s">
        <v>455</v>
      </c>
      <c r="F36" s="394" t="s">
        <v>265</v>
      </c>
      <c r="G36" s="357">
        <v>282</v>
      </c>
      <c r="H36" s="395">
        <v>282</v>
      </c>
      <c r="I36" s="353"/>
      <c r="J36" s="395">
        <v>400</v>
      </c>
      <c r="K36" s="396" t="s">
        <v>3677</v>
      </c>
      <c r="L36" s="395">
        <v>286</v>
      </c>
      <c r="M36" s="396" t="s">
        <v>3678</v>
      </c>
      <c r="N36" s="395"/>
      <c r="O36" s="396"/>
      <c r="P36" s="395"/>
      <c r="Q36" s="396"/>
      <c r="R36" s="395"/>
      <c r="S36" s="396"/>
      <c r="T36" s="354"/>
    </row>
    <row r="37" spans="3:20" ht="18.95" customHeight="1">
      <c r="C37" s="344" t="s">
        <v>2036</v>
      </c>
      <c r="D37" s="393" t="s">
        <v>454</v>
      </c>
      <c r="E37" s="393" t="s">
        <v>456</v>
      </c>
      <c r="F37" s="394" t="s">
        <v>265</v>
      </c>
      <c r="G37" s="357">
        <v>286</v>
      </c>
      <c r="H37" s="395">
        <v>293</v>
      </c>
      <c r="I37" s="353"/>
      <c r="J37" s="395">
        <v>400</v>
      </c>
      <c r="K37" s="396" t="s">
        <v>3677</v>
      </c>
      <c r="L37" s="395">
        <v>286</v>
      </c>
      <c r="M37" s="396" t="s">
        <v>3678</v>
      </c>
      <c r="N37" s="395"/>
      <c r="O37" s="396"/>
      <c r="P37" s="395"/>
      <c r="Q37" s="396"/>
      <c r="R37" s="395"/>
      <c r="S37" s="396"/>
      <c r="T37" s="354"/>
    </row>
    <row r="38" spans="3:20" ht="18.95" customHeight="1">
      <c r="C38" s="344" t="s">
        <v>2039</v>
      </c>
      <c r="D38" s="393" t="s">
        <v>454</v>
      </c>
      <c r="E38" s="393" t="s">
        <v>457</v>
      </c>
      <c r="F38" s="394" t="s">
        <v>265</v>
      </c>
      <c r="G38" s="357">
        <v>283</v>
      </c>
      <c r="H38" s="395">
        <v>283</v>
      </c>
      <c r="I38" s="353"/>
      <c r="J38" s="395">
        <v>400</v>
      </c>
      <c r="K38" s="396" t="s">
        <v>3677</v>
      </c>
      <c r="L38" s="395">
        <v>286</v>
      </c>
      <c r="M38" s="396" t="s">
        <v>3678</v>
      </c>
      <c r="N38" s="395"/>
      <c r="O38" s="396"/>
      <c r="P38" s="395"/>
      <c r="Q38" s="396"/>
      <c r="R38" s="395"/>
      <c r="S38" s="396"/>
      <c r="T38" s="354"/>
    </row>
    <row r="39" spans="3:20" ht="18.95" customHeight="1">
      <c r="C39" s="344" t="s">
        <v>2042</v>
      </c>
      <c r="D39" s="393" t="s">
        <v>439</v>
      </c>
      <c r="E39" s="393" t="s">
        <v>440</v>
      </c>
      <c r="F39" s="394" t="s">
        <v>291</v>
      </c>
      <c r="G39" s="357">
        <v>2056</v>
      </c>
      <c r="H39" s="395">
        <v>2056</v>
      </c>
      <c r="I39" s="353"/>
      <c r="J39" s="395"/>
      <c r="K39" s="396"/>
      <c r="L39" s="395">
        <v>2475</v>
      </c>
      <c r="M39" s="396" t="s">
        <v>3678</v>
      </c>
      <c r="N39" s="395"/>
      <c r="O39" s="396"/>
      <c r="P39" s="395"/>
      <c r="Q39" s="396"/>
      <c r="R39" s="395"/>
      <c r="S39" s="396"/>
      <c r="T39" s="354"/>
    </row>
    <row r="40" spans="3:20" ht="18.95" customHeight="1">
      <c r="C40" s="344" t="s">
        <v>2045</v>
      </c>
      <c r="D40" s="393" t="s">
        <v>266</v>
      </c>
      <c r="E40" s="393" t="s">
        <v>351</v>
      </c>
      <c r="F40" s="394" t="s">
        <v>265</v>
      </c>
      <c r="G40" s="357">
        <v>2758</v>
      </c>
      <c r="H40" s="395">
        <v>2758</v>
      </c>
      <c r="I40" s="353"/>
      <c r="J40" s="395">
        <v>3500</v>
      </c>
      <c r="K40" s="396" t="s">
        <v>3677</v>
      </c>
      <c r="L40" s="395">
        <v>3245</v>
      </c>
      <c r="M40" s="396" t="s">
        <v>3678</v>
      </c>
      <c r="N40" s="395"/>
      <c r="O40" s="396"/>
      <c r="P40" s="395"/>
      <c r="Q40" s="396"/>
      <c r="R40" s="395"/>
      <c r="S40" s="396"/>
      <c r="T40" s="354"/>
    </row>
    <row r="41" spans="3:20" ht="18.95" customHeight="1">
      <c r="C41" s="344" t="s">
        <v>2048</v>
      </c>
      <c r="D41" s="393" t="s">
        <v>266</v>
      </c>
      <c r="E41" s="393" t="s">
        <v>402</v>
      </c>
      <c r="F41" s="394" t="s">
        <v>265</v>
      </c>
      <c r="G41" s="357">
        <v>6944</v>
      </c>
      <c r="H41" s="395">
        <v>6944</v>
      </c>
      <c r="I41" s="353"/>
      <c r="J41" s="395">
        <v>9000</v>
      </c>
      <c r="K41" s="396" t="s">
        <v>3677</v>
      </c>
      <c r="L41" s="395">
        <v>9834</v>
      </c>
      <c r="M41" s="396" t="s">
        <v>3678</v>
      </c>
      <c r="N41" s="395"/>
      <c r="O41" s="396"/>
      <c r="P41" s="395"/>
      <c r="Q41" s="396"/>
      <c r="R41" s="395"/>
      <c r="S41" s="396"/>
      <c r="T41" s="354"/>
    </row>
    <row r="42" spans="3:20" ht="18.95" customHeight="1">
      <c r="C42" s="344" t="s">
        <v>2051</v>
      </c>
      <c r="D42" s="393" t="s">
        <v>266</v>
      </c>
      <c r="E42" s="393" t="s">
        <v>403</v>
      </c>
      <c r="F42" s="394" t="s">
        <v>265</v>
      </c>
      <c r="G42" s="357">
        <v>9417</v>
      </c>
      <c r="H42" s="395">
        <v>9417</v>
      </c>
      <c r="I42" s="353"/>
      <c r="J42" s="395">
        <v>11400</v>
      </c>
      <c r="K42" s="396" t="s">
        <v>3677</v>
      </c>
      <c r="L42" s="395">
        <v>11935</v>
      </c>
      <c r="M42" s="396" t="s">
        <v>3678</v>
      </c>
      <c r="N42" s="395"/>
      <c r="O42" s="396"/>
      <c r="P42" s="395"/>
      <c r="Q42" s="396"/>
      <c r="R42" s="395"/>
      <c r="S42" s="396"/>
      <c r="T42" s="354"/>
    </row>
    <row r="43" spans="3:20" ht="18.95" customHeight="1">
      <c r="C43" s="344" t="s">
        <v>2054</v>
      </c>
      <c r="D43" s="393" t="s">
        <v>266</v>
      </c>
      <c r="E43" s="393" t="s">
        <v>267</v>
      </c>
      <c r="F43" s="394" t="s">
        <v>265</v>
      </c>
      <c r="G43" s="357">
        <v>21844</v>
      </c>
      <c r="H43" s="395">
        <v>21844</v>
      </c>
      <c r="I43" s="353"/>
      <c r="J43" s="395">
        <v>25700</v>
      </c>
      <c r="K43" s="396" t="s">
        <v>3677</v>
      </c>
      <c r="L43" s="395">
        <v>27225</v>
      </c>
      <c r="M43" s="396" t="s">
        <v>3678</v>
      </c>
      <c r="N43" s="395"/>
      <c r="O43" s="396"/>
      <c r="P43" s="395"/>
      <c r="Q43" s="396"/>
      <c r="R43" s="395"/>
      <c r="S43" s="396"/>
      <c r="T43" s="354"/>
    </row>
    <row r="44" spans="3:20" ht="18.95" customHeight="1">
      <c r="C44" s="344" t="s">
        <v>1836</v>
      </c>
      <c r="D44" s="393" t="s">
        <v>399</v>
      </c>
      <c r="E44" s="393" t="s">
        <v>1837</v>
      </c>
      <c r="F44" s="394" t="s">
        <v>265</v>
      </c>
      <c r="G44" s="357">
        <v>340</v>
      </c>
      <c r="H44" s="395">
        <v>340</v>
      </c>
      <c r="I44" s="353"/>
      <c r="J44" s="395">
        <v>340</v>
      </c>
      <c r="K44" s="396" t="s">
        <v>3668</v>
      </c>
      <c r="L44" s="395">
        <v>745</v>
      </c>
      <c r="M44" s="396" t="s">
        <v>3676</v>
      </c>
      <c r="N44" s="395"/>
      <c r="O44" s="396"/>
      <c r="P44" s="395"/>
      <c r="Q44" s="396"/>
      <c r="R44" s="395"/>
      <c r="S44" s="396"/>
      <c r="T44" s="354"/>
    </row>
    <row r="45" spans="3:20" ht="18.95" customHeight="1">
      <c r="C45" s="344" t="s">
        <v>1858</v>
      </c>
      <c r="D45" s="393" t="s">
        <v>399</v>
      </c>
      <c r="E45" s="393" t="s">
        <v>1859</v>
      </c>
      <c r="F45" s="394" t="s">
        <v>265</v>
      </c>
      <c r="G45" s="357">
        <v>378</v>
      </c>
      <c r="H45" s="395">
        <v>378</v>
      </c>
      <c r="I45" s="353"/>
      <c r="J45" s="395">
        <v>390</v>
      </c>
      <c r="K45" s="396" t="s">
        <v>3668</v>
      </c>
      <c r="L45" s="395">
        <v>828</v>
      </c>
      <c r="M45" s="396" t="s">
        <v>3676</v>
      </c>
      <c r="N45" s="395"/>
      <c r="O45" s="396"/>
      <c r="P45" s="395"/>
      <c r="Q45" s="396"/>
      <c r="R45" s="395"/>
      <c r="S45" s="396"/>
      <c r="T45" s="354"/>
    </row>
    <row r="46" spans="3:20" ht="18.95" customHeight="1">
      <c r="C46" s="344" t="s">
        <v>1862</v>
      </c>
      <c r="D46" s="393" t="s">
        <v>399</v>
      </c>
      <c r="E46" s="393" t="s">
        <v>1863</v>
      </c>
      <c r="F46" s="394" t="s">
        <v>265</v>
      </c>
      <c r="G46" s="357">
        <v>1266</v>
      </c>
      <c r="H46" s="395">
        <v>1266</v>
      </c>
      <c r="I46" s="353"/>
      <c r="J46" s="395">
        <v>1300</v>
      </c>
      <c r="K46" s="396" t="s">
        <v>3668</v>
      </c>
      <c r="L46" s="395">
        <v>2484</v>
      </c>
      <c r="M46" s="396" t="s">
        <v>3676</v>
      </c>
      <c r="N46" s="395"/>
      <c r="O46" s="396"/>
      <c r="P46" s="395"/>
      <c r="Q46" s="396"/>
      <c r="R46" s="395"/>
      <c r="S46" s="396"/>
      <c r="T46" s="354"/>
    </row>
    <row r="47" spans="3:20" ht="18.95" customHeight="1">
      <c r="C47" s="344" t="s">
        <v>1841</v>
      </c>
      <c r="D47" s="393" t="s">
        <v>1842</v>
      </c>
      <c r="E47" s="393" t="s">
        <v>1843</v>
      </c>
      <c r="F47" s="394" t="s">
        <v>265</v>
      </c>
      <c r="G47" s="357">
        <v>100</v>
      </c>
      <c r="H47" s="395"/>
      <c r="I47" s="353"/>
      <c r="J47" s="395">
        <v>100</v>
      </c>
      <c r="K47" s="396" t="s">
        <v>3679</v>
      </c>
      <c r="L47" s="395">
        <v>137</v>
      </c>
      <c r="M47" s="396" t="s">
        <v>3680</v>
      </c>
      <c r="N47" s="395"/>
      <c r="O47" s="396"/>
      <c r="P47" s="395"/>
      <c r="Q47" s="396"/>
      <c r="R47" s="395"/>
      <c r="S47" s="396"/>
      <c r="T47" s="354"/>
    </row>
    <row r="48" spans="3:20" ht="18.95" customHeight="1">
      <c r="C48" s="344" t="s">
        <v>1838</v>
      </c>
      <c r="D48" s="393" t="s">
        <v>1839</v>
      </c>
      <c r="E48" s="393" t="s">
        <v>1840</v>
      </c>
      <c r="F48" s="394" t="s">
        <v>265</v>
      </c>
      <c r="G48" s="357">
        <v>1017</v>
      </c>
      <c r="H48" s="395"/>
      <c r="I48" s="353"/>
      <c r="J48" s="395">
        <v>1017</v>
      </c>
      <c r="K48" s="396" t="s">
        <v>3681</v>
      </c>
      <c r="L48" s="395">
        <v>1068</v>
      </c>
      <c r="M48" s="396" t="s">
        <v>3682</v>
      </c>
      <c r="N48" s="395"/>
      <c r="O48" s="396"/>
      <c r="P48" s="395"/>
      <c r="Q48" s="396"/>
      <c r="R48" s="395"/>
      <c r="S48" s="396"/>
      <c r="T48" s="354"/>
    </row>
    <row r="49" spans="3:20" ht="18.95" customHeight="1">
      <c r="C49" s="344" t="s">
        <v>2057</v>
      </c>
      <c r="D49" s="393" t="s">
        <v>441</v>
      </c>
      <c r="E49" s="393" t="s">
        <v>458</v>
      </c>
      <c r="F49" s="394" t="s">
        <v>255</v>
      </c>
      <c r="G49" s="357">
        <v>454</v>
      </c>
      <c r="H49" s="395">
        <v>454</v>
      </c>
      <c r="I49" s="353"/>
      <c r="J49" s="395">
        <v>500</v>
      </c>
      <c r="K49" s="396" t="s">
        <v>3683</v>
      </c>
      <c r="L49" s="395">
        <v>622</v>
      </c>
      <c r="M49" s="396" t="s">
        <v>3448</v>
      </c>
      <c r="N49" s="395"/>
      <c r="O49" s="396"/>
      <c r="P49" s="395"/>
      <c r="Q49" s="396"/>
      <c r="R49" s="395"/>
      <c r="S49" s="396"/>
      <c r="T49" s="354"/>
    </row>
    <row r="50" spans="3:20" ht="18.95" customHeight="1">
      <c r="C50" s="344" t="s">
        <v>2060</v>
      </c>
      <c r="D50" s="393" t="s">
        <v>441</v>
      </c>
      <c r="E50" s="393" t="s">
        <v>442</v>
      </c>
      <c r="F50" s="394" t="s">
        <v>255</v>
      </c>
      <c r="G50" s="357">
        <v>699</v>
      </c>
      <c r="H50" s="395">
        <v>699</v>
      </c>
      <c r="I50" s="353"/>
      <c r="J50" s="395">
        <v>773</v>
      </c>
      <c r="K50" s="396" t="s">
        <v>3683</v>
      </c>
      <c r="L50" s="395">
        <v>969</v>
      </c>
      <c r="M50" s="396" t="s">
        <v>3448</v>
      </c>
      <c r="N50" s="395"/>
      <c r="O50" s="396"/>
      <c r="P50" s="395"/>
      <c r="Q50" s="396"/>
      <c r="R50" s="395"/>
      <c r="S50" s="396"/>
      <c r="T50" s="354"/>
    </row>
    <row r="51" spans="3:20" ht="18.95" customHeight="1">
      <c r="C51" s="344" t="s">
        <v>2063</v>
      </c>
      <c r="D51" s="393" t="s">
        <v>268</v>
      </c>
      <c r="E51" s="393" t="s">
        <v>404</v>
      </c>
      <c r="F51" s="394" t="s">
        <v>255</v>
      </c>
      <c r="G51" s="357">
        <v>787</v>
      </c>
      <c r="H51" s="395">
        <v>787</v>
      </c>
      <c r="I51" s="353"/>
      <c r="J51" s="395">
        <v>1256</v>
      </c>
      <c r="K51" s="396" t="s">
        <v>3369</v>
      </c>
      <c r="L51" s="395">
        <v>1125</v>
      </c>
      <c r="M51" s="396" t="s">
        <v>3448</v>
      </c>
      <c r="N51" s="395"/>
      <c r="O51" s="396"/>
      <c r="P51" s="395"/>
      <c r="Q51" s="396"/>
      <c r="R51" s="395"/>
      <c r="S51" s="396"/>
      <c r="T51" s="354"/>
    </row>
    <row r="52" spans="3:20" ht="18.95" customHeight="1">
      <c r="C52" s="344" t="s">
        <v>1873</v>
      </c>
      <c r="D52" s="393" t="s">
        <v>268</v>
      </c>
      <c r="E52" s="393" t="s">
        <v>1874</v>
      </c>
      <c r="F52" s="394" t="s">
        <v>255</v>
      </c>
      <c r="G52" s="357">
        <v>5308</v>
      </c>
      <c r="H52" s="395">
        <v>5308</v>
      </c>
      <c r="I52" s="353"/>
      <c r="J52" s="395">
        <v>8717</v>
      </c>
      <c r="K52" s="396" t="s">
        <v>3369</v>
      </c>
      <c r="L52" s="395">
        <v>7633</v>
      </c>
      <c r="M52" s="396" t="s">
        <v>3448</v>
      </c>
      <c r="N52" s="395"/>
      <c r="O52" s="396"/>
      <c r="P52" s="395"/>
      <c r="Q52" s="396"/>
      <c r="R52" s="395"/>
      <c r="S52" s="396"/>
      <c r="T52" s="354"/>
    </row>
    <row r="53" spans="3:20" ht="18.95" customHeight="1">
      <c r="C53" s="344" t="s">
        <v>2066</v>
      </c>
      <c r="D53" s="393" t="s">
        <v>268</v>
      </c>
      <c r="E53" s="393" t="s">
        <v>405</v>
      </c>
      <c r="F53" s="394" t="s">
        <v>255</v>
      </c>
      <c r="G53" s="357">
        <v>10017</v>
      </c>
      <c r="H53" s="395">
        <v>10017</v>
      </c>
      <c r="I53" s="353"/>
      <c r="J53" s="395">
        <v>17082</v>
      </c>
      <c r="K53" s="396" t="s">
        <v>3369</v>
      </c>
      <c r="L53" s="395">
        <v>14471</v>
      </c>
      <c r="M53" s="396" t="s">
        <v>3448</v>
      </c>
      <c r="N53" s="395"/>
      <c r="O53" s="396"/>
      <c r="P53" s="395"/>
      <c r="Q53" s="396"/>
      <c r="R53" s="395"/>
      <c r="S53" s="396"/>
      <c r="T53" s="354"/>
    </row>
    <row r="54" spans="3:20" ht="18.95" customHeight="1">
      <c r="C54" s="344" t="s">
        <v>2069</v>
      </c>
      <c r="D54" s="393" t="s">
        <v>268</v>
      </c>
      <c r="E54" s="393" t="s">
        <v>406</v>
      </c>
      <c r="F54" s="394" t="s">
        <v>255</v>
      </c>
      <c r="G54" s="357">
        <v>11921</v>
      </c>
      <c r="H54" s="395">
        <v>11921</v>
      </c>
      <c r="I54" s="353"/>
      <c r="J54" s="395">
        <v>21377</v>
      </c>
      <c r="K54" s="396" t="s">
        <v>3369</v>
      </c>
      <c r="L54" s="395">
        <v>17694</v>
      </c>
      <c r="M54" s="396" t="s">
        <v>3448</v>
      </c>
      <c r="N54" s="395"/>
      <c r="O54" s="396"/>
      <c r="P54" s="395"/>
      <c r="Q54" s="396"/>
      <c r="R54" s="395"/>
      <c r="S54" s="396"/>
      <c r="T54" s="354"/>
    </row>
    <row r="55" spans="3:20" ht="18.95" customHeight="1">
      <c r="C55" s="344" t="s">
        <v>2072</v>
      </c>
      <c r="D55" s="393" t="s">
        <v>270</v>
      </c>
      <c r="E55" s="393" t="s">
        <v>407</v>
      </c>
      <c r="F55" s="394" t="s">
        <v>255</v>
      </c>
      <c r="G55" s="357">
        <v>17378</v>
      </c>
      <c r="H55" s="395">
        <v>17378</v>
      </c>
      <c r="I55" s="353"/>
      <c r="J55" s="395">
        <v>26231</v>
      </c>
      <c r="K55" s="396" t="s">
        <v>3369</v>
      </c>
      <c r="L55" s="395">
        <v>20619</v>
      </c>
      <c r="M55" s="396" t="s">
        <v>3684</v>
      </c>
      <c r="N55" s="395"/>
      <c r="O55" s="396"/>
      <c r="P55" s="395"/>
      <c r="Q55" s="396"/>
      <c r="R55" s="395"/>
      <c r="S55" s="396"/>
      <c r="T55" s="354"/>
    </row>
    <row r="56" spans="3:20" ht="18.95" customHeight="1">
      <c r="C56" s="344" t="s">
        <v>2075</v>
      </c>
      <c r="D56" s="393" t="s">
        <v>270</v>
      </c>
      <c r="E56" s="393" t="s">
        <v>408</v>
      </c>
      <c r="F56" s="394" t="s">
        <v>255</v>
      </c>
      <c r="G56" s="357">
        <v>27708</v>
      </c>
      <c r="H56" s="395">
        <v>27708</v>
      </c>
      <c r="I56" s="353"/>
      <c r="J56" s="395">
        <v>43188</v>
      </c>
      <c r="K56" s="396" t="s">
        <v>3369</v>
      </c>
      <c r="L56" s="395">
        <v>33305</v>
      </c>
      <c r="M56" s="396" t="s">
        <v>3684</v>
      </c>
      <c r="N56" s="395"/>
      <c r="O56" s="396"/>
      <c r="P56" s="395"/>
      <c r="Q56" s="396"/>
      <c r="R56" s="395"/>
      <c r="S56" s="396"/>
      <c r="T56" s="354"/>
    </row>
    <row r="57" spans="3:20" ht="18.95" customHeight="1">
      <c r="C57" s="344" t="s">
        <v>2078</v>
      </c>
      <c r="D57" s="393" t="s">
        <v>270</v>
      </c>
      <c r="E57" s="393" t="s">
        <v>409</v>
      </c>
      <c r="F57" s="394" t="s">
        <v>255</v>
      </c>
      <c r="G57" s="357">
        <v>3786</v>
      </c>
      <c r="H57" s="395">
        <v>3786</v>
      </c>
      <c r="I57" s="353"/>
      <c r="J57" s="395">
        <v>4980</v>
      </c>
      <c r="K57" s="396" t="s">
        <v>3369</v>
      </c>
      <c r="L57" s="395">
        <v>5002</v>
      </c>
      <c r="M57" s="396" t="s">
        <v>3684</v>
      </c>
      <c r="N57" s="395"/>
      <c r="O57" s="396"/>
      <c r="P57" s="395"/>
      <c r="Q57" s="396"/>
      <c r="R57" s="395"/>
      <c r="S57" s="396"/>
      <c r="T57" s="354"/>
    </row>
    <row r="58" spans="3:20" ht="18.95" customHeight="1">
      <c r="C58" s="344" t="s">
        <v>2081</v>
      </c>
      <c r="D58" s="393" t="s">
        <v>459</v>
      </c>
      <c r="E58" s="393" t="s">
        <v>460</v>
      </c>
      <c r="F58" s="394" t="s">
        <v>265</v>
      </c>
      <c r="G58" s="357">
        <v>1670</v>
      </c>
      <c r="H58" s="395"/>
      <c r="I58" s="353"/>
      <c r="J58" s="395">
        <v>1670</v>
      </c>
      <c r="K58" s="396" t="s">
        <v>3372</v>
      </c>
      <c r="L58" s="395">
        <v>1698</v>
      </c>
      <c r="M58" s="396" t="s">
        <v>3685</v>
      </c>
      <c r="N58" s="395"/>
      <c r="O58" s="396"/>
      <c r="P58" s="395"/>
      <c r="Q58" s="396"/>
      <c r="R58" s="395"/>
      <c r="S58" s="396"/>
      <c r="T58" s="354"/>
    </row>
    <row r="59" spans="3:20" ht="18.95" customHeight="1">
      <c r="C59" s="344" t="s">
        <v>2084</v>
      </c>
      <c r="D59" s="393" t="s">
        <v>459</v>
      </c>
      <c r="E59" s="393" t="s">
        <v>461</v>
      </c>
      <c r="F59" s="394" t="s">
        <v>265</v>
      </c>
      <c r="G59" s="357">
        <v>2480</v>
      </c>
      <c r="H59" s="395"/>
      <c r="I59" s="353"/>
      <c r="J59" s="395">
        <v>2480</v>
      </c>
      <c r="K59" s="396" t="s">
        <v>3372</v>
      </c>
      <c r="L59" s="395">
        <v>2631</v>
      </c>
      <c r="M59" s="396" t="s">
        <v>3685</v>
      </c>
      <c r="N59" s="395"/>
      <c r="O59" s="396"/>
      <c r="P59" s="395"/>
      <c r="Q59" s="396"/>
      <c r="R59" s="395"/>
      <c r="S59" s="396"/>
      <c r="T59" s="354"/>
    </row>
    <row r="60" spans="3:20" ht="18.95" customHeight="1">
      <c r="C60" s="344" t="s">
        <v>2087</v>
      </c>
      <c r="D60" s="393" t="s">
        <v>459</v>
      </c>
      <c r="E60" s="393" t="s">
        <v>462</v>
      </c>
      <c r="F60" s="394" t="s">
        <v>265</v>
      </c>
      <c r="G60" s="357">
        <v>3200</v>
      </c>
      <c r="H60" s="395"/>
      <c r="I60" s="353"/>
      <c r="J60" s="395">
        <v>3200</v>
      </c>
      <c r="K60" s="396" t="s">
        <v>3372</v>
      </c>
      <c r="L60" s="395">
        <v>3498</v>
      </c>
      <c r="M60" s="396" t="s">
        <v>3685</v>
      </c>
      <c r="N60" s="395"/>
      <c r="O60" s="396"/>
      <c r="P60" s="395"/>
      <c r="Q60" s="396"/>
      <c r="R60" s="395"/>
      <c r="S60" s="396"/>
      <c r="T60" s="354"/>
    </row>
    <row r="61" spans="3:20" ht="18.95" customHeight="1">
      <c r="C61" s="344" t="s">
        <v>2090</v>
      </c>
      <c r="D61" s="393" t="s">
        <v>512</v>
      </c>
      <c r="E61" s="393" t="s">
        <v>513</v>
      </c>
      <c r="F61" s="394" t="s">
        <v>265</v>
      </c>
      <c r="G61" s="357">
        <v>1345</v>
      </c>
      <c r="H61" s="395">
        <v>1345</v>
      </c>
      <c r="I61" s="353"/>
      <c r="J61" s="395">
        <v>1920</v>
      </c>
      <c r="K61" s="396" t="s">
        <v>3341</v>
      </c>
      <c r="L61" s="395">
        <v>1879</v>
      </c>
      <c r="M61" s="396" t="s">
        <v>3685</v>
      </c>
      <c r="N61" s="395"/>
      <c r="O61" s="396"/>
      <c r="P61" s="395"/>
      <c r="Q61" s="396"/>
      <c r="R61" s="395"/>
      <c r="S61" s="396"/>
      <c r="T61" s="354"/>
    </row>
    <row r="62" spans="3:20" ht="18.95" customHeight="1">
      <c r="C62" s="344" t="s">
        <v>2093</v>
      </c>
      <c r="D62" s="393" t="s">
        <v>514</v>
      </c>
      <c r="E62" s="393" t="s">
        <v>513</v>
      </c>
      <c r="F62" s="394" t="s">
        <v>265</v>
      </c>
      <c r="G62" s="357">
        <v>2440</v>
      </c>
      <c r="H62" s="395">
        <v>2440</v>
      </c>
      <c r="I62" s="353"/>
      <c r="J62" s="395">
        <v>4400</v>
      </c>
      <c r="K62" s="396" t="s">
        <v>3341</v>
      </c>
      <c r="L62" s="395">
        <v>3088</v>
      </c>
      <c r="M62" s="396" t="s">
        <v>3685</v>
      </c>
      <c r="N62" s="395"/>
      <c r="O62" s="396"/>
      <c r="P62" s="395"/>
      <c r="Q62" s="396"/>
      <c r="R62" s="395"/>
      <c r="S62" s="396"/>
      <c r="T62" s="354"/>
    </row>
    <row r="63" spans="3:20" ht="18.95" customHeight="1">
      <c r="C63" s="344" t="s">
        <v>1904</v>
      </c>
      <c r="D63" s="393" t="s">
        <v>1905</v>
      </c>
      <c r="E63" s="393" t="s">
        <v>1906</v>
      </c>
      <c r="F63" s="394" t="s">
        <v>265</v>
      </c>
      <c r="G63" s="357">
        <v>142100</v>
      </c>
      <c r="H63" s="395">
        <v>142100</v>
      </c>
      <c r="I63" s="353"/>
      <c r="J63" s="395">
        <v>240000</v>
      </c>
      <c r="K63" s="396" t="s">
        <v>3686</v>
      </c>
      <c r="L63" s="395"/>
      <c r="M63" s="396"/>
      <c r="N63" s="395"/>
      <c r="O63" s="396"/>
      <c r="P63" s="395"/>
      <c r="Q63" s="396"/>
      <c r="R63" s="395"/>
      <c r="S63" s="396"/>
      <c r="T63" s="354"/>
    </row>
    <row r="64" spans="3:20" ht="18.95" customHeight="1">
      <c r="C64" s="344" t="s">
        <v>1871</v>
      </c>
      <c r="D64" s="393" t="s">
        <v>337</v>
      </c>
      <c r="E64" s="393" t="s">
        <v>1872</v>
      </c>
      <c r="F64" s="394" t="s">
        <v>265</v>
      </c>
      <c r="G64" s="357">
        <v>3151</v>
      </c>
      <c r="H64" s="395">
        <v>3151</v>
      </c>
      <c r="I64" s="353"/>
      <c r="J64" s="395">
        <v>3900</v>
      </c>
      <c r="K64" s="396" t="s">
        <v>3687</v>
      </c>
      <c r="L64" s="395">
        <v>6500</v>
      </c>
      <c r="M64" s="396" t="s">
        <v>3688</v>
      </c>
      <c r="N64" s="395"/>
      <c r="O64" s="396"/>
      <c r="P64" s="395"/>
      <c r="Q64" s="396"/>
      <c r="R64" s="395"/>
      <c r="S64" s="396"/>
      <c r="T64" s="354"/>
    </row>
    <row r="65" spans="3:20" ht="18.95" customHeight="1">
      <c r="C65" s="344" t="s">
        <v>1894</v>
      </c>
      <c r="D65" s="393" t="s">
        <v>337</v>
      </c>
      <c r="E65" s="393" t="s">
        <v>1895</v>
      </c>
      <c r="F65" s="394" t="s">
        <v>265</v>
      </c>
      <c r="G65" s="357">
        <v>4770</v>
      </c>
      <c r="H65" s="395">
        <v>4770</v>
      </c>
      <c r="I65" s="353"/>
      <c r="J65" s="395">
        <v>6900</v>
      </c>
      <c r="K65" s="396" t="s">
        <v>3687</v>
      </c>
      <c r="L65" s="395">
        <v>10500</v>
      </c>
      <c r="M65" s="396" t="s">
        <v>3688</v>
      </c>
      <c r="N65" s="395"/>
      <c r="O65" s="396"/>
      <c r="P65" s="395"/>
      <c r="Q65" s="396"/>
      <c r="R65" s="395"/>
      <c r="S65" s="396"/>
      <c r="T65" s="354"/>
    </row>
    <row r="66" spans="3:20" ht="18.95" customHeight="1">
      <c r="C66" s="344" t="s">
        <v>1896</v>
      </c>
      <c r="D66" s="393" t="s">
        <v>1897</v>
      </c>
      <c r="E66" s="393" t="s">
        <v>1898</v>
      </c>
      <c r="F66" s="394" t="s">
        <v>265</v>
      </c>
      <c r="G66" s="357">
        <v>787</v>
      </c>
      <c r="H66" s="395">
        <v>787</v>
      </c>
      <c r="I66" s="353"/>
      <c r="J66" s="395">
        <v>1200</v>
      </c>
      <c r="K66" s="396" t="s">
        <v>3687</v>
      </c>
      <c r="L66" s="395"/>
      <c r="M66" s="396"/>
      <c r="N66" s="395"/>
      <c r="O66" s="396"/>
      <c r="P66" s="395"/>
      <c r="Q66" s="396"/>
      <c r="R66" s="395"/>
      <c r="S66" s="396"/>
      <c r="T66" s="354"/>
    </row>
    <row r="67" spans="3:20" ht="18.95" customHeight="1">
      <c r="C67" s="344" t="s">
        <v>1899</v>
      </c>
      <c r="D67" s="393" t="s">
        <v>1900</v>
      </c>
      <c r="E67" s="393" t="s">
        <v>1901</v>
      </c>
      <c r="F67" s="394" t="s">
        <v>265</v>
      </c>
      <c r="G67" s="357">
        <v>10500</v>
      </c>
      <c r="H67" s="395">
        <v>13100</v>
      </c>
      <c r="I67" s="353"/>
      <c r="J67" s="395">
        <v>10500</v>
      </c>
      <c r="K67" s="396" t="s">
        <v>3687</v>
      </c>
      <c r="L67" s="395"/>
      <c r="M67" s="396"/>
      <c r="N67" s="395"/>
      <c r="O67" s="396"/>
      <c r="P67" s="395"/>
      <c r="Q67" s="396"/>
      <c r="R67" s="395"/>
      <c r="S67" s="396"/>
      <c r="T67" s="354"/>
    </row>
    <row r="68" spans="3:20" ht="18.95" customHeight="1">
      <c r="C68" s="344" t="s">
        <v>2096</v>
      </c>
      <c r="D68" s="393" t="s">
        <v>354</v>
      </c>
      <c r="E68" s="393" t="s">
        <v>410</v>
      </c>
      <c r="F68" s="394" t="s">
        <v>265</v>
      </c>
      <c r="G68" s="357">
        <v>1340</v>
      </c>
      <c r="H68" s="395"/>
      <c r="I68" s="353"/>
      <c r="J68" s="395">
        <v>1340</v>
      </c>
      <c r="K68" s="396" t="s">
        <v>3689</v>
      </c>
      <c r="L68" s="395">
        <v>3367</v>
      </c>
      <c r="M68" s="396" t="s">
        <v>3690</v>
      </c>
      <c r="N68" s="395"/>
      <c r="O68" s="396"/>
      <c r="P68" s="395"/>
      <c r="Q68" s="396"/>
      <c r="R68" s="395"/>
      <c r="S68" s="396"/>
      <c r="T68" s="354"/>
    </row>
    <row r="69" spans="3:20" ht="18.95" customHeight="1">
      <c r="C69" s="344" t="s">
        <v>2099</v>
      </c>
      <c r="D69" s="393" t="s">
        <v>354</v>
      </c>
      <c r="E69" s="393" t="s">
        <v>411</v>
      </c>
      <c r="F69" s="394" t="s">
        <v>265</v>
      </c>
      <c r="G69" s="357">
        <v>2360</v>
      </c>
      <c r="H69" s="395"/>
      <c r="I69" s="353"/>
      <c r="J69" s="395">
        <v>2360</v>
      </c>
      <c r="K69" s="396" t="s">
        <v>3689</v>
      </c>
      <c r="L69" s="395">
        <v>4213</v>
      </c>
      <c r="M69" s="396" t="s">
        <v>3690</v>
      </c>
      <c r="N69" s="395"/>
      <c r="O69" s="396"/>
      <c r="P69" s="395"/>
      <c r="Q69" s="396"/>
      <c r="R69" s="395"/>
      <c r="S69" s="396"/>
      <c r="T69" s="354"/>
    </row>
    <row r="70" spans="3:20" ht="18.95" customHeight="1">
      <c r="C70" s="344" t="s">
        <v>2102</v>
      </c>
      <c r="D70" s="393" t="s">
        <v>354</v>
      </c>
      <c r="E70" s="393" t="s">
        <v>412</v>
      </c>
      <c r="F70" s="394" t="s">
        <v>265</v>
      </c>
      <c r="G70" s="357">
        <v>3210</v>
      </c>
      <c r="H70" s="395"/>
      <c r="I70" s="353"/>
      <c r="J70" s="395">
        <v>3210</v>
      </c>
      <c r="K70" s="396" t="s">
        <v>3689</v>
      </c>
      <c r="L70" s="395">
        <v>5473</v>
      </c>
      <c r="M70" s="396" t="s">
        <v>3690</v>
      </c>
      <c r="N70" s="395"/>
      <c r="O70" s="396"/>
      <c r="P70" s="395"/>
      <c r="Q70" s="396"/>
      <c r="R70" s="395"/>
      <c r="S70" s="396"/>
      <c r="T70" s="354"/>
    </row>
    <row r="71" spans="3:20" ht="18.95" customHeight="1">
      <c r="C71" s="344" t="s">
        <v>2105</v>
      </c>
      <c r="D71" s="393" t="s">
        <v>354</v>
      </c>
      <c r="E71" s="393" t="s">
        <v>355</v>
      </c>
      <c r="F71" s="394" t="s">
        <v>265</v>
      </c>
      <c r="G71" s="357">
        <v>4330</v>
      </c>
      <c r="H71" s="395"/>
      <c r="I71" s="353"/>
      <c r="J71" s="395">
        <v>4330</v>
      </c>
      <c r="K71" s="396" t="s">
        <v>3689</v>
      </c>
      <c r="L71" s="395">
        <v>8427</v>
      </c>
      <c r="M71" s="396" t="s">
        <v>3690</v>
      </c>
      <c r="N71" s="395"/>
      <c r="O71" s="396"/>
      <c r="P71" s="395"/>
      <c r="Q71" s="396"/>
      <c r="R71" s="395"/>
      <c r="S71" s="396"/>
      <c r="T71" s="354"/>
    </row>
    <row r="72" spans="3:20" ht="18.95" customHeight="1">
      <c r="C72" s="344" t="s">
        <v>2108</v>
      </c>
      <c r="D72" s="393" t="s">
        <v>542</v>
      </c>
      <c r="E72" s="393" t="s">
        <v>543</v>
      </c>
      <c r="F72" s="394" t="s">
        <v>265</v>
      </c>
      <c r="G72" s="357">
        <v>166</v>
      </c>
      <c r="H72" s="395">
        <v>166</v>
      </c>
      <c r="I72" s="353"/>
      <c r="J72" s="395">
        <v>300</v>
      </c>
      <c r="K72" s="396" t="s">
        <v>3689</v>
      </c>
      <c r="L72" s="395">
        <v>316</v>
      </c>
      <c r="M72" s="396" t="s">
        <v>3690</v>
      </c>
      <c r="N72" s="395"/>
      <c r="O72" s="396"/>
      <c r="P72" s="395"/>
      <c r="Q72" s="396"/>
      <c r="R72" s="395"/>
      <c r="S72" s="396"/>
      <c r="T72" s="354"/>
    </row>
    <row r="73" spans="3:20" ht="18.95" customHeight="1">
      <c r="C73" s="344" t="s">
        <v>2111</v>
      </c>
      <c r="D73" s="393" t="s">
        <v>276</v>
      </c>
      <c r="E73" s="393" t="s">
        <v>277</v>
      </c>
      <c r="F73" s="394" t="s">
        <v>255</v>
      </c>
      <c r="G73" s="357">
        <v>270</v>
      </c>
      <c r="H73" s="395"/>
      <c r="I73" s="353"/>
      <c r="J73" s="395"/>
      <c r="K73" s="396"/>
      <c r="L73" s="395">
        <v>270</v>
      </c>
      <c r="M73" s="396"/>
      <c r="N73" s="395"/>
      <c r="O73" s="396"/>
      <c r="P73" s="395"/>
      <c r="Q73" s="396"/>
      <c r="R73" s="395"/>
      <c r="S73" s="396"/>
      <c r="T73" s="354"/>
    </row>
    <row r="74" spans="3:20" ht="18.95" customHeight="1">
      <c r="C74" s="344" t="s">
        <v>1869</v>
      </c>
      <c r="D74" s="393" t="s">
        <v>1870</v>
      </c>
      <c r="E74" s="393" t="s">
        <v>357</v>
      </c>
      <c r="F74" s="394" t="s">
        <v>262</v>
      </c>
      <c r="G74" s="357">
        <v>220000</v>
      </c>
      <c r="H74" s="395"/>
      <c r="I74" s="353"/>
      <c r="J74" s="395"/>
      <c r="K74" s="396"/>
      <c r="L74" s="395">
        <v>220000</v>
      </c>
      <c r="M74" s="396" t="s">
        <v>3691</v>
      </c>
      <c r="N74" s="395"/>
      <c r="O74" s="396"/>
      <c r="P74" s="395"/>
      <c r="Q74" s="396"/>
      <c r="R74" s="395"/>
      <c r="S74" s="396"/>
      <c r="T74" s="354"/>
    </row>
    <row r="75" spans="3:20" ht="18.95" customHeight="1">
      <c r="C75" s="344" t="s">
        <v>1844</v>
      </c>
      <c r="D75" s="393" t="s">
        <v>1845</v>
      </c>
      <c r="E75" s="393" t="s">
        <v>1846</v>
      </c>
      <c r="F75" s="394" t="s">
        <v>265</v>
      </c>
      <c r="G75" s="357">
        <v>25</v>
      </c>
      <c r="H75" s="395"/>
      <c r="I75" s="353"/>
      <c r="J75" s="395">
        <v>25</v>
      </c>
      <c r="K75" s="396" t="s">
        <v>3692</v>
      </c>
      <c r="L75" s="395">
        <v>26</v>
      </c>
      <c r="M75" s="396" t="s">
        <v>3693</v>
      </c>
      <c r="N75" s="395"/>
      <c r="O75" s="396"/>
      <c r="P75" s="395"/>
      <c r="Q75" s="396"/>
      <c r="R75" s="395"/>
      <c r="S75" s="396"/>
      <c r="T75" s="354"/>
    </row>
    <row r="76" spans="3:20" ht="18.95" customHeight="1">
      <c r="C76" s="344" t="s">
        <v>1847</v>
      </c>
      <c r="D76" s="393" t="s">
        <v>1848</v>
      </c>
      <c r="E76" s="393" t="s">
        <v>1849</v>
      </c>
      <c r="F76" s="394" t="s">
        <v>291</v>
      </c>
      <c r="G76" s="357">
        <v>9</v>
      </c>
      <c r="H76" s="395"/>
      <c r="I76" s="353"/>
      <c r="J76" s="395">
        <v>13</v>
      </c>
      <c r="K76" s="396" t="s">
        <v>3694</v>
      </c>
      <c r="L76" s="395">
        <v>9</v>
      </c>
      <c r="M76" s="396" t="s">
        <v>3682</v>
      </c>
      <c r="N76" s="395"/>
      <c r="O76" s="396"/>
      <c r="P76" s="395"/>
      <c r="Q76" s="396"/>
      <c r="R76" s="395"/>
      <c r="S76" s="396"/>
      <c r="T76" s="354"/>
    </row>
    <row r="77" spans="3:20" ht="18.95" customHeight="1">
      <c r="C77" s="344" t="s">
        <v>2114</v>
      </c>
      <c r="D77" s="393" t="s">
        <v>289</v>
      </c>
      <c r="E77" s="393" t="s">
        <v>290</v>
      </c>
      <c r="F77" s="394" t="s">
        <v>291</v>
      </c>
      <c r="G77" s="357">
        <v>45000</v>
      </c>
      <c r="H77" s="395"/>
      <c r="I77" s="353"/>
      <c r="J77" s="395">
        <v>45000</v>
      </c>
      <c r="K77" s="396" t="s">
        <v>3695</v>
      </c>
      <c r="L77" s="395">
        <v>45000</v>
      </c>
      <c r="M77" s="396" t="s">
        <v>3696</v>
      </c>
      <c r="N77" s="395"/>
      <c r="O77" s="396"/>
      <c r="P77" s="395"/>
      <c r="Q77" s="396"/>
      <c r="R77" s="395"/>
      <c r="S77" s="396"/>
      <c r="T77" s="354"/>
    </row>
    <row r="78" spans="3:20" ht="18.95" customHeight="1">
      <c r="C78" s="344" t="s">
        <v>2117</v>
      </c>
      <c r="D78" s="393" t="s">
        <v>463</v>
      </c>
      <c r="E78" s="393" t="s">
        <v>464</v>
      </c>
      <c r="F78" s="394" t="s">
        <v>280</v>
      </c>
      <c r="G78" s="357"/>
      <c r="H78" s="395"/>
      <c r="I78" s="353"/>
      <c r="J78" s="395"/>
      <c r="K78" s="396"/>
      <c r="L78" s="395"/>
      <c r="M78" s="396"/>
      <c r="N78" s="395"/>
      <c r="O78" s="396"/>
      <c r="P78" s="395"/>
      <c r="Q78" s="396"/>
      <c r="R78" s="395"/>
      <c r="S78" s="396"/>
      <c r="T78" s="354"/>
    </row>
    <row r="79" spans="3:20" ht="18.95" customHeight="1">
      <c r="C79" s="344" t="s">
        <v>2120</v>
      </c>
      <c r="D79" s="393" t="s">
        <v>270</v>
      </c>
      <c r="E79" s="393" t="s">
        <v>272</v>
      </c>
      <c r="F79" s="394" t="s">
        <v>255</v>
      </c>
      <c r="G79" s="357">
        <v>2159</v>
      </c>
      <c r="H79" s="395">
        <v>2159</v>
      </c>
      <c r="I79" s="353"/>
      <c r="J79" s="395">
        <v>2697</v>
      </c>
      <c r="K79" s="396" t="s">
        <v>3369</v>
      </c>
      <c r="L79" s="395">
        <v>2534</v>
      </c>
      <c r="M79" s="396" t="s">
        <v>3684</v>
      </c>
      <c r="N79" s="395"/>
      <c r="O79" s="396"/>
      <c r="P79" s="395"/>
      <c r="Q79" s="396"/>
      <c r="R79" s="395"/>
      <c r="S79" s="396"/>
      <c r="T79" s="354"/>
    </row>
    <row r="80" spans="3:20" ht="18.95" customHeight="1">
      <c r="C80" s="344" t="s">
        <v>2123</v>
      </c>
      <c r="D80" s="393" t="s">
        <v>270</v>
      </c>
      <c r="E80" s="393" t="s">
        <v>273</v>
      </c>
      <c r="F80" s="394" t="s">
        <v>255</v>
      </c>
      <c r="G80" s="357">
        <v>2159</v>
      </c>
      <c r="H80" s="395">
        <v>2159</v>
      </c>
      <c r="I80" s="353"/>
      <c r="J80" s="395">
        <v>2697</v>
      </c>
      <c r="K80" s="396" t="s">
        <v>3369</v>
      </c>
      <c r="L80" s="395">
        <v>2534</v>
      </c>
      <c r="M80" s="396" t="s">
        <v>3684</v>
      </c>
      <c r="N80" s="395"/>
      <c r="O80" s="396"/>
      <c r="P80" s="395"/>
      <c r="Q80" s="396"/>
      <c r="R80" s="395"/>
      <c r="S80" s="396"/>
      <c r="T80" s="354"/>
    </row>
    <row r="81" spans="3:20" ht="18.95" customHeight="1">
      <c r="C81" s="344" t="s">
        <v>2126</v>
      </c>
      <c r="D81" s="393" t="s">
        <v>270</v>
      </c>
      <c r="E81" s="393" t="s">
        <v>271</v>
      </c>
      <c r="F81" s="394" t="s">
        <v>255</v>
      </c>
      <c r="G81" s="357">
        <v>1202</v>
      </c>
      <c r="H81" s="395">
        <v>1202</v>
      </c>
      <c r="I81" s="353"/>
      <c r="J81" s="395">
        <v>1316</v>
      </c>
      <c r="K81" s="396" t="s">
        <v>3369</v>
      </c>
      <c r="L81" s="395">
        <v>1705</v>
      </c>
      <c r="M81" s="396" t="s">
        <v>3684</v>
      </c>
      <c r="N81" s="395"/>
      <c r="O81" s="396"/>
      <c r="P81" s="395"/>
      <c r="Q81" s="396"/>
      <c r="R81" s="395"/>
      <c r="S81" s="396"/>
      <c r="T81" s="354"/>
    </row>
    <row r="82" spans="3:20" ht="18.95" customHeight="1">
      <c r="C82" s="344" t="s">
        <v>2129</v>
      </c>
      <c r="D82" s="393" t="s">
        <v>268</v>
      </c>
      <c r="E82" s="393" t="s">
        <v>269</v>
      </c>
      <c r="F82" s="394" t="s">
        <v>255</v>
      </c>
      <c r="G82" s="357">
        <v>787</v>
      </c>
      <c r="H82" s="395">
        <v>787</v>
      </c>
      <c r="I82" s="353"/>
      <c r="J82" s="395">
        <v>1256</v>
      </c>
      <c r="K82" s="396" t="s">
        <v>3369</v>
      </c>
      <c r="L82" s="395">
        <v>1125</v>
      </c>
      <c r="M82" s="396" t="s">
        <v>3448</v>
      </c>
      <c r="N82" s="395"/>
      <c r="O82" s="396"/>
      <c r="P82" s="395"/>
      <c r="Q82" s="396"/>
      <c r="R82" s="395"/>
      <c r="S82" s="396"/>
      <c r="T82" s="354"/>
    </row>
    <row r="83" spans="3:20" ht="18.95" customHeight="1">
      <c r="C83" s="344" t="s">
        <v>2132</v>
      </c>
      <c r="D83" s="393" t="s">
        <v>270</v>
      </c>
      <c r="E83" s="393" t="s">
        <v>352</v>
      </c>
      <c r="F83" s="394" t="s">
        <v>255</v>
      </c>
      <c r="G83" s="357">
        <v>27708</v>
      </c>
      <c r="H83" s="395">
        <v>27708</v>
      </c>
      <c r="I83" s="353"/>
      <c r="J83" s="395">
        <v>43188</v>
      </c>
      <c r="K83" s="396" t="s">
        <v>3369</v>
      </c>
      <c r="L83" s="395">
        <v>33305</v>
      </c>
      <c r="M83" s="396" t="s">
        <v>3684</v>
      </c>
      <c r="N83" s="395"/>
      <c r="O83" s="396"/>
      <c r="P83" s="395"/>
      <c r="Q83" s="396"/>
      <c r="R83" s="395"/>
      <c r="S83" s="396"/>
      <c r="T83" s="354"/>
    </row>
    <row r="84" spans="3:20" ht="18.95" customHeight="1">
      <c r="C84" s="344" t="s">
        <v>2135</v>
      </c>
      <c r="D84" s="393" t="s">
        <v>268</v>
      </c>
      <c r="E84" s="393" t="s">
        <v>537</v>
      </c>
      <c r="F84" s="394" t="s">
        <v>255</v>
      </c>
      <c r="G84" s="357">
        <v>1902</v>
      </c>
      <c r="H84" s="395">
        <v>1902</v>
      </c>
      <c r="I84" s="353"/>
      <c r="J84" s="395">
        <v>3053</v>
      </c>
      <c r="K84" s="396" t="s">
        <v>3369</v>
      </c>
      <c r="L84" s="395">
        <v>2589</v>
      </c>
      <c r="M84" s="396" t="s">
        <v>3448</v>
      </c>
      <c r="N84" s="395"/>
      <c r="O84" s="396"/>
      <c r="P84" s="395"/>
      <c r="Q84" s="396"/>
      <c r="R84" s="395"/>
      <c r="S84" s="396"/>
      <c r="T84" s="354"/>
    </row>
    <row r="85" spans="3:20" ht="18.95" customHeight="1">
      <c r="C85" s="344" t="s">
        <v>2138</v>
      </c>
      <c r="D85" s="393" t="s">
        <v>256</v>
      </c>
      <c r="E85" s="393" t="s">
        <v>257</v>
      </c>
      <c r="F85" s="394" t="s">
        <v>255</v>
      </c>
      <c r="G85" s="357">
        <v>305</v>
      </c>
      <c r="H85" s="395">
        <v>305</v>
      </c>
      <c r="I85" s="353"/>
      <c r="J85" s="395">
        <v>320</v>
      </c>
      <c r="K85" s="396" t="s">
        <v>3673</v>
      </c>
      <c r="L85" s="395">
        <v>437</v>
      </c>
      <c r="M85" s="396" t="s">
        <v>3671</v>
      </c>
      <c r="N85" s="395"/>
      <c r="O85" s="396"/>
      <c r="P85" s="395"/>
      <c r="Q85" s="396"/>
      <c r="R85" s="395"/>
      <c r="S85" s="396"/>
      <c r="T85" s="354"/>
    </row>
    <row r="86" spans="3:20" ht="18.95" customHeight="1">
      <c r="C86" s="344" t="s">
        <v>2141</v>
      </c>
      <c r="D86" s="393" t="s">
        <v>256</v>
      </c>
      <c r="E86" s="393" t="s">
        <v>258</v>
      </c>
      <c r="F86" s="394" t="s">
        <v>255</v>
      </c>
      <c r="G86" s="357">
        <v>409</v>
      </c>
      <c r="H86" s="395">
        <v>409</v>
      </c>
      <c r="I86" s="353"/>
      <c r="J86" s="395">
        <v>430</v>
      </c>
      <c r="K86" s="396" t="s">
        <v>3673</v>
      </c>
      <c r="L86" s="395">
        <v>552</v>
      </c>
      <c r="M86" s="396" t="s">
        <v>3671</v>
      </c>
      <c r="N86" s="395"/>
      <c r="O86" s="396"/>
      <c r="P86" s="395"/>
      <c r="Q86" s="396"/>
      <c r="R86" s="395"/>
      <c r="S86" s="396"/>
      <c r="T86" s="354"/>
    </row>
    <row r="87" spans="3:20" ht="18.95" customHeight="1">
      <c r="C87" s="344" t="s">
        <v>1024</v>
      </c>
      <c r="D87" s="393" t="s">
        <v>465</v>
      </c>
      <c r="E87" s="393" t="s">
        <v>466</v>
      </c>
      <c r="F87" s="394" t="s">
        <v>294</v>
      </c>
      <c r="G87" s="357">
        <v>90000</v>
      </c>
      <c r="H87" s="395"/>
      <c r="I87" s="353"/>
      <c r="J87" s="395"/>
      <c r="K87" s="396"/>
      <c r="L87" s="395">
        <v>90000</v>
      </c>
      <c r="M87" s="396" t="s">
        <v>3697</v>
      </c>
      <c r="N87" s="395">
        <v>91000</v>
      </c>
      <c r="O87" s="396" t="s">
        <v>3698</v>
      </c>
      <c r="P87" s="395">
        <v>92000</v>
      </c>
      <c r="Q87" s="396" t="s">
        <v>3699</v>
      </c>
      <c r="R87" s="395"/>
      <c r="S87" s="396"/>
      <c r="T87" s="354"/>
    </row>
    <row r="88" spans="3:20" ht="18.95" customHeight="1">
      <c r="C88" s="344" t="s">
        <v>1026</v>
      </c>
      <c r="D88" s="393" t="s">
        <v>467</v>
      </c>
      <c r="E88" s="393" t="s">
        <v>468</v>
      </c>
      <c r="F88" s="394" t="s">
        <v>294</v>
      </c>
      <c r="G88" s="357">
        <v>90000</v>
      </c>
      <c r="H88" s="395"/>
      <c r="I88" s="353"/>
      <c r="J88" s="395"/>
      <c r="K88" s="396"/>
      <c r="L88" s="395">
        <v>90000</v>
      </c>
      <c r="M88" s="396" t="s">
        <v>3697</v>
      </c>
      <c r="N88" s="395">
        <v>91000</v>
      </c>
      <c r="O88" s="396" t="s">
        <v>3698</v>
      </c>
      <c r="P88" s="395">
        <v>92000</v>
      </c>
      <c r="Q88" s="396" t="s">
        <v>3699</v>
      </c>
      <c r="R88" s="395"/>
      <c r="S88" s="396"/>
      <c r="T88" s="354"/>
    </row>
    <row r="89" spans="3:20" ht="18.95" customHeight="1">
      <c r="C89" s="344" t="s">
        <v>1028</v>
      </c>
      <c r="D89" s="393" t="s">
        <v>469</v>
      </c>
      <c r="E89" s="393" t="s">
        <v>470</v>
      </c>
      <c r="F89" s="394" t="s">
        <v>294</v>
      </c>
      <c r="G89" s="357">
        <v>400000</v>
      </c>
      <c r="H89" s="395"/>
      <c r="I89" s="353"/>
      <c r="J89" s="395"/>
      <c r="K89" s="396"/>
      <c r="L89" s="395">
        <v>400000</v>
      </c>
      <c r="M89" s="396" t="s">
        <v>3697</v>
      </c>
      <c r="N89" s="395">
        <v>420000</v>
      </c>
      <c r="O89" s="396" t="s">
        <v>3698</v>
      </c>
      <c r="P89" s="395">
        <v>430000</v>
      </c>
      <c r="Q89" s="396" t="s">
        <v>3699</v>
      </c>
      <c r="R89" s="395"/>
      <c r="S89" s="396"/>
      <c r="T89" s="354"/>
    </row>
    <row r="90" spans="3:20" ht="18.95" customHeight="1">
      <c r="C90" s="344" t="s">
        <v>1030</v>
      </c>
      <c r="D90" s="393" t="s">
        <v>471</v>
      </c>
      <c r="E90" s="393" t="s">
        <v>472</v>
      </c>
      <c r="F90" s="394" t="s">
        <v>294</v>
      </c>
      <c r="G90" s="357">
        <v>95000</v>
      </c>
      <c r="H90" s="395"/>
      <c r="I90" s="353"/>
      <c r="J90" s="395"/>
      <c r="K90" s="396"/>
      <c r="L90" s="395">
        <v>95000</v>
      </c>
      <c r="M90" s="396" t="s">
        <v>3697</v>
      </c>
      <c r="N90" s="395">
        <v>100000</v>
      </c>
      <c r="O90" s="396" t="s">
        <v>3698</v>
      </c>
      <c r="P90" s="395">
        <v>120000</v>
      </c>
      <c r="Q90" s="396" t="s">
        <v>3699</v>
      </c>
      <c r="R90" s="395"/>
      <c r="S90" s="396"/>
      <c r="T90" s="354"/>
    </row>
    <row r="91" spans="3:20" ht="18.95" customHeight="1">
      <c r="C91" s="344" t="s">
        <v>1032</v>
      </c>
      <c r="D91" s="393" t="s">
        <v>473</v>
      </c>
      <c r="E91" s="393" t="s">
        <v>474</v>
      </c>
      <c r="F91" s="394" t="s">
        <v>294</v>
      </c>
      <c r="G91" s="357">
        <v>37000</v>
      </c>
      <c r="H91" s="395"/>
      <c r="I91" s="353"/>
      <c r="J91" s="395"/>
      <c r="K91" s="396"/>
      <c r="L91" s="395">
        <v>37000</v>
      </c>
      <c r="M91" s="396" t="s">
        <v>3697</v>
      </c>
      <c r="N91" s="395">
        <v>38500</v>
      </c>
      <c r="O91" s="396" t="s">
        <v>3698</v>
      </c>
      <c r="P91" s="395">
        <v>40000</v>
      </c>
      <c r="Q91" s="396" t="s">
        <v>3699</v>
      </c>
      <c r="R91" s="395"/>
      <c r="S91" s="396"/>
      <c r="T91" s="354"/>
    </row>
    <row r="92" spans="3:20" ht="18.95" customHeight="1">
      <c r="C92" s="344" t="s">
        <v>1034</v>
      </c>
      <c r="D92" s="393" t="s">
        <v>475</v>
      </c>
      <c r="E92" s="393" t="s">
        <v>476</v>
      </c>
      <c r="F92" s="394" t="s">
        <v>294</v>
      </c>
      <c r="G92" s="357">
        <v>35000</v>
      </c>
      <c r="H92" s="395"/>
      <c r="I92" s="353"/>
      <c r="J92" s="395"/>
      <c r="K92" s="396"/>
      <c r="L92" s="395">
        <v>35000</v>
      </c>
      <c r="M92" s="396" t="s">
        <v>3697</v>
      </c>
      <c r="N92" s="395">
        <v>35500</v>
      </c>
      <c r="O92" s="396" t="s">
        <v>3698</v>
      </c>
      <c r="P92" s="395">
        <v>38000</v>
      </c>
      <c r="Q92" s="396" t="s">
        <v>3699</v>
      </c>
      <c r="R92" s="395"/>
      <c r="S92" s="396"/>
      <c r="T92" s="354"/>
    </row>
    <row r="93" spans="3:20" ht="18.95" customHeight="1">
      <c r="C93" s="344" t="s">
        <v>1036</v>
      </c>
      <c r="D93" s="393" t="s">
        <v>292</v>
      </c>
      <c r="E93" s="393" t="s">
        <v>293</v>
      </c>
      <c r="F93" s="394" t="s">
        <v>294</v>
      </c>
      <c r="G93" s="357">
        <v>2000000</v>
      </c>
      <c r="H93" s="395"/>
      <c r="I93" s="353"/>
      <c r="J93" s="395">
        <v>2000000</v>
      </c>
      <c r="K93" s="396" t="s">
        <v>3697</v>
      </c>
      <c r="L93" s="395">
        <v>2100000</v>
      </c>
      <c r="M93" s="396" t="s">
        <v>3698</v>
      </c>
      <c r="N93" s="395">
        <v>2070000</v>
      </c>
      <c r="O93" s="396" t="s">
        <v>3700</v>
      </c>
      <c r="P93" s="395">
        <v>2250000</v>
      </c>
      <c r="Q93" s="396" t="s">
        <v>3701</v>
      </c>
      <c r="R93" s="395"/>
      <c r="S93" s="396"/>
      <c r="T93" s="354"/>
    </row>
    <row r="94" spans="3:20" ht="18.95" customHeight="1">
      <c r="C94" s="344" t="s">
        <v>1038</v>
      </c>
      <c r="D94" s="393" t="s">
        <v>295</v>
      </c>
      <c r="E94" s="393" t="s">
        <v>296</v>
      </c>
      <c r="F94" s="394" t="s">
        <v>294</v>
      </c>
      <c r="G94" s="357">
        <v>450000</v>
      </c>
      <c r="H94" s="395"/>
      <c r="I94" s="353"/>
      <c r="J94" s="395">
        <v>450000</v>
      </c>
      <c r="K94" s="396" t="s">
        <v>3697</v>
      </c>
      <c r="L94" s="395">
        <v>480000</v>
      </c>
      <c r="M94" s="396" t="s">
        <v>3698</v>
      </c>
      <c r="N94" s="395">
        <v>495000</v>
      </c>
      <c r="O94" s="396" t="s">
        <v>3702</v>
      </c>
      <c r="P94" s="395">
        <v>558000</v>
      </c>
      <c r="Q94" s="396" t="s">
        <v>3700</v>
      </c>
      <c r="R94" s="395"/>
      <c r="S94" s="396"/>
      <c r="T94" s="354"/>
    </row>
    <row r="95" spans="3:20" ht="18.95" customHeight="1">
      <c r="C95" s="344" t="s">
        <v>1013</v>
      </c>
      <c r="D95" s="393" t="s">
        <v>418</v>
      </c>
      <c r="E95" s="393" t="s">
        <v>419</v>
      </c>
      <c r="F95" s="394" t="s">
        <v>321</v>
      </c>
      <c r="G95" s="357">
        <v>902889</v>
      </c>
      <c r="H95" s="395"/>
      <c r="I95" s="353"/>
      <c r="J95" s="395"/>
      <c r="K95" s="396"/>
      <c r="L95" s="395">
        <v>934484</v>
      </c>
      <c r="M95" s="396" t="s">
        <v>3703</v>
      </c>
      <c r="N95" s="395">
        <v>929970</v>
      </c>
      <c r="O95" s="396" t="s">
        <v>3704</v>
      </c>
      <c r="P95" s="395">
        <v>902889</v>
      </c>
      <c r="Q95" s="396" t="s">
        <v>3705</v>
      </c>
      <c r="R95" s="395"/>
      <c r="S95" s="396"/>
      <c r="T95" s="354"/>
    </row>
    <row r="96" spans="3:20" ht="18.95" customHeight="1">
      <c r="C96" s="344" t="s">
        <v>1015</v>
      </c>
      <c r="D96" s="393" t="s">
        <v>418</v>
      </c>
      <c r="E96" s="393" t="s">
        <v>420</v>
      </c>
      <c r="F96" s="394" t="s">
        <v>321</v>
      </c>
      <c r="G96" s="357">
        <v>16168502</v>
      </c>
      <c r="H96" s="395"/>
      <c r="I96" s="353"/>
      <c r="J96" s="395"/>
      <c r="K96" s="396"/>
      <c r="L96" s="395">
        <v>16734192</v>
      </c>
      <c r="M96" s="396" t="s">
        <v>3703</v>
      </c>
      <c r="N96" s="395">
        <v>16653381</v>
      </c>
      <c r="O96" s="396" t="s">
        <v>3704</v>
      </c>
      <c r="P96" s="395">
        <v>16168502</v>
      </c>
      <c r="Q96" s="396" t="s">
        <v>3705</v>
      </c>
      <c r="R96" s="395"/>
      <c r="S96" s="396"/>
      <c r="T96" s="354"/>
    </row>
    <row r="97" spans="3:20" ht="18.95" customHeight="1">
      <c r="C97" s="344" t="s">
        <v>1017</v>
      </c>
      <c r="D97" s="393" t="s">
        <v>418</v>
      </c>
      <c r="E97" s="393" t="s">
        <v>421</v>
      </c>
      <c r="F97" s="394" t="s">
        <v>321</v>
      </c>
      <c r="G97" s="357">
        <v>6831523</v>
      </c>
      <c r="H97" s="395"/>
      <c r="I97" s="353"/>
      <c r="J97" s="395"/>
      <c r="K97" s="396"/>
      <c r="L97" s="395">
        <v>7070548</v>
      </c>
      <c r="M97" s="396" t="s">
        <v>3703</v>
      </c>
      <c r="N97" s="395">
        <v>7036389</v>
      </c>
      <c r="O97" s="396" t="s">
        <v>3704</v>
      </c>
      <c r="P97" s="395">
        <v>6831523</v>
      </c>
      <c r="Q97" s="396" t="s">
        <v>3705</v>
      </c>
      <c r="R97" s="395"/>
      <c r="S97" s="396"/>
      <c r="T97" s="354"/>
    </row>
    <row r="98" spans="3:20" ht="18.95" customHeight="1">
      <c r="C98" s="344" t="s">
        <v>1002</v>
      </c>
      <c r="D98" s="393" t="s">
        <v>544</v>
      </c>
      <c r="E98" s="393" t="s">
        <v>545</v>
      </c>
      <c r="F98" s="394" t="s">
        <v>212</v>
      </c>
      <c r="G98" s="357">
        <v>202198403</v>
      </c>
      <c r="H98" s="395"/>
      <c r="I98" s="353"/>
      <c r="J98" s="395"/>
      <c r="K98" s="396"/>
      <c r="L98" s="397">
        <v>202198403</v>
      </c>
      <c r="M98" s="398" t="s">
        <v>3706</v>
      </c>
      <c r="N98" s="397">
        <v>206644000</v>
      </c>
      <c r="O98" s="398" t="s">
        <v>3703</v>
      </c>
      <c r="P98" s="397">
        <v>258300000</v>
      </c>
      <c r="Q98" s="398" t="s">
        <v>3707</v>
      </c>
      <c r="R98" s="395"/>
      <c r="S98" s="396"/>
      <c r="T98" s="354"/>
    </row>
    <row r="99" spans="3:20" ht="18.95" customHeight="1">
      <c r="C99" s="344" t="s">
        <v>2168</v>
      </c>
      <c r="D99" s="393" t="s">
        <v>270</v>
      </c>
      <c r="E99" s="393" t="s">
        <v>353</v>
      </c>
      <c r="F99" s="394" t="s">
        <v>255</v>
      </c>
      <c r="G99" s="357">
        <v>3786</v>
      </c>
      <c r="H99" s="395">
        <v>3786</v>
      </c>
      <c r="I99" s="353"/>
      <c r="J99" s="395">
        <v>4980</v>
      </c>
      <c r="K99" s="396" t="s">
        <v>3369</v>
      </c>
      <c r="L99" s="395">
        <v>5002</v>
      </c>
      <c r="M99" s="396" t="s">
        <v>3684</v>
      </c>
      <c r="N99" s="395"/>
      <c r="O99" s="396"/>
      <c r="P99" s="395"/>
      <c r="Q99" s="396"/>
      <c r="R99" s="395"/>
      <c r="S99" s="396"/>
      <c r="T99" s="354"/>
    </row>
    <row r="100" spans="3:20" ht="18.95" customHeight="1">
      <c r="C100" s="344" t="s">
        <v>2171</v>
      </c>
      <c r="D100" s="393" t="s">
        <v>256</v>
      </c>
      <c r="E100" s="393" t="s">
        <v>259</v>
      </c>
      <c r="F100" s="394" t="s">
        <v>255</v>
      </c>
      <c r="G100" s="357">
        <v>872</v>
      </c>
      <c r="H100" s="395">
        <v>872</v>
      </c>
      <c r="I100" s="353"/>
      <c r="J100" s="395">
        <v>960</v>
      </c>
      <c r="K100" s="396" t="s">
        <v>3673</v>
      </c>
      <c r="L100" s="395">
        <v>1127</v>
      </c>
      <c r="M100" s="396" t="s">
        <v>3671</v>
      </c>
      <c r="N100" s="395"/>
      <c r="O100" s="396"/>
      <c r="P100" s="395"/>
      <c r="Q100" s="396"/>
      <c r="R100" s="395"/>
      <c r="S100" s="396"/>
      <c r="T100" s="354"/>
    </row>
    <row r="101" spans="3:20" ht="18.95" customHeight="1">
      <c r="C101" s="344" t="s">
        <v>2175</v>
      </c>
      <c r="D101" s="393" t="s">
        <v>270</v>
      </c>
      <c r="E101" s="393" t="s">
        <v>274</v>
      </c>
      <c r="F101" s="394" t="s">
        <v>255</v>
      </c>
      <c r="G101" s="357">
        <v>2159</v>
      </c>
      <c r="H101" s="395">
        <v>2159</v>
      </c>
      <c r="I101" s="353"/>
      <c r="J101" s="395">
        <v>2697</v>
      </c>
      <c r="K101" s="396" t="s">
        <v>3369</v>
      </c>
      <c r="L101" s="395">
        <v>2534</v>
      </c>
      <c r="M101" s="396" t="s">
        <v>3684</v>
      </c>
      <c r="N101" s="395"/>
      <c r="O101" s="396"/>
      <c r="P101" s="395"/>
      <c r="Q101" s="396"/>
      <c r="R101" s="395"/>
      <c r="S101" s="396"/>
      <c r="T101" s="354"/>
    </row>
    <row r="102" spans="3:20" ht="18.95" customHeight="1">
      <c r="C102" s="344" t="s">
        <v>2178</v>
      </c>
      <c r="D102" s="393" t="s">
        <v>270</v>
      </c>
      <c r="E102" s="393" t="s">
        <v>275</v>
      </c>
      <c r="F102" s="394" t="s">
        <v>255</v>
      </c>
      <c r="G102" s="357">
        <v>2159</v>
      </c>
      <c r="H102" s="395">
        <v>2159</v>
      </c>
      <c r="I102" s="353"/>
      <c r="J102" s="395">
        <v>2697</v>
      </c>
      <c r="K102" s="396" t="s">
        <v>3369</v>
      </c>
      <c r="L102" s="395">
        <v>2534</v>
      </c>
      <c r="M102" s="396" t="s">
        <v>3684</v>
      </c>
      <c r="N102" s="395"/>
      <c r="O102" s="396"/>
      <c r="P102" s="395"/>
      <c r="Q102" s="396"/>
      <c r="R102" s="395"/>
      <c r="S102" s="396"/>
      <c r="T102" s="354"/>
    </row>
    <row r="103" spans="3:20" ht="18.95" customHeight="1">
      <c r="C103" s="344" t="s">
        <v>1866</v>
      </c>
      <c r="D103" s="393" t="s">
        <v>1867</v>
      </c>
      <c r="E103" s="393" t="s">
        <v>1868</v>
      </c>
      <c r="F103" s="394" t="s">
        <v>262</v>
      </c>
      <c r="G103" s="357">
        <v>370000</v>
      </c>
      <c r="H103" s="395"/>
      <c r="I103" s="353"/>
      <c r="J103" s="395">
        <v>540000</v>
      </c>
      <c r="K103" s="396" t="s">
        <v>3288</v>
      </c>
      <c r="L103" s="395">
        <v>370000</v>
      </c>
      <c r="M103" s="396" t="s">
        <v>3691</v>
      </c>
      <c r="N103" s="395"/>
      <c r="O103" s="396"/>
      <c r="P103" s="395"/>
      <c r="Q103" s="396"/>
      <c r="R103" s="395"/>
      <c r="S103" s="396"/>
      <c r="T103" s="354"/>
    </row>
    <row r="104" spans="3:20" ht="18.95" customHeight="1">
      <c r="C104" s="344" t="s">
        <v>2181</v>
      </c>
      <c r="D104" s="393" t="s">
        <v>270</v>
      </c>
      <c r="E104" s="393" t="s">
        <v>538</v>
      </c>
      <c r="F104" s="394" t="s">
        <v>255</v>
      </c>
      <c r="G104" s="357">
        <v>1640</v>
      </c>
      <c r="H104" s="395">
        <v>1640</v>
      </c>
      <c r="I104" s="353"/>
      <c r="J104" s="395">
        <v>1880</v>
      </c>
      <c r="K104" s="396" t="s">
        <v>3369</v>
      </c>
      <c r="L104" s="395">
        <v>2174</v>
      </c>
      <c r="M104" s="396" t="s">
        <v>3684</v>
      </c>
      <c r="N104" s="395"/>
      <c r="O104" s="396"/>
      <c r="P104" s="395"/>
      <c r="Q104" s="396"/>
      <c r="R104" s="395"/>
      <c r="S104" s="396"/>
      <c r="T104" s="354"/>
    </row>
    <row r="105" spans="3:20" ht="18.95" customHeight="1">
      <c r="C105" s="344" t="s">
        <v>2184</v>
      </c>
      <c r="D105" s="393" t="s">
        <v>270</v>
      </c>
      <c r="E105" s="393" t="s">
        <v>539</v>
      </c>
      <c r="F105" s="394" t="s">
        <v>255</v>
      </c>
      <c r="G105" s="357">
        <v>17671</v>
      </c>
      <c r="H105" s="395">
        <v>17671</v>
      </c>
      <c r="I105" s="353"/>
      <c r="J105" s="395">
        <v>26268</v>
      </c>
      <c r="K105" s="396" t="s">
        <v>3369</v>
      </c>
      <c r="L105" s="395">
        <v>22565</v>
      </c>
      <c r="M105" s="396" t="s">
        <v>3684</v>
      </c>
      <c r="N105" s="395"/>
      <c r="O105" s="396"/>
      <c r="P105" s="395"/>
      <c r="Q105" s="396"/>
      <c r="R105" s="395"/>
      <c r="S105" s="396"/>
      <c r="T105" s="354"/>
    </row>
    <row r="106" spans="3:20" ht="18.95" customHeight="1">
      <c r="C106" s="344" t="s">
        <v>2187</v>
      </c>
      <c r="D106" s="393" t="s">
        <v>256</v>
      </c>
      <c r="E106" s="393" t="s">
        <v>534</v>
      </c>
      <c r="F106" s="394" t="s">
        <v>255</v>
      </c>
      <c r="G106" s="357">
        <v>305</v>
      </c>
      <c r="H106" s="395">
        <v>305</v>
      </c>
      <c r="I106" s="353"/>
      <c r="J106" s="395">
        <v>320</v>
      </c>
      <c r="K106" s="396" t="s">
        <v>3673</v>
      </c>
      <c r="L106" s="395">
        <v>437</v>
      </c>
      <c r="M106" s="396" t="s">
        <v>3671</v>
      </c>
      <c r="N106" s="395"/>
      <c r="O106" s="396"/>
      <c r="P106" s="395"/>
      <c r="Q106" s="396"/>
      <c r="R106" s="395"/>
      <c r="S106" s="396"/>
      <c r="T106" s="354"/>
    </row>
    <row r="107" spans="3:20" ht="18.95" customHeight="1">
      <c r="C107" s="344" t="s">
        <v>2190</v>
      </c>
      <c r="D107" s="393" t="s">
        <v>256</v>
      </c>
      <c r="E107" s="393" t="s">
        <v>535</v>
      </c>
      <c r="F107" s="394" t="s">
        <v>255</v>
      </c>
      <c r="G107" s="357">
        <v>872</v>
      </c>
      <c r="H107" s="395">
        <v>872</v>
      </c>
      <c r="I107" s="353"/>
      <c r="J107" s="395">
        <v>960</v>
      </c>
      <c r="K107" s="396" t="s">
        <v>3673</v>
      </c>
      <c r="L107" s="395">
        <v>1127</v>
      </c>
      <c r="M107" s="396" t="s">
        <v>3671</v>
      </c>
      <c r="N107" s="395"/>
      <c r="O107" s="396"/>
      <c r="P107" s="395"/>
      <c r="Q107" s="396"/>
      <c r="R107" s="395"/>
      <c r="S107" s="396"/>
      <c r="T107" s="354"/>
    </row>
    <row r="108" spans="3:20" ht="18.95" customHeight="1">
      <c r="C108" s="344" t="s">
        <v>1920</v>
      </c>
      <c r="D108" s="393" t="s">
        <v>1921</v>
      </c>
      <c r="E108" s="393" t="s">
        <v>284</v>
      </c>
      <c r="F108" s="394" t="s">
        <v>265</v>
      </c>
      <c r="G108" s="357">
        <v>100000</v>
      </c>
      <c r="H108" s="395"/>
      <c r="I108" s="353"/>
      <c r="J108" s="395">
        <v>100000</v>
      </c>
      <c r="K108" s="396" t="s">
        <v>3686</v>
      </c>
      <c r="L108" s="395"/>
      <c r="M108" s="396"/>
      <c r="N108" s="395"/>
      <c r="O108" s="396"/>
      <c r="P108" s="395"/>
      <c r="Q108" s="396"/>
      <c r="R108" s="395"/>
      <c r="S108" s="396"/>
      <c r="T108" s="354"/>
    </row>
    <row r="109" spans="3:20" ht="18.95" customHeight="1">
      <c r="C109" s="344" t="s">
        <v>2193</v>
      </c>
      <c r="D109" s="393" t="s">
        <v>540</v>
      </c>
      <c r="E109" s="393" t="s">
        <v>541</v>
      </c>
      <c r="F109" s="394" t="s">
        <v>255</v>
      </c>
      <c r="G109" s="357">
        <v>262</v>
      </c>
      <c r="H109" s="395">
        <v>262</v>
      </c>
      <c r="I109" s="353"/>
      <c r="J109" s="395">
        <v>470</v>
      </c>
      <c r="K109" s="396" t="s">
        <v>3708</v>
      </c>
      <c r="L109" s="395">
        <v>1100</v>
      </c>
      <c r="M109" s="396" t="s">
        <v>3709</v>
      </c>
      <c r="N109" s="395"/>
      <c r="O109" s="396"/>
      <c r="P109" s="395"/>
      <c r="Q109" s="396"/>
      <c r="R109" s="395"/>
      <c r="S109" s="396"/>
      <c r="T109" s="354"/>
    </row>
    <row r="110" spans="3:20" ht="18.95" customHeight="1">
      <c r="C110" s="344" t="s">
        <v>1006</v>
      </c>
      <c r="D110" s="393" t="s">
        <v>547</v>
      </c>
      <c r="E110" s="393" t="s">
        <v>548</v>
      </c>
      <c r="F110" s="394" t="s">
        <v>212</v>
      </c>
      <c r="G110" s="357">
        <v>1070000</v>
      </c>
      <c r="H110" s="395"/>
      <c r="I110" s="353"/>
      <c r="J110" s="395"/>
      <c r="K110" s="396"/>
      <c r="L110" s="395"/>
      <c r="M110" s="396"/>
      <c r="N110" s="395"/>
      <c r="O110" s="396"/>
      <c r="P110" s="395"/>
      <c r="Q110" s="396"/>
      <c r="R110" s="395"/>
      <c r="S110" s="396"/>
      <c r="T110" s="354"/>
    </row>
    <row r="111" spans="3:20" ht="18.95" customHeight="1">
      <c r="C111" s="344" t="s">
        <v>1009</v>
      </c>
      <c r="D111" s="393" t="s">
        <v>547</v>
      </c>
      <c r="E111" s="393" t="s">
        <v>549</v>
      </c>
      <c r="F111" s="394" t="s">
        <v>212</v>
      </c>
      <c r="G111" s="357">
        <v>776708</v>
      </c>
      <c r="H111" s="395"/>
      <c r="I111" s="353"/>
      <c r="J111" s="395"/>
      <c r="K111" s="396"/>
      <c r="L111" s="395"/>
      <c r="M111" s="396"/>
      <c r="N111" s="395"/>
      <c r="O111" s="396"/>
      <c r="P111" s="395"/>
      <c r="Q111" s="396"/>
      <c r="R111" s="395"/>
      <c r="S111" s="396"/>
      <c r="T111" s="354"/>
    </row>
    <row r="112" spans="3:20" ht="18.95" customHeight="1">
      <c r="C112" s="344" t="s">
        <v>1021</v>
      </c>
      <c r="D112" s="393" t="s">
        <v>550</v>
      </c>
      <c r="E112" s="393" t="s">
        <v>551</v>
      </c>
      <c r="F112" s="394" t="s">
        <v>212</v>
      </c>
      <c r="G112" s="357">
        <v>530000</v>
      </c>
      <c r="H112" s="395"/>
      <c r="I112" s="353"/>
      <c r="J112" s="395"/>
      <c r="K112" s="396"/>
      <c r="L112" s="395"/>
      <c r="M112" s="396"/>
      <c r="N112" s="395"/>
      <c r="O112" s="396"/>
      <c r="P112" s="395"/>
      <c r="Q112" s="396"/>
      <c r="R112" s="395"/>
      <c r="S112" s="396"/>
      <c r="T112" s="354"/>
    </row>
    <row r="113" spans="3:20" ht="18.95" customHeight="1">
      <c r="C113" s="344" t="s">
        <v>1041</v>
      </c>
      <c r="D113" s="393" t="s">
        <v>566</v>
      </c>
      <c r="E113" s="393" t="s">
        <v>548</v>
      </c>
      <c r="F113" s="394" t="s">
        <v>212</v>
      </c>
      <c r="G113" s="357">
        <v>925678</v>
      </c>
      <c r="H113" s="395"/>
      <c r="I113" s="353"/>
      <c r="J113" s="395"/>
      <c r="K113" s="396"/>
      <c r="L113" s="395"/>
      <c r="M113" s="396"/>
      <c r="N113" s="395"/>
      <c r="O113" s="396"/>
      <c r="P113" s="395"/>
      <c r="Q113" s="396"/>
      <c r="R113" s="395"/>
      <c r="S113" s="396"/>
      <c r="T113" s="354"/>
    </row>
    <row r="114" spans="3:20" ht="18.95" customHeight="1">
      <c r="C114" s="344" t="s">
        <v>1875</v>
      </c>
      <c r="D114" s="393" t="s">
        <v>285</v>
      </c>
      <c r="E114" s="393" t="s">
        <v>286</v>
      </c>
      <c r="F114" s="394" t="s">
        <v>287</v>
      </c>
      <c r="G114" s="357" t="s">
        <v>3710</v>
      </c>
      <c r="H114" s="395">
        <v>377</v>
      </c>
      <c r="I114" s="353" t="s">
        <v>3711</v>
      </c>
      <c r="J114" s="395">
        <v>909</v>
      </c>
      <c r="K114" s="396" t="s">
        <v>3712</v>
      </c>
      <c r="L114" s="395">
        <v>473</v>
      </c>
      <c r="M114" s="396" t="s">
        <v>3710</v>
      </c>
      <c r="N114" s="395"/>
      <c r="O114" s="396"/>
      <c r="P114" s="395"/>
      <c r="Q114" s="396"/>
      <c r="R114" s="395"/>
      <c r="S114" s="396"/>
      <c r="T114" s="354"/>
    </row>
    <row r="115" spans="3:20" ht="18.95" customHeight="1">
      <c r="C115" s="344" t="s">
        <v>1878</v>
      </c>
      <c r="D115" s="393" t="s">
        <v>288</v>
      </c>
      <c r="E115" s="393" t="s">
        <v>286</v>
      </c>
      <c r="F115" s="394" t="s">
        <v>287</v>
      </c>
      <c r="G115" s="357" t="s">
        <v>3710</v>
      </c>
      <c r="H115" s="395">
        <v>377</v>
      </c>
      <c r="I115" s="353" t="s">
        <v>3711</v>
      </c>
      <c r="J115" s="395">
        <v>909</v>
      </c>
      <c r="K115" s="396" t="s">
        <v>3712</v>
      </c>
      <c r="L115" s="395">
        <v>473</v>
      </c>
      <c r="M115" s="396" t="s">
        <v>3710</v>
      </c>
      <c r="N115" s="395"/>
      <c r="O115" s="396"/>
      <c r="P115" s="395"/>
      <c r="Q115" s="396"/>
      <c r="R115" s="395"/>
      <c r="S115" s="396"/>
      <c r="T115" s="354"/>
    </row>
    <row r="116" spans="3:20" ht="18.95" customHeight="1">
      <c r="C116" s="344" t="s">
        <v>1879</v>
      </c>
      <c r="D116" s="393" t="s">
        <v>1880</v>
      </c>
      <c r="E116" s="393" t="s">
        <v>1881</v>
      </c>
      <c r="F116" s="394" t="s">
        <v>1882</v>
      </c>
      <c r="G116" s="357" t="s">
        <v>3710</v>
      </c>
      <c r="H116" s="395">
        <v>272</v>
      </c>
      <c r="I116" s="353" t="s">
        <v>3711</v>
      </c>
      <c r="J116" s="395">
        <v>579</v>
      </c>
      <c r="K116" s="396" t="s">
        <v>3712</v>
      </c>
      <c r="L116" s="395">
        <v>342</v>
      </c>
      <c r="M116" s="396" t="s">
        <v>3710</v>
      </c>
      <c r="N116" s="395"/>
      <c r="O116" s="396"/>
      <c r="P116" s="395"/>
      <c r="Q116" s="396"/>
      <c r="R116" s="395"/>
      <c r="S116" s="396"/>
      <c r="T116" s="354"/>
    </row>
    <row r="117" spans="3:20" ht="18.95" customHeight="1">
      <c r="C117" s="344" t="s">
        <v>1915</v>
      </c>
      <c r="D117" s="393" t="s">
        <v>1880</v>
      </c>
      <c r="E117" s="393" t="s">
        <v>1916</v>
      </c>
      <c r="F117" s="394" t="s">
        <v>1882</v>
      </c>
      <c r="G117" s="357" t="s">
        <v>3710</v>
      </c>
      <c r="H117" s="395">
        <v>235</v>
      </c>
      <c r="I117" s="353" t="s">
        <v>3711</v>
      </c>
      <c r="J117" s="395">
        <v>661</v>
      </c>
      <c r="K117" s="396" t="s">
        <v>3712</v>
      </c>
      <c r="L117" s="395">
        <v>855</v>
      </c>
      <c r="M117" s="396" t="s">
        <v>3710</v>
      </c>
      <c r="N117" s="395"/>
      <c r="O117" s="396"/>
      <c r="P117" s="395"/>
      <c r="Q117" s="396"/>
      <c r="R117" s="395"/>
      <c r="S117" s="396"/>
      <c r="T117" s="354"/>
    </row>
    <row r="118" spans="3:20" ht="18.95" customHeight="1">
      <c r="C118" s="344" t="s">
        <v>1907</v>
      </c>
      <c r="D118" s="393" t="s">
        <v>1908</v>
      </c>
      <c r="E118" s="393" t="s">
        <v>1909</v>
      </c>
      <c r="F118" s="394" t="s">
        <v>1882</v>
      </c>
      <c r="G118" s="357" t="s">
        <v>3710</v>
      </c>
      <c r="H118" s="395">
        <v>79</v>
      </c>
      <c r="I118" s="353" t="s">
        <v>3711</v>
      </c>
      <c r="J118" s="395">
        <v>429</v>
      </c>
      <c r="K118" s="396" t="s">
        <v>3712</v>
      </c>
      <c r="L118" s="395">
        <v>209</v>
      </c>
      <c r="M118" s="396" t="s">
        <v>3710</v>
      </c>
      <c r="N118" s="395"/>
      <c r="O118" s="396"/>
      <c r="P118" s="395"/>
      <c r="Q118" s="396"/>
      <c r="R118" s="395"/>
      <c r="S118" s="396"/>
      <c r="T118" s="354"/>
    </row>
    <row r="119" spans="3:20" ht="18.95" customHeight="1">
      <c r="C119" s="344" t="s">
        <v>1910</v>
      </c>
      <c r="D119" s="393" t="s">
        <v>1821</v>
      </c>
      <c r="E119" s="393" t="s">
        <v>1911</v>
      </c>
      <c r="F119" s="394" t="s">
        <v>1882</v>
      </c>
      <c r="G119" s="357" t="s">
        <v>3710</v>
      </c>
      <c r="H119" s="395">
        <v>19</v>
      </c>
      <c r="I119" s="353" t="s">
        <v>3711</v>
      </c>
      <c r="J119" s="395">
        <v>369</v>
      </c>
      <c r="K119" s="396" t="s">
        <v>3712</v>
      </c>
      <c r="L119" s="395">
        <v>8</v>
      </c>
      <c r="M119" s="396" t="s">
        <v>3710</v>
      </c>
      <c r="N119" s="395"/>
      <c r="O119" s="396"/>
      <c r="P119" s="395"/>
      <c r="Q119" s="396"/>
      <c r="R119" s="395"/>
      <c r="S119" s="396"/>
      <c r="T119" s="354"/>
    </row>
    <row r="120" spans="3:20" ht="18.95" customHeight="1">
      <c r="C120" s="344" t="s">
        <v>1850</v>
      </c>
      <c r="D120" s="393" t="s">
        <v>1664</v>
      </c>
      <c r="E120" s="393" t="s">
        <v>1851</v>
      </c>
      <c r="F120" s="394" t="s">
        <v>1852</v>
      </c>
      <c r="G120" s="357">
        <v>258917</v>
      </c>
      <c r="H120" s="395"/>
      <c r="I120" s="353"/>
      <c r="J120" s="395"/>
      <c r="K120" s="396"/>
      <c r="L120" s="395"/>
      <c r="M120" s="396"/>
      <c r="N120" s="395"/>
      <c r="O120" s="396"/>
      <c r="P120" s="395"/>
      <c r="Q120" s="396"/>
      <c r="R120" s="395"/>
      <c r="S120" s="396"/>
      <c r="T120" s="354"/>
    </row>
    <row r="121" spans="3:20" ht="18.95" customHeight="1">
      <c r="C121" s="344" t="s">
        <v>1991</v>
      </c>
      <c r="D121" s="393" t="s">
        <v>1664</v>
      </c>
      <c r="E121" s="393" t="s">
        <v>1992</v>
      </c>
      <c r="F121" s="394" t="s">
        <v>1852</v>
      </c>
      <c r="G121" s="357">
        <v>271717</v>
      </c>
      <c r="H121" s="395"/>
      <c r="I121" s="353"/>
      <c r="J121" s="395"/>
      <c r="K121" s="396"/>
      <c r="L121" s="395"/>
      <c r="M121" s="396"/>
      <c r="N121" s="395"/>
      <c r="O121" s="396"/>
      <c r="P121" s="395"/>
      <c r="Q121" s="396"/>
      <c r="R121" s="395"/>
      <c r="S121" s="396"/>
      <c r="T121" s="354"/>
    </row>
    <row r="122" spans="3:20" ht="18.95" customHeight="1">
      <c r="C122" s="344" t="s">
        <v>2002</v>
      </c>
      <c r="D122" s="393" t="s">
        <v>1664</v>
      </c>
      <c r="E122" s="393" t="s">
        <v>2003</v>
      </c>
      <c r="F122" s="394" t="s">
        <v>1852</v>
      </c>
      <c r="G122" s="357">
        <v>398124</v>
      </c>
      <c r="H122" s="395"/>
      <c r="I122" s="353"/>
      <c r="J122" s="395"/>
      <c r="K122" s="396"/>
      <c r="L122" s="395"/>
      <c r="M122" s="396"/>
      <c r="N122" s="395"/>
      <c r="O122" s="396"/>
      <c r="P122" s="395"/>
      <c r="Q122" s="396"/>
      <c r="R122" s="395"/>
      <c r="S122" s="396"/>
      <c r="T122" s="354"/>
    </row>
    <row r="123" spans="3:20" ht="18.95" customHeight="1">
      <c r="C123" s="344" t="s">
        <v>1968</v>
      </c>
      <c r="D123" s="393" t="s">
        <v>1664</v>
      </c>
      <c r="E123" s="393" t="s">
        <v>1969</v>
      </c>
      <c r="F123" s="394" t="s">
        <v>1852</v>
      </c>
      <c r="G123" s="357">
        <v>379666</v>
      </c>
      <c r="H123" s="395"/>
      <c r="I123" s="353"/>
      <c r="J123" s="395"/>
      <c r="K123" s="396"/>
      <c r="L123" s="395"/>
      <c r="M123" s="396"/>
      <c r="N123" s="395"/>
      <c r="O123" s="396"/>
      <c r="P123" s="395"/>
      <c r="Q123" s="396"/>
      <c r="R123" s="395"/>
      <c r="S123" s="396"/>
      <c r="T123" s="354"/>
    </row>
    <row r="124" spans="3:20" ht="18.95" customHeight="1">
      <c r="C124" s="344" t="s">
        <v>2194</v>
      </c>
      <c r="D124" s="393" t="s">
        <v>1664</v>
      </c>
      <c r="E124" s="393" t="s">
        <v>2195</v>
      </c>
      <c r="F124" s="394" t="s">
        <v>1852</v>
      </c>
      <c r="G124" s="357">
        <v>364905</v>
      </c>
      <c r="H124" s="395"/>
      <c r="I124" s="353"/>
      <c r="J124" s="395"/>
      <c r="K124" s="396"/>
      <c r="L124" s="395"/>
      <c r="M124" s="396"/>
      <c r="N124" s="395"/>
      <c r="O124" s="396"/>
      <c r="P124" s="395"/>
      <c r="Q124" s="396"/>
      <c r="R124" s="395"/>
      <c r="S124" s="396"/>
      <c r="T124" s="354"/>
    </row>
    <row r="125" spans="3:20" ht="18.95" customHeight="1">
      <c r="C125" s="344" t="s">
        <v>1888</v>
      </c>
      <c r="D125" s="393" t="s">
        <v>1664</v>
      </c>
      <c r="E125" s="393" t="s">
        <v>1889</v>
      </c>
      <c r="F125" s="394" t="s">
        <v>1852</v>
      </c>
      <c r="G125" s="357">
        <v>148510</v>
      </c>
      <c r="H125" s="395"/>
      <c r="I125" s="353"/>
      <c r="J125" s="395"/>
      <c r="K125" s="396"/>
      <c r="L125" s="395"/>
      <c r="M125" s="396"/>
      <c r="N125" s="395"/>
      <c r="O125" s="396"/>
      <c r="P125" s="395"/>
      <c r="Q125" s="396"/>
      <c r="R125" s="395"/>
      <c r="S125" s="396"/>
      <c r="T125" s="354"/>
    </row>
    <row r="126" spans="3:20" ht="18.95" customHeight="1">
      <c r="C126" s="344" t="s">
        <v>1890</v>
      </c>
      <c r="D126" s="393" t="s">
        <v>1664</v>
      </c>
      <c r="E126" s="393" t="s">
        <v>1891</v>
      </c>
      <c r="F126" s="394" t="s">
        <v>1852</v>
      </c>
      <c r="G126" s="357">
        <v>187435</v>
      </c>
      <c r="H126" s="395"/>
      <c r="I126" s="353"/>
      <c r="J126" s="395"/>
      <c r="K126" s="396"/>
      <c r="L126" s="395"/>
      <c r="M126" s="396"/>
      <c r="N126" s="395"/>
      <c r="O126" s="396"/>
      <c r="P126" s="395"/>
      <c r="Q126" s="396"/>
      <c r="R126" s="395"/>
      <c r="S126" s="396"/>
      <c r="T126" s="354"/>
    </row>
    <row r="127" spans="3:20" ht="18.95" customHeight="1">
      <c r="D127" s="393"/>
      <c r="E127" s="393"/>
      <c r="F127" s="394"/>
      <c r="G127" s="357"/>
      <c r="H127" s="395"/>
      <c r="I127" s="353"/>
      <c r="J127" s="395"/>
      <c r="K127" s="396"/>
      <c r="L127" s="395"/>
      <c r="M127" s="396"/>
      <c r="N127" s="395"/>
      <c r="O127" s="396"/>
      <c r="P127" s="395"/>
      <c r="Q127" s="396"/>
      <c r="R127" s="395"/>
      <c r="S127" s="396"/>
      <c r="T127" s="354"/>
    </row>
    <row r="128" spans="3:20" ht="18.95" customHeight="1">
      <c r="D128" s="393"/>
      <c r="E128" s="393"/>
      <c r="F128" s="394"/>
      <c r="G128" s="357"/>
      <c r="H128" s="395"/>
      <c r="I128" s="353"/>
      <c r="J128" s="395"/>
      <c r="K128" s="396"/>
      <c r="L128" s="395"/>
      <c r="M128" s="396"/>
      <c r="N128" s="395"/>
      <c r="O128" s="396"/>
      <c r="P128" s="395"/>
      <c r="Q128" s="396"/>
      <c r="R128" s="395"/>
      <c r="S128" s="396"/>
      <c r="T128" s="354"/>
    </row>
    <row r="129" spans="4:20" ht="18.95" customHeight="1">
      <c r="D129" s="393"/>
      <c r="E129" s="393"/>
      <c r="F129" s="394"/>
      <c r="G129" s="357"/>
      <c r="H129" s="395"/>
      <c r="I129" s="353"/>
      <c r="J129" s="395"/>
      <c r="K129" s="396"/>
      <c r="L129" s="395"/>
      <c r="M129" s="396"/>
      <c r="N129" s="395"/>
      <c r="O129" s="396"/>
      <c r="P129" s="395"/>
      <c r="Q129" s="396"/>
      <c r="R129" s="395"/>
      <c r="S129" s="396"/>
      <c r="T129" s="354"/>
    </row>
    <row r="130" spans="4:20" ht="18.95" customHeight="1">
      <c r="D130" s="393"/>
      <c r="E130" s="393"/>
      <c r="F130" s="394"/>
      <c r="G130" s="357"/>
      <c r="H130" s="395"/>
      <c r="I130" s="353"/>
      <c r="J130" s="395"/>
      <c r="K130" s="396"/>
      <c r="L130" s="395"/>
      <c r="M130" s="396"/>
      <c r="N130" s="395"/>
      <c r="O130" s="396"/>
      <c r="P130" s="395"/>
      <c r="Q130" s="396"/>
      <c r="R130" s="395"/>
      <c r="S130" s="396"/>
      <c r="T130" s="354"/>
    </row>
    <row r="131" spans="4:20" ht="18.95" customHeight="1">
      <c r="D131" s="393"/>
      <c r="E131" s="393"/>
      <c r="F131" s="394"/>
      <c r="G131" s="357"/>
      <c r="H131" s="395"/>
      <c r="I131" s="353"/>
      <c r="J131" s="395"/>
      <c r="K131" s="396"/>
      <c r="L131" s="395"/>
      <c r="M131" s="396"/>
      <c r="N131" s="395"/>
      <c r="O131" s="396"/>
      <c r="P131" s="395"/>
      <c r="Q131" s="396"/>
      <c r="R131" s="395"/>
      <c r="S131" s="396"/>
      <c r="T131" s="354"/>
    </row>
    <row r="132" spans="4:20" ht="18.95" customHeight="1">
      <c r="D132" s="393"/>
      <c r="E132" s="393"/>
      <c r="F132" s="394"/>
      <c r="G132" s="357"/>
      <c r="H132" s="395"/>
      <c r="I132" s="353"/>
      <c r="J132" s="395"/>
      <c r="K132" s="396"/>
      <c r="L132" s="395"/>
      <c r="M132" s="396"/>
      <c r="N132" s="395"/>
      <c r="O132" s="396"/>
      <c r="P132" s="395"/>
      <c r="Q132" s="396"/>
      <c r="R132" s="395"/>
      <c r="S132" s="396"/>
      <c r="T132" s="354"/>
    </row>
    <row r="133" spans="4:20" ht="18.95" customHeight="1">
      <c r="D133" s="393"/>
      <c r="E133" s="393"/>
      <c r="F133" s="394"/>
      <c r="G133" s="357"/>
      <c r="H133" s="395"/>
      <c r="I133" s="353"/>
      <c r="J133" s="395"/>
      <c r="K133" s="396"/>
      <c r="L133" s="395"/>
      <c r="M133" s="396"/>
      <c r="N133" s="395"/>
      <c r="O133" s="396"/>
      <c r="P133" s="395"/>
      <c r="Q133" s="396"/>
      <c r="R133" s="395"/>
      <c r="S133" s="396"/>
      <c r="T133" s="354"/>
    </row>
    <row r="134" spans="4:20" ht="18.95" customHeight="1">
      <c r="D134" s="393"/>
      <c r="E134" s="393"/>
      <c r="F134" s="394"/>
      <c r="G134" s="357"/>
      <c r="H134" s="395"/>
      <c r="I134" s="353"/>
      <c r="J134" s="395"/>
      <c r="K134" s="396"/>
      <c r="L134" s="395"/>
      <c r="M134" s="396"/>
      <c r="N134" s="395"/>
      <c r="O134" s="396"/>
      <c r="P134" s="395"/>
      <c r="Q134" s="396"/>
      <c r="R134" s="395"/>
      <c r="S134" s="396"/>
      <c r="T134" s="354"/>
    </row>
    <row r="135" spans="4:20" ht="18.95" customHeight="1">
      <c r="D135" s="393"/>
      <c r="E135" s="393"/>
      <c r="F135" s="394"/>
      <c r="G135" s="357"/>
      <c r="H135" s="395"/>
      <c r="I135" s="353"/>
      <c r="J135" s="395"/>
      <c r="K135" s="396"/>
      <c r="L135" s="395"/>
      <c r="M135" s="396"/>
      <c r="N135" s="395"/>
      <c r="O135" s="396"/>
      <c r="P135" s="395"/>
      <c r="Q135" s="396"/>
      <c r="R135" s="395"/>
      <c r="S135" s="396"/>
      <c r="T135" s="354"/>
    </row>
    <row r="136" spans="4:20" ht="18.95" customHeight="1">
      <c r="D136" s="393"/>
      <c r="E136" s="393"/>
      <c r="F136" s="394"/>
      <c r="G136" s="357"/>
      <c r="H136" s="395"/>
      <c r="I136" s="353"/>
      <c r="J136" s="395"/>
      <c r="K136" s="396"/>
      <c r="L136" s="395"/>
      <c r="M136" s="396"/>
      <c r="N136" s="395"/>
      <c r="O136" s="396"/>
      <c r="P136" s="395"/>
      <c r="Q136" s="396"/>
      <c r="R136" s="395"/>
      <c r="S136" s="396"/>
      <c r="T136" s="354"/>
    </row>
    <row r="137" spans="4:20" ht="18.95" customHeight="1">
      <c r="D137" s="393"/>
      <c r="E137" s="393"/>
      <c r="F137" s="394"/>
      <c r="G137" s="357"/>
      <c r="H137" s="395"/>
      <c r="I137" s="353"/>
      <c r="J137" s="395"/>
      <c r="K137" s="396"/>
      <c r="L137" s="395"/>
      <c r="M137" s="396"/>
      <c r="N137" s="395"/>
      <c r="O137" s="396"/>
      <c r="P137" s="395"/>
      <c r="Q137" s="396"/>
      <c r="R137" s="395"/>
      <c r="S137" s="396"/>
      <c r="T137" s="354"/>
    </row>
    <row r="138" spans="4:20" ht="18.95" customHeight="1">
      <c r="D138" s="393"/>
      <c r="E138" s="393"/>
      <c r="F138" s="394"/>
      <c r="G138" s="357"/>
      <c r="H138" s="395"/>
      <c r="I138" s="353"/>
      <c r="J138" s="395"/>
      <c r="K138" s="396"/>
      <c r="L138" s="395"/>
      <c r="M138" s="396"/>
      <c r="N138" s="395"/>
      <c r="O138" s="396"/>
      <c r="P138" s="395"/>
      <c r="Q138" s="396"/>
      <c r="R138" s="395"/>
      <c r="S138" s="396"/>
      <c r="T138" s="354"/>
    </row>
    <row r="139" spans="4:20" ht="18.95" customHeight="1">
      <c r="D139" s="393"/>
      <c r="E139" s="393"/>
      <c r="F139" s="394"/>
      <c r="G139" s="357"/>
      <c r="H139" s="395"/>
      <c r="I139" s="353"/>
      <c r="J139" s="395"/>
      <c r="K139" s="396"/>
      <c r="L139" s="395"/>
      <c r="M139" s="396"/>
      <c r="N139" s="395"/>
      <c r="O139" s="396"/>
      <c r="P139" s="395"/>
      <c r="Q139" s="396"/>
      <c r="R139" s="395"/>
      <c r="S139" s="396"/>
      <c r="T139" s="354"/>
    </row>
    <row r="140" spans="4:20" ht="18.95" customHeight="1">
      <c r="D140" s="393"/>
      <c r="E140" s="393"/>
      <c r="F140" s="394"/>
      <c r="G140" s="357"/>
      <c r="H140" s="395"/>
      <c r="I140" s="353"/>
      <c r="J140" s="395"/>
      <c r="K140" s="396"/>
      <c r="L140" s="395"/>
      <c r="M140" s="396"/>
      <c r="N140" s="395"/>
      <c r="O140" s="396"/>
      <c r="P140" s="395"/>
      <c r="Q140" s="396"/>
      <c r="R140" s="395"/>
      <c r="S140" s="396"/>
      <c r="T140" s="354"/>
    </row>
    <row r="141" spans="4:20" ht="18.95" customHeight="1">
      <c r="D141" s="393"/>
      <c r="E141" s="393"/>
      <c r="F141" s="394"/>
      <c r="G141" s="357"/>
      <c r="H141" s="395"/>
      <c r="I141" s="353"/>
      <c r="J141" s="395"/>
      <c r="K141" s="396"/>
      <c r="L141" s="395"/>
      <c r="M141" s="396"/>
      <c r="N141" s="395"/>
      <c r="O141" s="396"/>
      <c r="P141" s="395"/>
      <c r="Q141" s="396"/>
      <c r="R141" s="395"/>
      <c r="S141" s="396"/>
      <c r="T141" s="354"/>
    </row>
    <row r="142" spans="4:20" ht="18.95" customHeight="1">
      <c r="D142" s="393"/>
      <c r="E142" s="393"/>
      <c r="F142" s="394"/>
      <c r="G142" s="357"/>
      <c r="H142" s="395"/>
      <c r="I142" s="353"/>
      <c r="J142" s="395"/>
      <c r="K142" s="396"/>
      <c r="L142" s="395"/>
      <c r="M142" s="396"/>
      <c r="N142" s="395"/>
      <c r="O142" s="396"/>
      <c r="P142" s="395"/>
      <c r="Q142" s="396"/>
      <c r="R142" s="395"/>
      <c r="S142" s="396"/>
      <c r="T142" s="354"/>
    </row>
    <row r="143" spans="4:20" ht="18.95" customHeight="1">
      <c r="D143" s="393"/>
      <c r="E143" s="393"/>
      <c r="F143" s="394"/>
      <c r="G143" s="357"/>
      <c r="H143" s="395"/>
      <c r="I143" s="353"/>
      <c r="J143" s="395"/>
      <c r="K143" s="396"/>
      <c r="L143" s="395"/>
      <c r="M143" s="396"/>
      <c r="N143" s="395"/>
      <c r="O143" s="396"/>
      <c r="P143" s="395"/>
      <c r="Q143" s="396"/>
      <c r="R143" s="395"/>
      <c r="S143" s="396"/>
      <c r="T143" s="354"/>
    </row>
    <row r="144" spans="4:20" ht="18.95" customHeight="1">
      <c r="D144" s="393"/>
      <c r="E144" s="393"/>
      <c r="F144" s="394"/>
      <c r="G144" s="357"/>
      <c r="H144" s="395"/>
      <c r="I144" s="353"/>
      <c r="J144" s="395"/>
      <c r="K144" s="396"/>
      <c r="L144" s="395"/>
      <c r="M144" s="396"/>
      <c r="N144" s="395"/>
      <c r="O144" s="396"/>
      <c r="P144" s="395"/>
      <c r="Q144" s="396"/>
      <c r="R144" s="395"/>
      <c r="S144" s="396"/>
      <c r="T144" s="354"/>
    </row>
    <row r="145" spans="4:20" ht="18.95" customHeight="1">
      <c r="D145" s="393"/>
      <c r="E145" s="393"/>
      <c r="F145" s="394"/>
      <c r="G145" s="357"/>
      <c r="H145" s="395"/>
      <c r="I145" s="353"/>
      <c r="J145" s="395"/>
      <c r="K145" s="396"/>
      <c r="L145" s="395"/>
      <c r="M145" s="396"/>
      <c r="N145" s="395"/>
      <c r="O145" s="396"/>
      <c r="P145" s="395"/>
      <c r="Q145" s="396"/>
      <c r="R145" s="395"/>
      <c r="S145" s="396"/>
      <c r="T145" s="354"/>
    </row>
    <row r="146" spans="4:20" ht="18.95" customHeight="1">
      <c r="D146" s="393"/>
      <c r="E146" s="393"/>
      <c r="F146" s="394"/>
      <c r="G146" s="357"/>
      <c r="H146" s="395"/>
      <c r="I146" s="353"/>
      <c r="J146" s="395"/>
      <c r="K146" s="396"/>
      <c r="L146" s="395"/>
      <c r="M146" s="396"/>
      <c r="N146" s="395"/>
      <c r="O146" s="396"/>
      <c r="P146" s="395"/>
      <c r="Q146" s="396"/>
      <c r="R146" s="395"/>
      <c r="S146" s="396"/>
      <c r="T146" s="354"/>
    </row>
    <row r="147" spans="4:20" ht="18.95" customHeight="1">
      <c r="D147" s="393"/>
      <c r="E147" s="393"/>
      <c r="F147" s="394"/>
      <c r="G147" s="357"/>
      <c r="H147" s="395"/>
      <c r="I147" s="353"/>
      <c r="J147" s="395"/>
      <c r="K147" s="396"/>
      <c r="L147" s="395"/>
      <c r="M147" s="396"/>
      <c r="N147" s="395"/>
      <c r="O147" s="396"/>
      <c r="P147" s="395"/>
      <c r="Q147" s="396"/>
      <c r="R147" s="395"/>
      <c r="S147" s="396"/>
      <c r="T147" s="354"/>
    </row>
    <row r="148" spans="4:20" ht="18.95" customHeight="1">
      <c r="D148" s="393"/>
      <c r="E148" s="393"/>
      <c r="F148" s="394"/>
      <c r="G148" s="357"/>
      <c r="H148" s="395"/>
      <c r="I148" s="353"/>
      <c r="J148" s="395"/>
      <c r="K148" s="396"/>
      <c r="L148" s="395"/>
      <c r="M148" s="396"/>
      <c r="N148" s="395"/>
      <c r="O148" s="396"/>
      <c r="P148" s="395"/>
      <c r="Q148" s="396"/>
      <c r="R148" s="395"/>
      <c r="S148" s="396"/>
      <c r="T148" s="354"/>
    </row>
    <row r="149" spans="4:20" ht="18.95" customHeight="1">
      <c r="D149" s="393"/>
      <c r="E149" s="393"/>
      <c r="F149" s="394"/>
      <c r="G149" s="357"/>
      <c r="H149" s="395"/>
      <c r="I149" s="353"/>
      <c r="J149" s="395"/>
      <c r="K149" s="396"/>
      <c r="L149" s="395"/>
      <c r="M149" s="396"/>
      <c r="N149" s="395"/>
      <c r="O149" s="396"/>
      <c r="P149" s="395"/>
      <c r="Q149" s="396"/>
      <c r="R149" s="395"/>
      <c r="S149" s="396"/>
      <c r="T149" s="354"/>
    </row>
    <row r="150" spans="4:20" ht="18.95" customHeight="1">
      <c r="D150" s="393"/>
      <c r="E150" s="393"/>
      <c r="F150" s="394"/>
      <c r="G150" s="357"/>
      <c r="H150" s="395"/>
      <c r="I150" s="353"/>
      <c r="J150" s="395"/>
      <c r="K150" s="396"/>
      <c r="L150" s="395"/>
      <c r="M150" s="396"/>
      <c r="N150" s="395"/>
      <c r="O150" s="396"/>
      <c r="P150" s="395"/>
      <c r="Q150" s="396"/>
      <c r="R150" s="395"/>
      <c r="S150" s="396"/>
      <c r="T150" s="354"/>
    </row>
    <row r="151" spans="4:20" ht="18.95" customHeight="1">
      <c r="D151" s="393"/>
      <c r="E151" s="393"/>
      <c r="F151" s="394"/>
      <c r="G151" s="357"/>
      <c r="H151" s="395"/>
      <c r="I151" s="353"/>
      <c r="J151" s="395"/>
      <c r="K151" s="396"/>
      <c r="L151" s="395"/>
      <c r="M151" s="396"/>
      <c r="N151" s="395"/>
      <c r="O151" s="396"/>
      <c r="P151" s="395"/>
      <c r="Q151" s="396"/>
      <c r="R151" s="395"/>
      <c r="S151" s="396"/>
      <c r="T151" s="354"/>
    </row>
    <row r="152" spans="4:20" ht="18.95" customHeight="1">
      <c r="D152" s="393"/>
      <c r="E152" s="393"/>
      <c r="F152" s="394"/>
      <c r="G152" s="357"/>
      <c r="H152" s="395"/>
      <c r="I152" s="353"/>
      <c r="J152" s="395"/>
      <c r="K152" s="396"/>
      <c r="L152" s="395"/>
      <c r="M152" s="396"/>
      <c r="N152" s="395"/>
      <c r="O152" s="396"/>
      <c r="P152" s="395"/>
      <c r="Q152" s="396"/>
      <c r="R152" s="395"/>
      <c r="S152" s="396"/>
      <c r="T152" s="354"/>
    </row>
    <row r="153" spans="4:20" ht="18.95" customHeight="1">
      <c r="D153" s="393"/>
      <c r="E153" s="393"/>
      <c r="F153" s="394"/>
      <c r="G153" s="357"/>
      <c r="H153" s="395"/>
      <c r="I153" s="353"/>
      <c r="J153" s="395"/>
      <c r="K153" s="396"/>
      <c r="L153" s="395"/>
      <c r="M153" s="396"/>
      <c r="N153" s="395"/>
      <c r="O153" s="396"/>
      <c r="P153" s="395"/>
      <c r="Q153" s="396"/>
      <c r="R153" s="395"/>
      <c r="S153" s="396"/>
      <c r="T153" s="354"/>
    </row>
  </sheetData>
  <mergeCells count="15">
    <mergeCell ref="R2:S2"/>
    <mergeCell ref="T2:T3"/>
    <mergeCell ref="D1:K1"/>
    <mergeCell ref="L1:P1"/>
    <mergeCell ref="A2:A3"/>
    <mergeCell ref="B2:B3"/>
    <mergeCell ref="C2:C3"/>
    <mergeCell ref="D2:D3"/>
    <mergeCell ref="E2:E3"/>
    <mergeCell ref="F2:F3"/>
    <mergeCell ref="G2:G3"/>
    <mergeCell ref="J2:K2"/>
    <mergeCell ref="L2:M2"/>
    <mergeCell ref="N2:O2"/>
    <mergeCell ref="P2:Q2"/>
  </mergeCells>
  <phoneticPr fontId="1" type="noConversion"/>
  <printOptions horizontalCentered="1" verticalCentered="1"/>
  <pageMargins left="0.74803149606299213" right="0.35433070866141736" top="0.59055118110236227" bottom="0.59055118110236227" header="0.51181102362204722" footer="0.47244094488188981"/>
  <pageSetup paperSize="9" scale="8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F5768-33E0-468D-8CD0-90DB083F4CD1}">
  <dimension ref="A1:M51"/>
  <sheetViews>
    <sheetView showZeros="0" view="pageBreakPreview" zoomScaleNormal="100" zoomScaleSheetLayoutView="100" workbookViewId="0">
      <selection sqref="A1:F1"/>
    </sheetView>
  </sheetViews>
  <sheetFormatPr defaultRowHeight="13.5"/>
  <cols>
    <col min="1" max="1" width="40.625" style="365" customWidth="1"/>
    <col min="2" max="2" width="17" style="347" bestFit="1" customWidth="1"/>
    <col min="3" max="6" width="17" style="347" customWidth="1"/>
    <col min="7" max="7" width="9.75" style="347" customWidth="1"/>
    <col min="8" max="8" width="9.875" style="347" customWidth="1"/>
    <col min="9" max="16384" width="9" style="347"/>
  </cols>
  <sheetData>
    <row r="1" spans="1:13" ht="14.25" thickBot="1">
      <c r="A1" s="401" t="s">
        <v>1493</v>
      </c>
      <c r="B1" s="402" t="s">
        <v>201</v>
      </c>
      <c r="C1" s="402" t="s">
        <v>202</v>
      </c>
      <c r="D1" s="402" t="s">
        <v>203</v>
      </c>
      <c r="E1" s="402" t="s">
        <v>1493</v>
      </c>
      <c r="F1" s="403" t="s">
        <v>204</v>
      </c>
      <c r="H1" s="404"/>
    </row>
    <row r="2" spans="1:13">
      <c r="A2" s="405" t="s">
        <v>3713</v>
      </c>
      <c r="B2" s="406" t="e">
        <f>#REF!</f>
        <v>#REF!</v>
      </c>
      <c r="C2" s="406" t="e">
        <f>#REF!</f>
        <v>#REF!</v>
      </c>
      <c r="D2" s="406" t="e">
        <f>#REF!</f>
        <v>#REF!</v>
      </c>
      <c r="E2" s="406"/>
      <c r="F2" s="406" t="e">
        <f t="shared" ref="F2:F8" si="0">SUM(B2,C2,D2)</f>
        <v>#REF!</v>
      </c>
    </row>
    <row r="3" spans="1:13">
      <c r="A3" s="353" t="s">
        <v>12</v>
      </c>
      <c r="B3" s="357" t="e">
        <f>#REF!</f>
        <v>#REF!</v>
      </c>
      <c r="C3" s="357" t="e">
        <f>#REF!</f>
        <v>#REF!</v>
      </c>
      <c r="D3" s="357" t="e">
        <f>#REF!</f>
        <v>#REF!</v>
      </c>
      <c r="E3" s="357"/>
      <c r="F3" s="406" t="e">
        <f t="shared" si="0"/>
        <v>#REF!</v>
      </c>
      <c r="H3" s="741" t="s">
        <v>3714</v>
      </c>
      <c r="I3" s="742"/>
      <c r="J3" s="742"/>
      <c r="K3" s="742"/>
      <c r="L3" s="742"/>
      <c r="M3" s="743"/>
    </row>
    <row r="4" spans="1:13">
      <c r="A4" s="353" t="s">
        <v>13</v>
      </c>
      <c r="B4" s="357" t="e">
        <f>#REF!</f>
        <v>#REF!</v>
      </c>
      <c r="C4" s="357" t="e">
        <f>#REF!</f>
        <v>#REF!</v>
      </c>
      <c r="D4" s="357" t="e">
        <f>#REF!</f>
        <v>#REF!</v>
      </c>
      <c r="E4" s="357"/>
      <c r="F4" s="357" t="e">
        <f t="shared" si="0"/>
        <v>#REF!</v>
      </c>
      <c r="H4" s="744"/>
      <c r="I4" s="745"/>
      <c r="J4" s="745"/>
      <c r="K4" s="745"/>
      <c r="L4" s="745"/>
      <c r="M4" s="746"/>
    </row>
    <row r="5" spans="1:13">
      <c r="A5" s="353" t="s">
        <v>1493</v>
      </c>
      <c r="B5" s="357"/>
      <c r="C5" s="357" t="s">
        <v>1493</v>
      </c>
      <c r="D5" s="357"/>
      <c r="E5" s="357"/>
      <c r="F5" s="357">
        <f t="shared" si="0"/>
        <v>0</v>
      </c>
    </row>
    <row r="6" spans="1:13">
      <c r="A6" s="353" t="s">
        <v>1493</v>
      </c>
      <c r="B6" s="357"/>
      <c r="C6" s="357"/>
      <c r="D6" s="357"/>
      <c r="E6" s="357"/>
      <c r="F6" s="357">
        <f t="shared" si="0"/>
        <v>0</v>
      </c>
      <c r="H6" s="747" t="s">
        <v>3715</v>
      </c>
      <c r="I6" s="748"/>
      <c r="J6" s="748"/>
      <c r="K6" s="748"/>
      <c r="L6" s="748"/>
      <c r="M6" s="749"/>
    </row>
    <row r="7" spans="1:13">
      <c r="A7" s="353"/>
      <c r="B7" s="357"/>
      <c r="C7" s="357"/>
      <c r="D7" s="357"/>
      <c r="E7" s="357"/>
      <c r="F7" s="357">
        <f t="shared" si="0"/>
        <v>0</v>
      </c>
      <c r="H7" s="750"/>
      <c r="I7" s="751"/>
      <c r="J7" s="751"/>
      <c r="K7" s="751"/>
      <c r="L7" s="751"/>
      <c r="M7" s="752"/>
    </row>
    <row r="8" spans="1:13">
      <c r="A8" s="353"/>
      <c r="B8" s="357"/>
      <c r="C8" s="357"/>
      <c r="D8" s="357"/>
      <c r="E8" s="357"/>
      <c r="F8" s="357">
        <f t="shared" si="0"/>
        <v>0</v>
      </c>
    </row>
    <row r="9" spans="1:13" ht="14.25" thickBot="1">
      <c r="B9" s="407"/>
      <c r="C9" s="407"/>
      <c r="D9" s="407"/>
      <c r="E9" s="407"/>
      <c r="F9" s="407"/>
      <c r="H9" s="747" t="s">
        <v>3716</v>
      </c>
      <c r="I9" s="748"/>
      <c r="J9" s="748"/>
      <c r="K9" s="748"/>
      <c r="L9" s="748"/>
      <c r="M9" s="749"/>
    </row>
    <row r="10" spans="1:13" ht="14.25" thickBot="1">
      <c r="A10" s="401"/>
      <c r="B10" s="402" t="s">
        <v>3717</v>
      </c>
      <c r="C10" s="402" t="s">
        <v>3718</v>
      </c>
      <c r="D10" s="402" t="s">
        <v>3719</v>
      </c>
      <c r="E10" s="402" t="s">
        <v>3720</v>
      </c>
      <c r="F10" s="403"/>
      <c r="H10" s="750"/>
      <c r="I10" s="751"/>
      <c r="J10" s="751"/>
      <c r="K10" s="751"/>
      <c r="L10" s="751"/>
      <c r="M10" s="752"/>
    </row>
    <row r="11" spans="1:13">
      <c r="A11" s="405" t="s">
        <v>3721</v>
      </c>
      <c r="B11" s="408">
        <v>100</v>
      </c>
      <c r="C11" s="408">
        <v>1</v>
      </c>
      <c r="D11" s="408">
        <f>$B$11/100</f>
        <v>1</v>
      </c>
      <c r="E11" s="408"/>
      <c r="F11" s="408"/>
    </row>
    <row r="12" spans="1:13">
      <c r="A12" s="353" t="s">
        <v>3722</v>
      </c>
      <c r="B12" s="368">
        <v>100</v>
      </c>
      <c r="C12" s="368">
        <v>1</v>
      </c>
      <c r="D12" s="408">
        <f>$B$12/100</f>
        <v>1</v>
      </c>
      <c r="E12" s="368">
        <v>2</v>
      </c>
      <c r="F12" s="368"/>
      <c r="H12" s="747" t="s">
        <v>3723</v>
      </c>
      <c r="I12" s="748"/>
      <c r="J12" s="748"/>
      <c r="K12" s="748"/>
      <c r="L12" s="748"/>
      <c r="M12" s="749"/>
    </row>
    <row r="13" spans="1:13">
      <c r="A13" s="353" t="s">
        <v>3724</v>
      </c>
      <c r="B13" s="368">
        <v>100</v>
      </c>
      <c r="C13" s="368">
        <v>1</v>
      </c>
      <c r="D13" s="408">
        <f>$B$13/100</f>
        <v>1</v>
      </c>
      <c r="E13" s="368">
        <v>5</v>
      </c>
      <c r="F13" s="368"/>
      <c r="H13" s="750"/>
      <c r="I13" s="751"/>
      <c r="J13" s="751"/>
      <c r="K13" s="751"/>
      <c r="L13" s="751"/>
      <c r="M13" s="752"/>
    </row>
    <row r="14" spans="1:13">
      <c r="A14" s="353"/>
      <c r="B14" s="368"/>
      <c r="C14" s="368"/>
      <c r="D14" s="368"/>
      <c r="E14" s="368"/>
      <c r="F14" s="368"/>
    </row>
    <row r="15" spans="1:13">
      <c r="A15" s="353"/>
      <c r="B15" s="368"/>
      <c r="C15" s="368"/>
      <c r="D15" s="368"/>
      <c r="E15" s="368"/>
      <c r="F15" s="368"/>
    </row>
    <row r="16" spans="1:13">
      <c r="A16" s="353"/>
      <c r="B16" s="368"/>
      <c r="C16" s="368"/>
      <c r="D16" s="368"/>
      <c r="E16" s="368"/>
      <c r="F16" s="368"/>
    </row>
    <row r="17" spans="1:6">
      <c r="A17" s="353"/>
      <c r="B17" s="368"/>
      <c r="C17" s="368"/>
      <c r="D17" s="368"/>
      <c r="E17" s="368"/>
      <c r="F17" s="368"/>
    </row>
    <row r="18" spans="1:6">
      <c r="A18" s="353" t="s">
        <v>1493</v>
      </c>
      <c r="B18" s="368"/>
      <c r="C18" s="368"/>
      <c r="D18" s="368"/>
      <c r="E18" s="368"/>
      <c r="F18" s="368"/>
    </row>
    <row r="19" spans="1:6" ht="14.25" thickBot="1">
      <c r="A19" s="409" t="s">
        <v>1493</v>
      </c>
      <c r="B19" s="410"/>
      <c r="C19" s="410"/>
      <c r="D19" s="410"/>
      <c r="E19" s="410"/>
      <c r="F19" s="410"/>
    </row>
    <row r="20" spans="1:6" ht="14.25" thickBot="1">
      <c r="A20" s="401" t="s">
        <v>3725</v>
      </c>
      <c r="B20" s="402" t="s">
        <v>3717</v>
      </c>
      <c r="C20" s="402"/>
      <c r="D20" s="402" t="s">
        <v>3719</v>
      </c>
      <c r="E20" s="402"/>
      <c r="F20" s="403"/>
    </row>
    <row r="21" spans="1:6">
      <c r="A21" s="405" t="s">
        <v>3726</v>
      </c>
      <c r="B21" s="408">
        <f>B11</f>
        <v>100</v>
      </c>
      <c r="C21" s="408"/>
      <c r="D21" s="408">
        <f>$B$21/100</f>
        <v>1</v>
      </c>
      <c r="E21" s="408"/>
      <c r="F21" s="408"/>
    </row>
    <row r="22" spans="1:6">
      <c r="A22" s="353" t="s">
        <v>3727</v>
      </c>
      <c r="B22" s="368">
        <f>B11</f>
        <v>100</v>
      </c>
      <c r="C22" s="408"/>
      <c r="D22" s="408">
        <f>$B$22/100</f>
        <v>1</v>
      </c>
      <c r="E22" s="368"/>
      <c r="F22" s="368"/>
    </row>
    <row r="23" spans="1:6">
      <c r="A23" s="353" t="s">
        <v>3728</v>
      </c>
      <c r="B23" s="368">
        <f>B11</f>
        <v>100</v>
      </c>
      <c r="C23" s="408"/>
      <c r="D23" s="408">
        <f>$B$23/100</f>
        <v>1</v>
      </c>
      <c r="E23" s="368"/>
      <c r="F23" s="368"/>
    </row>
    <row r="24" spans="1:6">
      <c r="A24" s="353" t="s">
        <v>3729</v>
      </c>
      <c r="B24" s="368">
        <f>B11</f>
        <v>100</v>
      </c>
      <c r="C24" s="408"/>
      <c r="D24" s="408">
        <f>$B$24/100</f>
        <v>1</v>
      </c>
      <c r="E24" s="368"/>
      <c r="F24" s="368"/>
    </row>
    <row r="25" spans="1:6">
      <c r="A25" s="353" t="s">
        <v>3730</v>
      </c>
      <c r="B25" s="368">
        <f>B11</f>
        <v>100</v>
      </c>
      <c r="C25" s="408"/>
      <c r="D25" s="408">
        <f>$B$25/100</f>
        <v>1</v>
      </c>
      <c r="E25" s="368"/>
      <c r="F25" s="368"/>
    </row>
    <row r="26" spans="1:6">
      <c r="A26" s="353"/>
      <c r="B26" s="368"/>
      <c r="C26" s="368"/>
      <c r="D26" s="368"/>
      <c r="E26" s="368"/>
      <c r="F26" s="368"/>
    </row>
    <row r="27" spans="1:6">
      <c r="A27" s="353"/>
      <c r="B27" s="368"/>
      <c r="C27" s="368"/>
      <c r="D27" s="368"/>
      <c r="E27" s="368"/>
      <c r="F27" s="368"/>
    </row>
    <row r="28" spans="1:6">
      <c r="A28" s="353"/>
      <c r="B28" s="368"/>
      <c r="C28" s="368"/>
      <c r="D28" s="368"/>
      <c r="E28" s="368"/>
      <c r="F28" s="368"/>
    </row>
    <row r="29" spans="1:6" ht="14.25" customHeight="1" thickBot="1">
      <c r="A29" s="409"/>
      <c r="B29" s="410"/>
      <c r="C29" s="410"/>
      <c r="D29" s="410"/>
      <c r="E29" s="410"/>
      <c r="F29" s="410"/>
    </row>
    <row r="30" spans="1:6" ht="14.25" customHeight="1" thickBot="1">
      <c r="A30" s="401" t="s">
        <v>3731</v>
      </c>
      <c r="B30" s="402" t="s">
        <v>3732</v>
      </c>
      <c r="C30" s="402" t="s">
        <v>3733</v>
      </c>
      <c r="D30" s="402" t="s">
        <v>3734</v>
      </c>
      <c r="E30" s="402"/>
      <c r="F30" s="403"/>
    </row>
    <row r="31" spans="1:6">
      <c r="A31" s="405" t="s">
        <v>3735</v>
      </c>
      <c r="B31" s="408">
        <v>15</v>
      </c>
      <c r="C31" s="408">
        <v>15</v>
      </c>
      <c r="D31" s="408">
        <v>20</v>
      </c>
      <c r="E31" s="408"/>
      <c r="F31" s="408"/>
    </row>
    <row r="32" spans="1:6">
      <c r="A32" s="405" t="s">
        <v>3736</v>
      </c>
      <c r="B32" s="368">
        <v>40</v>
      </c>
      <c r="C32" s="368">
        <v>40</v>
      </c>
      <c r="D32" s="368">
        <v>40</v>
      </c>
      <c r="E32" s="368"/>
      <c r="F32" s="368"/>
    </row>
    <row r="33" spans="1:13">
      <c r="A33" s="353" t="s">
        <v>3737</v>
      </c>
      <c r="B33" s="368">
        <v>2</v>
      </c>
      <c r="C33" s="368"/>
      <c r="D33" s="368"/>
      <c r="E33" s="368"/>
      <c r="F33" s="368"/>
      <c r="H33" s="747" t="s">
        <v>3738</v>
      </c>
      <c r="I33" s="748"/>
      <c r="J33" s="748"/>
      <c r="K33" s="748"/>
      <c r="L33" s="748"/>
      <c r="M33" s="749"/>
    </row>
    <row r="34" spans="1:13">
      <c r="A34" s="353" t="s">
        <v>3739</v>
      </c>
      <c r="B34" s="368"/>
      <c r="C34" s="368"/>
      <c r="D34" s="368"/>
      <c r="E34" s="368"/>
      <c r="F34" s="368"/>
      <c r="H34" s="750"/>
      <c r="I34" s="751"/>
      <c r="J34" s="751"/>
      <c r="K34" s="751"/>
      <c r="L34" s="751"/>
      <c r="M34" s="752"/>
    </row>
    <row r="35" spans="1:13">
      <c r="A35" s="353" t="s">
        <v>3740</v>
      </c>
      <c r="B35" s="368">
        <v>2</v>
      </c>
      <c r="C35" s="368"/>
      <c r="D35" s="368"/>
      <c r="E35" s="368"/>
      <c r="F35" s="368"/>
    </row>
    <row r="36" spans="1:13">
      <c r="A36" s="353" t="s">
        <v>3741</v>
      </c>
      <c r="B36" s="368">
        <v>2</v>
      </c>
      <c r="C36" s="368"/>
      <c r="D36" s="368"/>
      <c r="E36" s="368"/>
      <c r="F36" s="368"/>
    </row>
    <row r="37" spans="1:13">
      <c r="A37" s="353"/>
      <c r="B37" s="368"/>
      <c r="C37" s="368"/>
      <c r="D37" s="368"/>
      <c r="E37" s="368"/>
      <c r="F37" s="368"/>
    </row>
    <row r="38" spans="1:13">
      <c r="A38" s="353"/>
      <c r="B38" s="368"/>
      <c r="C38" s="368"/>
      <c r="D38" s="368"/>
      <c r="E38" s="368"/>
      <c r="F38" s="368"/>
    </row>
    <row r="39" spans="1:13" ht="14.25" thickBot="1">
      <c r="A39" s="409"/>
      <c r="B39" s="410"/>
      <c r="C39" s="410"/>
      <c r="D39" s="410"/>
      <c r="E39" s="410"/>
      <c r="F39" s="410"/>
    </row>
    <row r="40" spans="1:13" ht="14.25" thickBot="1">
      <c r="A40" s="401" t="s">
        <v>3742</v>
      </c>
      <c r="B40" s="402" t="s">
        <v>3717</v>
      </c>
      <c r="C40" s="402" t="s">
        <v>3743</v>
      </c>
      <c r="D40" s="402"/>
      <c r="E40" s="402"/>
      <c r="F40" s="403"/>
    </row>
    <row r="41" spans="1:13">
      <c r="A41" s="365" t="s">
        <v>222</v>
      </c>
      <c r="B41" s="347">
        <v>100</v>
      </c>
      <c r="C41" s="347">
        <v>5</v>
      </c>
    </row>
    <row r="42" spans="1:13">
      <c r="A42" s="365" t="s">
        <v>224</v>
      </c>
      <c r="B42" s="347">
        <v>100</v>
      </c>
      <c r="C42" s="347">
        <v>5</v>
      </c>
    </row>
    <row r="43" spans="1:13">
      <c r="A43" s="365" t="s">
        <v>226</v>
      </c>
      <c r="B43" s="347">
        <v>100</v>
      </c>
      <c r="C43" s="347">
        <v>5</v>
      </c>
    </row>
    <row r="44" spans="1:13">
      <c r="A44" s="365" t="s">
        <v>228</v>
      </c>
      <c r="B44" s="347">
        <v>100</v>
      </c>
      <c r="C44" s="347">
        <v>5</v>
      </c>
    </row>
    <row r="45" spans="1:13">
      <c r="A45" s="365" t="s">
        <v>230</v>
      </c>
      <c r="B45" s="347">
        <v>100</v>
      </c>
      <c r="C45" s="347">
        <v>5</v>
      </c>
    </row>
    <row r="46" spans="1:13">
      <c r="A46" s="365" t="s">
        <v>232</v>
      </c>
      <c r="B46" s="347">
        <v>100</v>
      </c>
      <c r="C46" s="347">
        <v>5</v>
      </c>
    </row>
    <row r="47" spans="1:13">
      <c r="A47" s="365" t="s">
        <v>234</v>
      </c>
      <c r="B47" s="347">
        <v>100</v>
      </c>
      <c r="C47" s="347">
        <v>5</v>
      </c>
    </row>
    <row r="48" spans="1:13">
      <c r="A48" s="365" t="s">
        <v>236</v>
      </c>
      <c r="B48" s="347">
        <v>100</v>
      </c>
      <c r="C48" s="347">
        <v>5</v>
      </c>
    </row>
    <row r="49" spans="1:3">
      <c r="A49" s="365" t="s">
        <v>238</v>
      </c>
      <c r="C49" s="347">
        <v>0</v>
      </c>
    </row>
    <row r="50" spans="1:3">
      <c r="A50" s="365" t="s">
        <v>240</v>
      </c>
      <c r="C50" s="347">
        <v>0</v>
      </c>
    </row>
    <row r="51" spans="1:3">
      <c r="A51" s="365" t="s">
        <v>242</v>
      </c>
      <c r="C51" s="347">
        <v>0</v>
      </c>
    </row>
  </sheetData>
  <mergeCells count="5">
    <mergeCell ref="H3:M4"/>
    <mergeCell ref="H6:M7"/>
    <mergeCell ref="H9:M10"/>
    <mergeCell ref="H12:M13"/>
    <mergeCell ref="H33:M34"/>
  </mergeCells>
  <phoneticPr fontId="1" type="noConversion"/>
  <printOptions horizontalCentered="1"/>
  <pageMargins left="0.35433070866141736" right="0.35433070866141736" top="0.59055118110236227" bottom="0.59055118110236227" header="0.51181102362204722" footer="0.51181102362204722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27</vt:i4>
      </vt:variant>
      <vt:variant>
        <vt:lpstr>이름 지정된 범위</vt:lpstr>
      </vt:variant>
      <vt:variant>
        <vt:i4>34</vt:i4>
      </vt:variant>
    </vt:vector>
  </HeadingPairs>
  <TitlesOfParts>
    <vt:vector size="61" baseType="lpstr">
      <vt:lpstr>증감총괄</vt:lpstr>
      <vt:lpstr>표지(설계서)</vt:lpstr>
      <vt:lpstr>설계서(결재란)</vt:lpstr>
      <vt:lpstr>목차(설계변경용)</vt:lpstr>
      <vt:lpstr>1.설계변경사유서</vt:lpstr>
      <vt:lpstr>3.시방서</vt:lpstr>
      <vt:lpstr>4.보안및기타사항</vt:lpstr>
      <vt:lpstr>5.예정</vt:lpstr>
      <vt:lpstr>6.동원</vt:lpstr>
      <vt:lpstr>갑지</vt:lpstr>
      <vt:lpstr>7-1.증감내역</vt:lpstr>
      <vt:lpstr>원가계산</vt:lpstr>
      <vt:lpstr>공종별집계표</vt:lpstr>
      <vt:lpstr>증감대비표</vt:lpstr>
      <vt:lpstr>변경내역서</vt:lpstr>
      <vt:lpstr>신규_공종별내역서</vt:lpstr>
      <vt:lpstr>일위대가목록</vt:lpstr>
      <vt:lpstr>신규_일위대가목록</vt:lpstr>
      <vt:lpstr>일위대가</vt:lpstr>
      <vt:lpstr>신규_일위대가</vt:lpstr>
      <vt:lpstr>일위노임</vt:lpstr>
      <vt:lpstr>합산자재</vt:lpstr>
      <vt:lpstr>신규_단가대비표</vt:lpstr>
      <vt:lpstr>신규_공량산출근거서_일위대가</vt:lpstr>
      <vt:lpstr>한전불입금</vt:lpstr>
      <vt:lpstr>단가조사</vt:lpstr>
      <vt:lpstr>옵션</vt:lpstr>
      <vt:lpstr>'1.설계변경사유서'!Print_Area</vt:lpstr>
      <vt:lpstr>'3.시방서'!Print_Area</vt:lpstr>
      <vt:lpstr>'4.보안및기타사항'!Print_Area</vt:lpstr>
      <vt:lpstr>'5.예정'!Print_Area</vt:lpstr>
      <vt:lpstr>'6.동원'!Print_Area</vt:lpstr>
      <vt:lpstr>'7-1.증감내역'!Print_Area</vt:lpstr>
      <vt:lpstr>갑지!Print_Area</vt:lpstr>
      <vt:lpstr>공종별집계표!Print_Area</vt:lpstr>
      <vt:lpstr>'목차(설계변경용)'!Print_Area</vt:lpstr>
      <vt:lpstr>변경내역서!Print_Area</vt:lpstr>
      <vt:lpstr>'설계서(결재란)'!Print_Area</vt:lpstr>
      <vt:lpstr>신규_공량산출근거서_일위대가!Print_Area</vt:lpstr>
      <vt:lpstr>신규_공종별내역서!Print_Area</vt:lpstr>
      <vt:lpstr>신규_단가대비표!Print_Area</vt:lpstr>
      <vt:lpstr>신규_일위대가!Print_Area</vt:lpstr>
      <vt:lpstr>신규_일위대가목록!Print_Area</vt:lpstr>
      <vt:lpstr>원가계산!Print_Area</vt:lpstr>
      <vt:lpstr>일위노임!Print_Area</vt:lpstr>
      <vt:lpstr>일위대가!Print_Area</vt:lpstr>
      <vt:lpstr>증감대비표!Print_Area</vt:lpstr>
      <vt:lpstr>'표지(설계서)'!Print_Area</vt:lpstr>
      <vt:lpstr>공종별집계표!Print_Titles</vt:lpstr>
      <vt:lpstr>단가조사!Print_Titles</vt:lpstr>
      <vt:lpstr>변경내역서!Print_Titles</vt:lpstr>
      <vt:lpstr>신규_공량산출근거서_일위대가!Print_Titles</vt:lpstr>
      <vt:lpstr>신규_공종별내역서!Print_Titles</vt:lpstr>
      <vt:lpstr>신규_단가대비표!Print_Titles</vt:lpstr>
      <vt:lpstr>신규_일위대가!Print_Titles</vt:lpstr>
      <vt:lpstr>신규_일위대가목록!Print_Titles</vt:lpstr>
      <vt:lpstr>일위노임!Print_Titles</vt:lpstr>
      <vt:lpstr>일위대가!Print_Titles</vt:lpstr>
      <vt:lpstr>일위대가목록!Print_Titles</vt:lpstr>
      <vt:lpstr>증감대비표!Print_Titles</vt:lpstr>
      <vt:lpstr>합산자재!Print_Titles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 jin lee</dc:creator>
  <cp:lastModifiedBy>sang jin lee</cp:lastModifiedBy>
  <cp:lastPrinted>2024-03-13T07:44:46Z</cp:lastPrinted>
  <dcterms:created xsi:type="dcterms:W3CDTF">2024-03-12T08:05:32Z</dcterms:created>
  <dcterms:modified xsi:type="dcterms:W3CDTF">2024-03-14T06:34:10Z</dcterms:modified>
</cp:coreProperties>
</file>