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ài liệu học tập\tailieuhoctapTLU\Năm 3\Phương pháp số\"/>
    </mc:Choice>
  </mc:AlternateContent>
  <xr:revisionPtr revIDLastSave="0" documentId="13_ncr:1_{3ADC45A5-7570-437C-9EE4-CEB709746C89}" xr6:coauthVersionLast="47" xr6:coauthVersionMax="47" xr10:uidLastSave="{00000000-0000-0000-0000-000000000000}"/>
  <bookViews>
    <workbookView xWindow="-60" yWindow="-60" windowWidth="24120" windowHeight="13020" firstSheet="1" activeTab="2" xr2:uid="{D4FD16E3-6CE8-459A-8BCC-3BC514B5B945}"/>
  </bookViews>
  <sheets>
    <sheet name="Jacobi" sheetId="1" r:id="rId1"/>
    <sheet name="Gause Seidel" sheetId="2" r:id="rId2"/>
    <sheet name="PP Chia đôi" sheetId="3" r:id="rId3"/>
    <sheet name="PP Dây cung" sheetId="4" r:id="rId4"/>
    <sheet name="PP Lặp đơn" sheetId="6" r:id="rId5"/>
    <sheet name="PP Tiếp tuyến" sheetId="7" r:id="rId6"/>
    <sheet name="Nội suy Newton" sheetId="8" r:id="rId7"/>
    <sheet name="Tích phân " sheetId="9" r:id="rId8"/>
    <sheet name="Vi phân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6" l="1"/>
  <c r="K15" i="6" s="1"/>
  <c r="L15" i="6" s="1"/>
  <c r="M15" i="6" s="1"/>
  <c r="I15" i="6"/>
  <c r="G41" i="8"/>
  <c r="P22" i="10"/>
  <c r="P19" i="10"/>
  <c r="Q19" i="10" s="1"/>
  <c r="R19" i="10" s="1"/>
  <c r="S19" i="10" s="1"/>
  <c r="T19" i="10" s="1"/>
  <c r="Q18" i="10"/>
  <c r="R18" i="10" s="1"/>
  <c r="P18" i="10"/>
  <c r="T17" i="10"/>
  <c r="S17" i="10"/>
  <c r="R17" i="10"/>
  <c r="Q17" i="10"/>
  <c r="I18" i="3"/>
  <c r="H18" i="3"/>
  <c r="I17" i="3"/>
  <c r="G17" i="3"/>
  <c r="G18" i="3"/>
  <c r="H16" i="3"/>
  <c r="G12" i="2"/>
  <c r="G11" i="2"/>
  <c r="F6" i="8"/>
  <c r="F7" i="8"/>
  <c r="H6" i="2"/>
  <c r="I14" i="4"/>
  <c r="I15" i="4"/>
  <c r="H15" i="4"/>
  <c r="G17" i="4"/>
  <c r="G16" i="4"/>
  <c r="F7" i="10"/>
  <c r="F6" i="10"/>
  <c r="E7" i="10" s="1"/>
  <c r="D12" i="9"/>
  <c r="D13" i="9"/>
  <c r="D14" i="9"/>
  <c r="D15" i="9"/>
  <c r="D16" i="9"/>
  <c r="D17" i="9"/>
  <c r="D18" i="9"/>
  <c r="D19" i="9"/>
  <c r="D11" i="9"/>
  <c r="E42" i="8"/>
  <c r="E43" i="8"/>
  <c r="F42" i="8" s="1"/>
  <c r="P20" i="10" l="1"/>
  <c r="S18" i="10"/>
  <c r="T18" i="10" s="1"/>
  <c r="I12" i="9"/>
  <c r="G6" i="8"/>
  <c r="J25" i="9"/>
  <c r="I16" i="6"/>
  <c r="H8" i="2"/>
  <c r="H7" i="2"/>
  <c r="H5" i="2"/>
  <c r="E41" i="8"/>
  <c r="F41" i="8" s="1"/>
  <c r="E8" i="10"/>
  <c r="F8" i="10" s="1"/>
  <c r="G19" i="3"/>
  <c r="H17" i="3"/>
  <c r="I16" i="3" s="1"/>
  <c r="I14" i="1"/>
  <c r="L2" i="1"/>
  <c r="J15" i="7"/>
  <c r="H15" i="7"/>
  <c r="I15" i="7" s="1"/>
  <c r="G15" i="7"/>
  <c r="G16" i="7" s="1"/>
  <c r="Q6" i="10"/>
  <c r="R6" i="10" s="1"/>
  <c r="S6" i="10" s="1"/>
  <c r="K6" i="10"/>
  <c r="H16" i="4"/>
  <c r="H17" i="4" s="1"/>
  <c r="G13" i="2"/>
  <c r="I17" i="1"/>
  <c r="N15" i="6" l="1"/>
  <c r="Q20" i="10"/>
  <c r="R20" i="10"/>
  <c r="S20" i="10" s="1"/>
  <c r="T20" i="10" s="1"/>
  <c r="H19" i="3"/>
  <c r="D7" i="2"/>
  <c r="H18" i="4"/>
  <c r="L6" i="10"/>
  <c r="M6" i="10" s="1"/>
  <c r="J7" i="10" s="1"/>
  <c r="T6" i="10"/>
  <c r="U6" i="10" s="1"/>
  <c r="P7" i="10" s="1"/>
  <c r="I16" i="4"/>
  <c r="I17" i="4" s="1"/>
  <c r="P21" i="10" l="1"/>
  <c r="Q7" i="10"/>
  <c r="R7" i="10" s="1"/>
  <c r="S7" i="10" s="1"/>
  <c r="T7" i="10" s="1"/>
  <c r="U7" i="10" s="1"/>
  <c r="E9" i="10"/>
  <c r="F9" i="10" s="1"/>
  <c r="K7" i="10"/>
  <c r="L7" i="10" s="1"/>
  <c r="M7" i="10" s="1"/>
  <c r="H16" i="7"/>
  <c r="I18" i="4"/>
  <c r="Q21" i="10" l="1"/>
  <c r="R21" i="10" s="1"/>
  <c r="S21" i="10" s="1"/>
  <c r="T21" i="10" s="1"/>
  <c r="J16" i="3"/>
  <c r="J17" i="3" s="1"/>
  <c r="E10" i="10"/>
  <c r="F10" i="10" s="1"/>
  <c r="I19" i="3"/>
  <c r="P8" i="10"/>
  <c r="J8" i="10"/>
  <c r="J16" i="7"/>
  <c r="I16" i="7"/>
  <c r="J16" i="6"/>
  <c r="J19" i="3" l="1"/>
  <c r="K16" i="3"/>
  <c r="K17" i="3" s="1"/>
  <c r="J18" i="3"/>
  <c r="E11" i="10"/>
  <c r="F11" i="10" s="1"/>
  <c r="Q8" i="10"/>
  <c r="R8" i="10" s="1"/>
  <c r="S8" i="10" s="1"/>
  <c r="T8" i="10" s="1"/>
  <c r="U8" i="10" s="1"/>
  <c r="K8" i="10"/>
  <c r="L8" i="10" s="1"/>
  <c r="K16" i="6"/>
  <c r="K18" i="3" l="1"/>
  <c r="K19" i="3"/>
  <c r="L16" i="3"/>
  <c r="E12" i="10"/>
  <c r="P9" i="10"/>
  <c r="M8" i="10"/>
  <c r="J9" i="10" s="1"/>
  <c r="J14" i="4"/>
  <c r="J16" i="4" s="1"/>
  <c r="J17" i="4" s="1"/>
  <c r="L16" i="6"/>
  <c r="L17" i="3" l="1"/>
  <c r="F12" i="10"/>
  <c r="E13" i="10" s="1"/>
  <c r="F13" i="10" s="1"/>
  <c r="Q9" i="10"/>
  <c r="R9" i="10" s="1"/>
  <c r="S9" i="10" s="1"/>
  <c r="T9" i="10" s="1"/>
  <c r="U9" i="10" s="1"/>
  <c r="K9" i="10"/>
  <c r="L9" i="10" s="1"/>
  <c r="M9" i="10" s="1"/>
  <c r="J18" i="4"/>
  <c r="M16" i="6"/>
  <c r="L18" i="3" l="1"/>
  <c r="L19" i="3"/>
  <c r="M17" i="3"/>
  <c r="P10" i="10"/>
  <c r="J10" i="10"/>
  <c r="N16" i="6"/>
  <c r="Q10" i="10" l="1"/>
  <c r="R10" i="10"/>
  <c r="S10" i="10" s="1"/>
  <c r="T10" i="10" s="1"/>
  <c r="U10" i="10" s="1"/>
  <c r="K10" i="10"/>
  <c r="L10" i="10" s="1"/>
  <c r="M10" i="10" s="1"/>
  <c r="J11" i="10" s="1"/>
  <c r="K14" i="4"/>
  <c r="K16" i="4" s="1"/>
  <c r="K17" i="4" s="1"/>
  <c r="P11" i="10" l="1"/>
  <c r="K11" i="10"/>
  <c r="L11" i="10" s="1"/>
  <c r="M11" i="10" s="1"/>
  <c r="J12" i="10" s="1"/>
  <c r="K18" i="4"/>
  <c r="L14" i="4"/>
  <c r="L16" i="4" s="1"/>
  <c r="L17" i="4" s="1"/>
  <c r="F14" i="8"/>
  <c r="F15" i="8"/>
  <c r="F16" i="8"/>
  <c r="F17" i="8"/>
  <c r="F13" i="8"/>
  <c r="F3" i="8"/>
  <c r="G17" i="8" l="1"/>
  <c r="K12" i="10"/>
  <c r="G14" i="2"/>
  <c r="G15" i="2" s="1"/>
  <c r="L18" i="4"/>
  <c r="G15" i="8"/>
  <c r="G16" i="8"/>
  <c r="H16" i="8" s="1"/>
  <c r="G14" i="8"/>
  <c r="H15" i="8" s="1"/>
  <c r="F5" i="8"/>
  <c r="G5" i="8" s="1"/>
  <c r="F4" i="8"/>
  <c r="H5" i="8" l="1"/>
  <c r="L12" i="10"/>
  <c r="H17" i="8"/>
  <c r="I16" i="8"/>
  <c r="I17" i="8"/>
  <c r="G4" i="8"/>
  <c r="G3" i="8"/>
  <c r="H11" i="2"/>
  <c r="H3" i="8" l="1"/>
  <c r="H4" i="8"/>
  <c r="I3" i="8" s="1"/>
  <c r="M12" i="10"/>
  <c r="J13" i="10" s="1"/>
  <c r="H12" i="2"/>
  <c r="I4" i="8" l="1"/>
  <c r="H13" i="2"/>
  <c r="H14" i="2" l="1"/>
  <c r="H15" i="2" s="1"/>
  <c r="I20" i="1"/>
  <c r="I19" i="1"/>
  <c r="I18" i="1"/>
  <c r="I21" i="1" l="1"/>
  <c r="I11" i="2"/>
  <c r="J19" i="1"/>
  <c r="J18" i="1"/>
  <c r="J20" i="1"/>
  <c r="J17" i="1"/>
  <c r="I12" i="2" l="1"/>
  <c r="I13" i="2" s="1"/>
  <c r="J21" i="1"/>
  <c r="K17" i="1"/>
  <c r="K20" i="1"/>
  <c r="K19" i="1"/>
  <c r="K18" i="1"/>
  <c r="I14" i="2" l="1"/>
  <c r="J11" i="2" s="1"/>
  <c r="K21" i="1"/>
  <c r="L20" i="1"/>
  <c r="L19" i="1"/>
  <c r="L18" i="1"/>
  <c r="L17" i="1"/>
  <c r="I15" i="2" l="1"/>
  <c r="J12" i="2"/>
  <c r="J13" i="2" s="1"/>
  <c r="J14" i="2" s="1"/>
  <c r="K11" i="2" s="1"/>
  <c r="M17" i="1"/>
  <c r="L21" i="1"/>
  <c r="M19" i="1"/>
  <c r="M18" i="1"/>
  <c r="M20" i="1"/>
  <c r="J15" i="2" l="1"/>
  <c r="K12" i="2"/>
  <c r="K13" i="2" s="1"/>
  <c r="N17" i="1"/>
  <c r="N20" i="1"/>
  <c r="N18" i="1"/>
  <c r="N19" i="1"/>
  <c r="M21" i="1"/>
  <c r="K14" i="2" l="1"/>
  <c r="K15" i="2" s="1"/>
  <c r="N21" i="1"/>
</calcChain>
</file>

<file path=xl/sharedStrings.xml><?xml version="1.0" encoding="utf-8"?>
<sst xmlns="http://schemas.openxmlformats.org/spreadsheetml/2006/main" count="213" uniqueCount="138">
  <si>
    <t>Ma trận C</t>
  </si>
  <si>
    <t>Ma trận d</t>
  </si>
  <si>
    <t>B1</t>
  </si>
  <si>
    <t>Nhận xét: Ta thấy ma trận A là ma trận chéo trội, vậy ta có thể sử dụng pp lặp  Jacobi để giải hệ pt này</t>
  </si>
  <si>
    <t>B2</t>
  </si>
  <si>
    <t>Ta có C=… ; d=…</t>
  </si>
  <si>
    <t>B3</t>
  </si>
  <si>
    <t>Ta lập bảng tính</t>
  </si>
  <si>
    <t>B4</t>
  </si>
  <si>
    <t>Kết luận và tính sai số</t>
  </si>
  <si>
    <t>Giá trị ||C||=</t>
  </si>
  <si>
    <t>x</t>
  </si>
  <si>
    <t>x0</t>
  </si>
  <si>
    <t>x1</t>
  </si>
  <si>
    <t>x2</t>
  </si>
  <si>
    <t>x3</t>
  </si>
  <si>
    <t>x4</t>
  </si>
  <si>
    <t>x5</t>
  </si>
  <si>
    <t>Sai số</t>
  </si>
  <si>
    <t>PP Gause Seidel</t>
  </si>
  <si>
    <t>C</t>
  </si>
  <si>
    <t>d</t>
  </si>
  <si>
    <t>p1 = 0</t>
  </si>
  <si>
    <t>q4=0</t>
  </si>
  <si>
    <t>µ =</t>
  </si>
  <si>
    <r>
      <t xml:space="preserve">Neu </t>
    </r>
    <r>
      <rPr>
        <sz val="11"/>
        <color rgb="FF000000"/>
        <rFont val="CMSSI10"/>
      </rPr>
      <t>f(x0)</t>
    </r>
    <r>
      <rPr>
        <sz val="8"/>
        <color rgb="FF000000"/>
        <rFont val="VNSS8"/>
      </rPr>
      <t xml:space="preserve"> </t>
    </r>
    <r>
      <rPr>
        <sz val="11"/>
        <color rgb="FF000000"/>
        <rFont val="CMMI10"/>
      </rPr>
      <t xml:space="preserve">&gt; </t>
    </r>
    <r>
      <rPr>
        <sz val="11"/>
        <color rgb="FF000000"/>
        <rFont val="VNSS10"/>
      </rPr>
      <t>0 thì khoang nghiem mới là [a0</t>
    </r>
    <r>
      <rPr>
        <sz val="11"/>
        <color rgb="FF000000"/>
        <rFont val="CMMI10"/>
      </rPr>
      <t>; x0</t>
    </r>
    <r>
      <rPr>
        <sz val="11"/>
        <color rgb="FF000000"/>
        <rFont val="VNSS10"/>
      </rPr>
      <t xml:space="preserve">], đặt </t>
    </r>
    <r>
      <rPr>
        <sz val="11"/>
        <color rgb="FF000000"/>
        <rFont val="CMSSI10"/>
      </rPr>
      <t>a</t>
    </r>
    <r>
      <rPr>
        <sz val="8"/>
        <color rgb="FF000000"/>
        <rFont val="VNSS8"/>
      </rPr>
      <t xml:space="preserve">1 </t>
    </r>
    <r>
      <rPr>
        <sz val="11"/>
        <color rgb="FF000000"/>
        <rFont val="CMSS10"/>
      </rPr>
      <t>= a0</t>
    </r>
    <r>
      <rPr>
        <sz val="11"/>
        <color rgb="FF000000"/>
        <rFont val="CMMI10"/>
      </rPr>
      <t xml:space="preserve">; </t>
    </r>
    <r>
      <rPr>
        <sz val="11"/>
        <color rgb="FF000000"/>
        <rFont val="CMSSI10"/>
      </rPr>
      <t>b</t>
    </r>
    <r>
      <rPr>
        <sz val="8"/>
        <color rgb="FF000000"/>
        <rFont val="VNSS8"/>
      </rPr>
      <t xml:space="preserve">1 </t>
    </r>
    <r>
      <rPr>
        <sz val="11"/>
        <color rgb="FF000000"/>
        <rFont val="CMSS10"/>
      </rPr>
      <t>= x</t>
    </r>
    <r>
      <rPr>
        <sz val="8"/>
        <color rgb="FF000000"/>
        <rFont val="VNSS8"/>
      </rPr>
      <t>0</t>
    </r>
  </si>
  <si>
    <t>Neu f(x0) &lt; 0 thì khoang nghiem mới là [x0; b0], đặt a1 = x0; b1 = b0</t>
  </si>
  <si>
    <t>i</t>
  </si>
  <si>
    <t>y</t>
  </si>
  <si>
    <t>dy</t>
  </si>
  <si>
    <t>d2y</t>
  </si>
  <si>
    <t>d3y</t>
  </si>
  <si>
    <t>a0= y0 =23</t>
  </si>
  <si>
    <t>a1= dy/(1!h^1) = 70/(1*2)=35</t>
  </si>
  <si>
    <t>a2=d2y/(2!h^2)=96/(2*4)=12</t>
  </si>
  <si>
    <t>a3= d3y(3!h^3)=48/(6*8)=1</t>
  </si>
  <si>
    <r>
      <t xml:space="preserve">KL da thuc noi suy la…, thay x=11 vào đa thức nội suy thì ta có f(11) </t>
    </r>
    <r>
      <rPr>
        <sz val="11"/>
        <color theme="1"/>
        <rFont val="Calibri"/>
        <family val="2"/>
      </rPr>
      <t>≈ p3(11)</t>
    </r>
  </si>
  <si>
    <t>sp b1</t>
  </si>
  <si>
    <t>sp b2</t>
  </si>
  <si>
    <t>sp b3</t>
  </si>
  <si>
    <t>sp b4</t>
  </si>
  <si>
    <t>sp b5</t>
  </si>
  <si>
    <t>sp b6</t>
  </si>
  <si>
    <t>Sai phân lùi</t>
  </si>
  <si>
    <t>Sai phân tiến</t>
  </si>
  <si>
    <t>tsp1</t>
  </si>
  <si>
    <t>tsp2</t>
  </si>
  <si>
    <t>tsp3</t>
  </si>
  <si>
    <t>tsp1= y(p+1)-yp/x(p+1)-xp</t>
  </si>
  <si>
    <t>…</t>
  </si>
  <si>
    <t>Tinh nghiem xap xi den x5 va ket luan xem sai so dat duoc la bao nhieu</t>
  </si>
  <si>
    <t xml:space="preserve"> </t>
  </si>
  <si>
    <t>a</t>
  </si>
  <si>
    <t>b</t>
  </si>
  <si>
    <t>f(x)</t>
  </si>
  <si>
    <t>ss</t>
  </si>
  <si>
    <t>Vay nghiem dat duoc tai buoc lap thu 5 la 0.8672 voi sai so la 0.0234</t>
  </si>
  <si>
    <t>B2:</t>
  </si>
  <si>
    <t>B1:</t>
  </si>
  <si>
    <t>B3:</t>
  </si>
  <si>
    <t>f(x) = x^3 -x-1=0</t>
  </si>
  <si>
    <t>x=phi(x)</t>
  </si>
  <si>
    <t>[1;2] là khoảng phân ly nghiệm</t>
  </si>
  <si>
    <t>x in [a;b] =&gt; phi(x) in [a;b]</t>
  </si>
  <si>
    <t>Tồn tại q trong đó phi'(x)&lt;q&lt;1</t>
  </si>
  <si>
    <t>Bước 1</t>
  </si>
  <si>
    <t>x=x^3+1 =&gt; x=2, f(x)=9 không thỏa mãn đk số 2</t>
  </si>
  <si>
    <t xml:space="preserve">x=x+1/x^2 =&gt; x=2, f(x)=0.75 không thỏa mãn đk số 2 </t>
  </si>
  <si>
    <t>x=(x+1)^1/3 =&gt; Thỏa mãn cả 3 điều kiện hội tụ</t>
  </si>
  <si>
    <t>Bước 2</t>
  </si>
  <si>
    <t>Tính phi'(x) =1/3*(x+1)^-2/3</t>
  </si>
  <si>
    <t>phi'(x) &lt;= phi'(1)=1/3*2^(-2/3)=0.20999&lt;0.3 = q&lt;1</t>
  </si>
  <si>
    <t>x6</t>
  </si>
  <si>
    <t>=&gt; ta co the ap dung phuong phap tiep tuyen</t>
  </si>
  <si>
    <t xml:space="preserve">B1: </t>
  </si>
  <si>
    <t>tsp4</t>
  </si>
  <si>
    <t>tsp5</t>
  </si>
  <si>
    <t>f(x) = e^x -5x + 2 = 0</t>
  </si>
  <si>
    <t>Khoảng xét: [0, 1] giải bằng phương pháp tiếp tuyến đến x4 và KL nghiệm</t>
  </si>
  <si>
    <t>f(0).f(1)=  &lt;0 =&gt; [0,1] là khoảng chứa nghiệm của phương trình</t>
  </si>
  <si>
    <t>|f'(x)| = |e^x-5| &gt;= 2 voi moi x trong khoang [0, 1] =&gt;Lấy m=2</t>
  </si>
  <si>
    <t>|f''(x)| = |e^x| &lt;= 3 voi moi x trong khoang [0, 1] =&gt; lấy M=3</t>
  </si>
  <si>
    <t>2 &lt;= |f'(x)|= |e^x-5| &lt;= 4</t>
  </si>
  <si>
    <t>1 &lt;= |f"(x)|=|e^x| &lt;= 3</t>
  </si>
  <si>
    <t>Vậy với sai số xấp xỉ ...(Tại ...) nghiệm của hệ là (,,,)</t>
  </si>
  <si>
    <t>q1 = 0.425</t>
  </si>
  <si>
    <t>p2 = 0.06</t>
  </si>
  <si>
    <t>q2 = 0.4</t>
  </si>
  <si>
    <t>p3=0.25</t>
  </si>
  <si>
    <t>q3 = 0.05</t>
  </si>
  <si>
    <t>p4=0.125</t>
  </si>
  <si>
    <t>Vậy với sai số xấp xỉ 1.19E-05(Tại x5) ta tìm được nghiệm xấp xỉ là ( 1.417481,-0.8428,2.091554,1.180379)</t>
  </si>
  <si>
    <t>Ta cần chọn x0 = 1 de f(x0) cung dau voi f''(x0)</t>
  </si>
  <si>
    <t>Vậy x4= 1.61803 với sai số là 4.1E-22</t>
  </si>
  <si>
    <r>
      <t>f(1).f(2)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>-0.11 &lt;0 =&gt; [1,2] là khoảng chứa nghiệm</t>
    </r>
  </si>
  <si>
    <t>KL: Vậy x5=1.61803</t>
  </si>
  <si>
    <t>Tính tích phân từ 0 đến 1 của f(x)=1/(1+x^2)^2</t>
  </si>
  <si>
    <t>|f''(x)|=|(20x^2-4)/(1+x^2)^4| &lt;24 =M2</t>
  </si>
  <si>
    <t>Suy ra |I*-I| &lt;=M2/12*h^2(b-a)=24/12*0.1^2*1=0.02</t>
  </si>
  <si>
    <t>B5</t>
  </si>
  <si>
    <t>Kết luận ta tính được gần đúng dung tích của f(x) trên [0,1] la 0.642283 voi sai so 0.02</t>
  </si>
  <si>
    <t>Như vậy theo công thức simpson thì:</t>
  </si>
  <si>
    <t>I*= h/3*(y0+y2n + 4y_le + 2y_chan) =</t>
  </si>
  <si>
    <t>I* = h*(0.5*(y0+y10)+y1+…+y9))=</t>
  </si>
  <si>
    <t>h.f(x,y)</t>
  </si>
  <si>
    <t>z</t>
  </si>
  <si>
    <t>h =</t>
  </si>
  <si>
    <t>Phương pháp Euler</t>
  </si>
  <si>
    <t>Phương pháp Euler cải tiến</t>
  </si>
  <si>
    <t>y(i+1)= y(i) + h*f(xi,yi)</t>
  </si>
  <si>
    <t>k1=h.f(x,y)</t>
  </si>
  <si>
    <t>z1=y+k1/2</t>
  </si>
  <si>
    <t>k2=hf(x+0.5h,z1)</t>
  </si>
  <si>
    <t>k3=hf(x+h,z2)</t>
  </si>
  <si>
    <t>Phương pháp Runge - Kutta 3</t>
  </si>
  <si>
    <t>z2=y -k1+2k2</t>
  </si>
  <si>
    <t>Phương pháp Runge - Kutta 4</t>
  </si>
  <si>
    <t>k3=hf(x+0.5h,y+0.5k2)</t>
  </si>
  <si>
    <t>k4=hf(x+h,y+k3)</t>
  </si>
  <si>
    <t>k2=hf(x+0.5*h,y+0.5k1)</t>
  </si>
  <si>
    <t>|f'(x)| &gt;= |f'(1)|with any x in [1, 2] =&gt; Lấy m = 0.5</t>
  </si>
  <si>
    <t>|f'(x)| &lt;= |f'(2)|with any x in [1, 2] =&gt; Lấy M = 1</t>
  </si>
  <si>
    <t>p3(x) = a0 +a1(x-2)+ a2(x-2)(x-4) + a3(x-2)(x-4)(x-6)</t>
  </si>
  <si>
    <t>tsp2= tsp1(p+1) -tsp1(p)/x(p+2)-xp</t>
  </si>
  <si>
    <t>Theo CT hình thang</t>
  </si>
  <si>
    <t>Theo CT Simpson</t>
  </si>
  <si>
    <t>Ta sẽ tính với h =</t>
  </si>
  <si>
    <t>|f4(x)|= |(840x^4-1008x^2+72)/(x^2+1)^6| &lt;= 72 = M4</t>
  </si>
  <si>
    <t>Suy ra |I*-I| &lt;= M4/180*h^4*(b-a)=72/180*0.1^4*1= 4*10^-5</t>
  </si>
  <si>
    <t>Kết luận ta tính được gần đúng dung tích của f(x) trên [0,1] la 0.642698 voi sai so 4*10^-5</t>
  </si>
  <si>
    <t>y(i+1)= y(i) + 0.5*(h*f(xi,yi)+h(f(x(i+1),z))</t>
  </si>
  <si>
    <t>h(f(x(i+1),z)</t>
  </si>
  <si>
    <t>y'=-x+y</t>
  </si>
  <si>
    <t>f(x) =cos(x)-sin(x) = 0</t>
  </si>
  <si>
    <t>khoang xet: [0, 1] giai bang phuong phap day cung den x5</t>
  </si>
  <si>
    <t>f'(x) = -sin(x)-cos(x)</t>
  </si>
  <si>
    <t>f(x) = cos(x)-x = 0</t>
  </si>
  <si>
    <t>[a, b] = [0,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</si>
</sst>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VNSS10"/>
    </font>
    <font>
      <sz val="11"/>
      <color rgb="FF000000"/>
      <name val="CMSSI10"/>
    </font>
    <font>
      <sz val="8"/>
      <color rgb="FF000000"/>
      <name val="VNSS8"/>
    </font>
    <font>
      <sz val="11"/>
      <color rgb="FF000000"/>
      <name val="CMMI10"/>
    </font>
    <font>
      <sz val="11"/>
      <color rgb="FF000000"/>
      <name val="CMSS10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2" xfId="0" applyBorder="1"/>
    <xf numFmtId="0" fontId="3" fillId="0" borderId="1" xfId="0" applyFont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3" borderId="2" xfId="0" applyFill="1" applyBorder="1"/>
    <xf numFmtId="0" fontId="5" fillId="0" borderId="0" xfId="0" applyFont="1"/>
    <xf numFmtId="0" fontId="7" fillId="0" borderId="3" xfId="0" applyFont="1" applyBorder="1"/>
    <xf numFmtId="0" fontId="0" fillId="0" borderId="5" xfId="0" applyBorder="1"/>
    <xf numFmtId="0" fontId="7" fillId="0" borderId="8" xfId="0" applyFont="1" applyBorder="1"/>
    <xf numFmtId="0" fontId="0" fillId="0" borderId="10" xfId="0" applyBorder="1"/>
    <xf numFmtId="0" fontId="0" fillId="0" borderId="0" xfId="0" applyAlignment="1">
      <alignment horizontal="left"/>
    </xf>
    <xf numFmtId="0" fontId="12" fillId="0" borderId="0" xfId="0" applyFont="1"/>
    <xf numFmtId="0" fontId="0" fillId="0" borderId="7" xfId="0" applyBorder="1"/>
    <xf numFmtId="0" fontId="3" fillId="0" borderId="0" xfId="0" applyFont="1" applyAlignment="1">
      <alignment horizontal="left" vertical="center"/>
    </xf>
    <xf numFmtId="0" fontId="6" fillId="0" borderId="12" xfId="0" applyFont="1" applyFill="1" applyBorder="1"/>
    <xf numFmtId="0" fontId="1" fillId="0" borderId="13" xfId="0" applyFont="1" applyBorder="1" applyAlignment="1">
      <alignment horizontal="left"/>
    </xf>
    <xf numFmtId="0" fontId="1" fillId="0" borderId="12" xfId="0" applyFont="1" applyBorder="1"/>
    <xf numFmtId="0" fontId="0" fillId="0" borderId="14" xfId="0" applyBorder="1"/>
    <xf numFmtId="0" fontId="1" fillId="0" borderId="14" xfId="0" applyFont="1" applyBorder="1"/>
    <xf numFmtId="0" fontId="0" fillId="0" borderId="13" xfId="0" applyBorder="1"/>
    <xf numFmtId="0" fontId="1" fillId="0" borderId="15" xfId="0" applyFont="1" applyBorder="1"/>
    <xf numFmtId="0" fontId="1" fillId="0" borderId="16" xfId="0" applyFont="1" applyBorder="1"/>
    <xf numFmtId="0" fontId="1" fillId="0" borderId="11" xfId="0" applyFont="1" applyBorder="1"/>
    <xf numFmtId="0" fontId="0" fillId="0" borderId="12" xfId="0" applyBorder="1"/>
    <xf numFmtId="0" fontId="0" fillId="0" borderId="0" xfId="0" quotePrefix="1"/>
    <xf numFmtId="0" fontId="0" fillId="0" borderId="4" xfId="0" applyNumberFormat="1" applyBorder="1"/>
    <xf numFmtId="0" fontId="0" fillId="0" borderId="6" xfId="0" applyNumberFormat="1" applyBorder="1"/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0" xfId="0" applyFill="1" applyBorder="1"/>
    <xf numFmtId="0" fontId="1" fillId="0" borderId="0" xfId="0" applyFont="1"/>
    <xf numFmtId="164" fontId="0" fillId="0" borderId="0" xfId="0" applyNumberFormat="1"/>
    <xf numFmtId="0" fontId="0" fillId="0" borderId="7" xfId="0" applyNumberFormat="1" applyBorder="1"/>
    <xf numFmtId="0" fontId="0" fillId="0" borderId="10" xfId="0" applyNumberFormat="1" applyBorder="1"/>
    <xf numFmtId="0" fontId="1" fillId="2" borderId="15" xfId="0" applyNumberFormat="1" applyFont="1" applyFill="1" applyBorder="1"/>
    <xf numFmtId="0" fontId="1" fillId="2" borderId="17" xfId="0" applyNumberFormat="1" applyFont="1" applyFill="1" applyBorder="1"/>
    <xf numFmtId="0" fontId="1" fillId="2" borderId="16" xfId="0" applyNumberFormat="1" applyFont="1" applyFill="1" applyBorder="1"/>
    <xf numFmtId="0" fontId="13" fillId="0" borderId="0" xfId="0" applyFont="1"/>
    <xf numFmtId="0" fontId="1" fillId="0" borderId="13" xfId="0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B26B-D57E-4589-A9CA-A61F79F26B0B}">
  <dimension ref="G1:S23"/>
  <sheetViews>
    <sheetView topLeftCell="C1" workbookViewId="0">
      <selection activeCell="J15" sqref="J15"/>
    </sheetView>
  </sheetViews>
  <sheetFormatPr defaultRowHeight="15"/>
  <cols>
    <col min="11" max="11" width="7.140625" customWidth="1"/>
  </cols>
  <sheetData>
    <row r="1" spans="7:19" ht="15.75" thickBot="1">
      <c r="K1" s="48" t="s">
        <v>0</v>
      </c>
      <c r="L1" s="48"/>
      <c r="M1" s="48"/>
      <c r="P1" s="2" t="s">
        <v>1</v>
      </c>
    </row>
    <row r="2" spans="7:19">
      <c r="K2" s="4">
        <v>0</v>
      </c>
      <c r="L2" s="5">
        <f>-0.3</f>
        <v>-0.3</v>
      </c>
      <c r="M2" s="33">
        <v>-0.1</v>
      </c>
      <c r="N2" s="15">
        <v>0</v>
      </c>
      <c r="O2" s="3"/>
      <c r="P2" s="43">
        <v>1.4</v>
      </c>
    </row>
    <row r="3" spans="7:19">
      <c r="K3" s="34">
        <v>-0.16</v>
      </c>
      <c r="L3" s="35">
        <v>0</v>
      </c>
      <c r="M3" s="35">
        <v>0.4</v>
      </c>
      <c r="N3" s="41">
        <v>0</v>
      </c>
      <c r="O3" s="35"/>
      <c r="P3" s="44">
        <v>1.4</v>
      </c>
    </row>
    <row r="4" spans="7:19">
      <c r="K4" s="34">
        <v>-0.25</v>
      </c>
      <c r="L4" s="35">
        <v>0.125</v>
      </c>
      <c r="M4" s="35">
        <v>0</v>
      </c>
      <c r="N4" s="41">
        <v>0</v>
      </c>
      <c r="O4" s="35"/>
      <c r="P4" s="44">
        <v>0.75</v>
      </c>
    </row>
    <row r="5" spans="7:19" ht="15.75" thickBot="1">
      <c r="K5" s="36">
        <v>0</v>
      </c>
      <c r="L5" s="37">
        <v>0</v>
      </c>
      <c r="M5" s="37">
        <v>0</v>
      </c>
      <c r="N5" s="42">
        <v>0</v>
      </c>
      <c r="O5" s="35"/>
      <c r="P5" s="45">
        <v>0</v>
      </c>
    </row>
    <row r="9" spans="7:19">
      <c r="G9" t="s">
        <v>2</v>
      </c>
      <c r="H9" s="49" t="s">
        <v>3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</row>
    <row r="10" spans="7:19">
      <c r="G10" t="s">
        <v>4</v>
      </c>
      <c r="H10" t="s">
        <v>5</v>
      </c>
    </row>
    <row r="11" spans="7:19">
      <c r="G11" t="s">
        <v>6</v>
      </c>
      <c r="H11" t="s">
        <v>7</v>
      </c>
    </row>
    <row r="12" spans="7:19">
      <c r="G12" t="s">
        <v>8</v>
      </c>
      <c r="H12" t="s">
        <v>9</v>
      </c>
    </row>
    <row r="13" spans="7:19" ht="15.75" thickBot="1"/>
    <row r="14" spans="7:19" ht="15.75" thickBot="1">
      <c r="G14" s="24" t="s">
        <v>10</v>
      </c>
      <c r="H14" s="25"/>
      <c r="I14" s="26">
        <f>MAX(ABS(K2)+ABS(L2)+ABS(M2)+ABS(N2),ABS(K3)+ABS(L3)+ABS(M3)+ABS(N3),ABS(K4)+ABS(L4)+ABS(M4)+ABS(N4),ABS(K5)+ABS(L5)+ABS(M5)+ABS(N5))</f>
        <v>0.56000000000000005</v>
      </c>
      <c r="J14" s="27"/>
    </row>
    <row r="16" spans="7:19">
      <c r="G16" s="1" t="s">
        <v>11</v>
      </c>
      <c r="H16" s="1" t="s">
        <v>12</v>
      </c>
      <c r="I16" s="1" t="s">
        <v>13</v>
      </c>
      <c r="J16" s="1" t="s">
        <v>14</v>
      </c>
      <c r="K16" s="1" t="s">
        <v>15</v>
      </c>
      <c r="L16" s="1" t="s">
        <v>16</v>
      </c>
      <c r="M16" s="1" t="s">
        <v>17</v>
      </c>
    </row>
    <row r="17" spans="7:15">
      <c r="G17" s="1"/>
      <c r="H17" s="1">
        <v>0</v>
      </c>
      <c r="I17" s="1">
        <f t="shared" ref="I17:N20" si="0">(H$17*$K2+H$18*$L2+H$19*$M2+H$20*$N2)+$P2</f>
        <v>1.4</v>
      </c>
      <c r="J17" s="1">
        <f t="shared" si="0"/>
        <v>0.90499999999999992</v>
      </c>
      <c r="K17" s="1">
        <f t="shared" si="0"/>
        <v>0.89969999999999994</v>
      </c>
      <c r="L17" s="1">
        <f t="shared" si="0"/>
        <v>0.88361499999999993</v>
      </c>
      <c r="M17" s="1">
        <f t="shared" si="0"/>
        <v>0.86712309999999992</v>
      </c>
      <c r="N17" s="1">
        <f t="shared" si="0"/>
        <v>0.86497504499999989</v>
      </c>
      <c r="O17" s="3"/>
    </row>
    <row r="18" spans="7:15">
      <c r="G18" s="1"/>
      <c r="H18" s="1">
        <v>0</v>
      </c>
      <c r="I18" s="1">
        <f t="shared" si="0"/>
        <v>1.4</v>
      </c>
      <c r="J18" s="1">
        <f t="shared" si="0"/>
        <v>1.476</v>
      </c>
      <c r="K18" s="1">
        <f t="shared" si="0"/>
        <v>1.4851999999999999</v>
      </c>
      <c r="L18" s="1">
        <f t="shared" si="0"/>
        <v>1.5393479999999999</v>
      </c>
      <c r="M18" s="1">
        <f t="shared" si="0"/>
        <v>1.5429116</v>
      </c>
      <c r="N18" s="1">
        <f t="shared" si="0"/>
        <v>1.549866204</v>
      </c>
      <c r="O18" s="3"/>
    </row>
    <row r="19" spans="7:15">
      <c r="G19" s="1"/>
      <c r="H19" s="1">
        <v>0</v>
      </c>
      <c r="I19" s="1">
        <f t="shared" si="0"/>
        <v>0.75</v>
      </c>
      <c r="J19" s="1">
        <f t="shared" si="0"/>
        <v>0.57499999999999996</v>
      </c>
      <c r="K19" s="1">
        <f t="shared" si="0"/>
        <v>0.70825000000000005</v>
      </c>
      <c r="L19" s="1">
        <f t="shared" si="0"/>
        <v>0.71072500000000005</v>
      </c>
      <c r="M19" s="1">
        <f t="shared" si="0"/>
        <v>0.72151474999999998</v>
      </c>
      <c r="N19" s="1">
        <f t="shared" si="0"/>
        <v>0.72608317500000008</v>
      </c>
      <c r="O19" s="3"/>
    </row>
    <row r="20" spans="7:15">
      <c r="G20" s="1"/>
      <c r="H20" s="1">
        <v>0</v>
      </c>
      <c r="I20" s="1">
        <f t="shared" si="0"/>
        <v>0</v>
      </c>
      <c r="J20" s="1">
        <f t="shared" si="0"/>
        <v>0</v>
      </c>
      <c r="K20" s="1">
        <f t="shared" si="0"/>
        <v>0</v>
      </c>
      <c r="L20" s="1">
        <f t="shared" si="0"/>
        <v>0</v>
      </c>
      <c r="M20" s="1">
        <f t="shared" si="0"/>
        <v>0</v>
      </c>
      <c r="N20" s="1">
        <f t="shared" si="0"/>
        <v>0</v>
      </c>
      <c r="O20" s="3"/>
    </row>
    <row r="21" spans="7:15">
      <c r="G21" s="1" t="s">
        <v>18</v>
      </c>
      <c r="H21" s="1"/>
      <c r="I21" s="1">
        <f>MAX(ABS(I$17-H$17),ABS(I$18-H$18),ABS(I$19-H$19),ABS(I$20-H$20))*($I$14/(1-$I$14))</f>
        <v>1.781818181818182</v>
      </c>
      <c r="J21" s="1">
        <f>MAX(ABS(J$17-I$17),ABS(J$18-I$18),ABS(J$19-I$19),ABS(J$20-I$20))*($I$14/(1-$I$14))</f>
        <v>0.63000000000000012</v>
      </c>
      <c r="K21" s="1">
        <f>MAX(ABS(K$17-J$17),ABS(K$18-J$18),ABS(K$19-J$19),ABS(K$20-J$20))*($I$14/(1-$I$14))</f>
        <v>0.16959090909090924</v>
      </c>
      <c r="L21" s="1">
        <f t="shared" ref="L21" si="1">MAX(ABS(L$17-K$17),ABS(L$18-K$18),ABS(L$19-K$19),ABS(L$20-K$20))*($I$14/(1-$I$14))</f>
        <v>6.8915636363636484E-2</v>
      </c>
      <c r="M21" s="1">
        <f>MAX(ABS(M$17-L$17),ABS(M$18-L$18),ABS(M$19-L$19),ABS(M$20-L$20))*($I$14/(1-$I$14))</f>
        <v>2.0989690909090919E-2</v>
      </c>
      <c r="N21" s="1">
        <f>MAX(ABS(N$17-M$17),ABS(N$18-M$18),ABS(N$19-M$19),ABS(N$20-M$20))*($I$14/(1-$I$14))</f>
        <v>8.8513141818180804E-3</v>
      </c>
      <c r="O21" s="3"/>
    </row>
    <row r="23" spans="7:15">
      <c r="G23" t="s">
        <v>84</v>
      </c>
    </row>
  </sheetData>
  <mergeCells count="2">
    <mergeCell ref="K1:M1"/>
    <mergeCell ref="H9:S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0619-74CA-4D0A-966F-94A7E0470CE4}">
  <dimension ref="C1:N17"/>
  <sheetViews>
    <sheetView zoomScale="110" zoomScaleNormal="110" workbookViewId="0">
      <selection activeCell="G12" sqref="G12"/>
    </sheetView>
  </sheetViews>
  <sheetFormatPr defaultRowHeight="15"/>
  <cols>
    <col min="9" max="9" width="8.140625" customWidth="1"/>
  </cols>
  <sheetData>
    <row r="1" spans="3:14">
      <c r="I1" s="9" t="s">
        <v>19</v>
      </c>
    </row>
    <row r="3" spans="3:14">
      <c r="J3" t="s">
        <v>20</v>
      </c>
      <c r="N3" t="s">
        <v>21</v>
      </c>
    </row>
    <row r="5" spans="3:14">
      <c r="F5" s="10" t="s">
        <v>22</v>
      </c>
      <c r="G5" s="10" t="s">
        <v>85</v>
      </c>
      <c r="H5" s="10">
        <f>(ABS(J5)+ABS(K5)+ABS(L5))/(1-I5)</f>
        <v>0.1</v>
      </c>
      <c r="I5" s="1">
        <v>0</v>
      </c>
      <c r="J5" s="11">
        <v>-0.1</v>
      </c>
      <c r="K5" s="11">
        <v>0</v>
      </c>
      <c r="L5" s="11"/>
      <c r="N5" s="1">
        <v>2</v>
      </c>
    </row>
    <row r="6" spans="3:14" ht="15.75" thickBot="1">
      <c r="F6" s="10" t="s">
        <v>86</v>
      </c>
      <c r="G6" s="10" t="s">
        <v>87</v>
      </c>
      <c r="H6" s="51">
        <f>1/19</f>
        <v>5.2631578947368418E-2</v>
      </c>
      <c r="I6" s="12">
        <v>0.05</v>
      </c>
      <c r="J6" s="1">
        <v>0</v>
      </c>
      <c r="K6" s="11">
        <v>0.05</v>
      </c>
      <c r="L6" s="11"/>
      <c r="N6" s="1">
        <v>1.45</v>
      </c>
    </row>
    <row r="7" spans="3:14" ht="15.75" thickBot="1">
      <c r="C7" s="22" t="s">
        <v>24</v>
      </c>
      <c r="D7" s="23">
        <f>MAX(H5,H6,H7,H8)</f>
        <v>0.1</v>
      </c>
      <c r="F7" s="10" t="s">
        <v>88</v>
      </c>
      <c r="G7" s="10" t="s">
        <v>89</v>
      </c>
      <c r="H7" s="10">
        <f>(ABS(L7))/(1-ABS(I7)-ABS(J7))</f>
        <v>0</v>
      </c>
      <c r="I7" s="12">
        <v>-0.125</v>
      </c>
      <c r="J7" s="12">
        <v>6.25E-2</v>
      </c>
      <c r="K7" s="1">
        <v>0</v>
      </c>
      <c r="L7" s="11"/>
      <c r="N7" s="1">
        <v>1.0625</v>
      </c>
    </row>
    <row r="8" spans="3:14">
      <c r="C8" s="13"/>
      <c r="F8" s="10" t="s">
        <v>90</v>
      </c>
      <c r="G8" s="10" t="s">
        <v>23</v>
      </c>
      <c r="H8">
        <f>ABS(L8)/(1-ABS(I8)-ABS(J8)-ABS(K8))</f>
        <v>0</v>
      </c>
      <c r="I8" s="12"/>
      <c r="J8" s="12"/>
      <c r="K8" s="12"/>
      <c r="L8" s="1"/>
      <c r="N8" s="1">
        <v>0</v>
      </c>
    </row>
    <row r="10" spans="3:14"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</row>
    <row r="11" spans="3:14">
      <c r="F11">
        <v>0</v>
      </c>
      <c r="G11">
        <f>$I5*F$11+$J5*F$12+$K5*F$13+$L5*F$14+$N5</f>
        <v>2</v>
      </c>
      <c r="H11">
        <f>$I5*G$11+$J5*G$12+$K5*G$13+$L5*G$14+$N5</f>
        <v>1.845</v>
      </c>
      <c r="I11">
        <f>$I5*H$11+$J5*H$12+$K5*H$13+$L5*H$14+$N5</f>
        <v>1.841228125</v>
      </c>
      <c r="J11">
        <f>$I5*I$11+$J5*I$12+$K5*I$13+$L5*I$14+$N5</f>
        <v>1.841138322265625</v>
      </c>
      <c r="K11">
        <f>$I5*J$11+$J5*J$12+$K5*J$13+$L5*J$14+$N5</f>
        <v>1.8411361332238769</v>
      </c>
    </row>
    <row r="12" spans="3:14">
      <c r="F12">
        <v>0</v>
      </c>
      <c r="G12">
        <f>$I6*G$11+$J6*F$12+$K6*F$13+$L6*F$14+$N6</f>
        <v>1.55</v>
      </c>
      <c r="H12">
        <f>$I6*H$11+$J6*G$12+$K6*G$13+$L6*G$14+$N6</f>
        <v>1.5877187500000001</v>
      </c>
      <c r="I12">
        <f>$I6*I$11+$J6*H$12+$K6*H$13+$L6*H$14+$N6</f>
        <v>1.5886167773437498</v>
      </c>
      <c r="J12">
        <f>$I6*J$11+$J6*I$12+$K6*I$13+$L6*I$14+$N6</f>
        <v>1.5886386677612305</v>
      </c>
      <c r="K12">
        <f>$I6*K$11+$J6*J$12+$K6*J$13+$L6*J$14+$N6</f>
        <v>1.5886391879837876</v>
      </c>
    </row>
    <row r="13" spans="3:14">
      <c r="F13">
        <v>0</v>
      </c>
      <c r="G13">
        <f>$I7*G$11+$J7*G$12+$K7*F$13+$L7*F$14+$N7</f>
        <v>0.90937500000000004</v>
      </c>
      <c r="H13">
        <f>$I7*H$11+$J7*H$12+$K7*G$13+$L7*G$14+$N7</f>
        <v>0.93110742187499995</v>
      </c>
      <c r="I13">
        <f>$I7*I$11+$J7*I$12+$K7*H$13+$L7*H$14+$N7</f>
        <v>0.93163503295898442</v>
      </c>
      <c r="J13">
        <f>$I7*J$11+$J7*J$12+$K7*I$13+$L7*I$14+$N7</f>
        <v>0.93164762645187382</v>
      </c>
      <c r="K13">
        <f>$I7*K$11+$J7*K$12+$K7*J$13+$L7*J$14+$N7</f>
        <v>0.93164793259600209</v>
      </c>
    </row>
    <row r="14" spans="3:14">
      <c r="F14">
        <v>0</v>
      </c>
      <c r="G14">
        <f>$I8*G$11+$J8*G$12+$K8*G$13+$L8*F$14+$N8</f>
        <v>0</v>
      </c>
      <c r="H14">
        <f>$I8*H$11+$J8*H$12+$K8*H$13+$L8*G$14+$N8</f>
        <v>0</v>
      </c>
      <c r="I14">
        <f>$I8*I$11+$J8*I$12+$K8*I$13+$L8*H$14+$N8</f>
        <v>0</v>
      </c>
      <c r="J14">
        <f>$I8*J$11+$J8*J$12+$K8*J$13+$L8*I$14+$N8</f>
        <v>0</v>
      </c>
      <c r="K14">
        <f>$I8*K$11+$J8*K$12+$K8*K$13+$L8*J$14+$N8</f>
        <v>0</v>
      </c>
    </row>
    <row r="15" spans="3:14">
      <c r="E15" t="s">
        <v>18</v>
      </c>
      <c r="G15">
        <f>($D$7/(1-$D$7))*MAX(ABS(G11-F11),ABS(G12-F12), ABS(G13-F13), ABS(G14-F14))</f>
        <v>0.22222222222222224</v>
      </c>
      <c r="H15">
        <f t="shared" ref="H15:K15" si="0">($D$7/(1-$D$7))*MAX(ABS(H11-G11),ABS(H12-G12), ABS(H13-G13), ABS(H14-G14))</f>
        <v>1.7222222222222226E-2</v>
      </c>
      <c r="I15">
        <f t="shared" si="0"/>
        <v>4.1909722222222007E-4</v>
      </c>
      <c r="J15">
        <f t="shared" si="0"/>
        <v>9.9780815972197155E-6</v>
      </c>
      <c r="K15">
        <f t="shared" si="0"/>
        <v>2.432268608989732E-7</v>
      </c>
    </row>
    <row r="17" spans="5:5">
      <c r="E17" t="s">
        <v>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6C53-450F-4B2C-8055-B8EE55F498D2}">
  <dimension ref="F1:O21"/>
  <sheetViews>
    <sheetView tabSelected="1" topLeftCell="A4" zoomScale="120" zoomScaleNormal="120" workbookViewId="0">
      <selection activeCell="I17" sqref="I17"/>
    </sheetView>
  </sheetViews>
  <sheetFormatPr defaultRowHeight="15"/>
  <cols>
    <col min="13" max="13" width="8.28515625" customWidth="1"/>
    <col min="15" max="15" width="12.42578125" customWidth="1"/>
  </cols>
  <sheetData>
    <row r="1" spans="6:15" ht="15.75" thickBot="1"/>
    <row r="2" spans="6:15">
      <c r="I2" s="14" t="s">
        <v>25</v>
      </c>
      <c r="J2" s="5"/>
      <c r="K2" s="5"/>
      <c r="L2" s="5"/>
      <c r="M2" s="5"/>
      <c r="N2" s="5"/>
      <c r="O2" s="15"/>
    </row>
    <row r="3" spans="6:15" ht="15.75" thickBot="1">
      <c r="I3" s="16" t="s">
        <v>26</v>
      </c>
      <c r="J3" s="8"/>
      <c r="K3" s="8"/>
      <c r="L3" s="8"/>
      <c r="M3" s="8"/>
      <c r="N3" s="8"/>
      <c r="O3" s="17"/>
    </row>
    <row r="7" spans="6:15">
      <c r="I7" s="21"/>
    </row>
    <row r="8" spans="6:15" ht="15.75" thickBot="1"/>
    <row r="9" spans="6:15">
      <c r="H9" s="4"/>
      <c r="I9" s="5" t="s">
        <v>136</v>
      </c>
      <c r="J9" s="5"/>
      <c r="K9" s="5"/>
      <c r="L9" s="5"/>
      <c r="M9" s="5"/>
      <c r="N9" s="15"/>
    </row>
    <row r="10" spans="6:15">
      <c r="H10" s="6"/>
      <c r="N10" s="20"/>
    </row>
    <row r="11" spans="6:15">
      <c r="H11" s="6" t="s">
        <v>137</v>
      </c>
      <c r="N11" s="20"/>
    </row>
    <row r="12" spans="6:15" ht="15.75" thickBot="1">
      <c r="H12" s="7" t="s">
        <v>50</v>
      </c>
      <c r="I12" s="8"/>
      <c r="J12" s="8"/>
      <c r="K12" s="8"/>
      <c r="L12" s="8"/>
      <c r="M12" s="8"/>
      <c r="N12" s="17"/>
    </row>
    <row r="13" spans="6:15">
      <c r="N13" t="s">
        <v>51</v>
      </c>
    </row>
    <row r="14" spans="6:15">
      <c r="G14" t="s">
        <v>12</v>
      </c>
      <c r="H14" t="s">
        <v>13</v>
      </c>
      <c r="I14" t="s">
        <v>14</v>
      </c>
      <c r="J14" t="s">
        <v>15</v>
      </c>
      <c r="K14" t="s">
        <v>16</v>
      </c>
      <c r="L14" t="s">
        <v>17</v>
      </c>
    </row>
    <row r="15" spans="6:15">
      <c r="F15" t="s">
        <v>52</v>
      </c>
      <c r="G15">
        <v>0</v>
      </c>
      <c r="H15">
        <v>0</v>
      </c>
      <c r="I15">
        <v>0</v>
      </c>
      <c r="J15">
        <v>0</v>
      </c>
      <c r="K15">
        <v>-1</v>
      </c>
      <c r="L15">
        <v>-1</v>
      </c>
    </row>
    <row r="16" spans="6:15">
      <c r="F16" t="s">
        <v>53</v>
      </c>
      <c r="G16">
        <v>1</v>
      </c>
      <c r="H16">
        <f>G17</f>
        <v>0.5</v>
      </c>
      <c r="I16">
        <f>H17</f>
        <v>0.25</v>
      </c>
      <c r="J16">
        <f>I17</f>
        <v>0.125</v>
      </c>
      <c r="K16">
        <f>J17</f>
        <v>6.25E-2</v>
      </c>
      <c r="L16">
        <f>K17</f>
        <v>-0.46875</v>
      </c>
    </row>
    <row r="17" spans="6:13">
      <c r="F17" t="s">
        <v>11</v>
      </c>
      <c r="G17">
        <f>(G15+G16)/2</f>
        <v>0.5</v>
      </c>
      <c r="H17">
        <f>(H15+H16)/2</f>
        <v>0.25</v>
      </c>
      <c r="I17">
        <f>(I15+I16)/2</f>
        <v>0.125</v>
      </c>
      <c r="J17">
        <f t="shared" ref="I17:K17" si="0">(J15+J16)/2</f>
        <v>6.25E-2</v>
      </c>
      <c r="K17">
        <f t="shared" si="0"/>
        <v>-0.46875</v>
      </c>
      <c r="L17">
        <f>(L15+L16)/2</f>
        <v>-0.734375</v>
      </c>
      <c r="M17">
        <f>(L17+L15)/2</f>
        <v>-0.8671875</v>
      </c>
    </row>
    <row r="18" spans="6:13">
      <c r="F18" t="s">
        <v>54</v>
      </c>
      <c r="G18">
        <f>COS(G17)-G17</f>
        <v>0.37758256189037276</v>
      </c>
      <c r="H18">
        <f>COS(H17)-H17</f>
        <v>0.71891242171064473</v>
      </c>
      <c r="I18">
        <f>COS(I17)-I17</f>
        <v>0.86719766722932901</v>
      </c>
      <c r="J18">
        <f t="shared" ref="H18:L18" si="1">COS(J17)-J17</f>
        <v>0.93554751070009912</v>
      </c>
      <c r="K18">
        <f t="shared" si="1"/>
        <v>1.3608836993669944</v>
      </c>
      <c r="L18">
        <f t="shared" si="1"/>
        <v>1.4766247254585014</v>
      </c>
    </row>
    <row r="19" spans="6:13">
      <c r="F19" t="s">
        <v>55</v>
      </c>
      <c r="G19">
        <f>(G17-G15)/2</f>
        <v>0.25</v>
      </c>
      <c r="H19">
        <f>(H17-H15)/2</f>
        <v>0.125</v>
      </c>
      <c r="I19">
        <f t="shared" ref="I19" si="2">(I17-I15)/2</f>
        <v>6.25E-2</v>
      </c>
      <c r="J19">
        <f>(J17-J15)/2</f>
        <v>3.125E-2</v>
      </c>
      <c r="K19">
        <f>(K17-K15)/2</f>
        <v>0.265625</v>
      </c>
      <c r="L19">
        <f>(L17-L15)/2</f>
        <v>0.1328125</v>
      </c>
    </row>
    <row r="21" spans="6:13">
      <c r="F21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955D-3C89-495F-B9FD-40526E342472}">
  <dimension ref="E1:O20"/>
  <sheetViews>
    <sheetView topLeftCell="C1" zoomScale="120" zoomScaleNormal="120" workbookViewId="0">
      <selection activeCell="I15" sqref="I15"/>
    </sheetView>
  </sheetViews>
  <sheetFormatPr defaultRowHeight="15"/>
  <cols>
    <col min="10" max="10" width="10.140625" customWidth="1"/>
    <col min="15" max="15" width="11.7109375" customWidth="1"/>
    <col min="20" max="20" width="8" customWidth="1"/>
  </cols>
  <sheetData>
    <row r="1" spans="5:15" ht="15.75" thickBot="1"/>
    <row r="2" spans="5:15">
      <c r="I2" s="14" t="s">
        <v>25</v>
      </c>
      <c r="J2" s="5"/>
      <c r="K2" s="5"/>
      <c r="L2" s="5"/>
      <c r="M2" s="5"/>
      <c r="N2" s="5"/>
      <c r="O2" s="15"/>
    </row>
    <row r="3" spans="5:15" ht="15.75" thickBot="1">
      <c r="I3" s="16" t="s">
        <v>26</v>
      </c>
      <c r="J3" s="8"/>
      <c r="K3" s="8"/>
      <c r="L3" s="8"/>
      <c r="M3" s="8"/>
      <c r="N3" s="8"/>
      <c r="O3" s="17"/>
    </row>
    <row r="4" spans="5:15" ht="15.75" thickBot="1"/>
    <row r="5" spans="5:15">
      <c r="I5" s="4"/>
      <c r="J5" s="5" t="s">
        <v>133</v>
      </c>
      <c r="K5" s="5"/>
      <c r="L5" s="5"/>
      <c r="M5" s="5"/>
      <c r="N5" s="15"/>
    </row>
    <row r="6" spans="5:15">
      <c r="I6" s="6"/>
      <c r="J6" s="3"/>
      <c r="K6" s="3"/>
      <c r="L6" s="3"/>
      <c r="M6" s="3"/>
      <c r="N6" s="20"/>
    </row>
    <row r="7" spans="5:15">
      <c r="I7" s="6" t="s">
        <v>134</v>
      </c>
      <c r="J7" s="3"/>
      <c r="K7" s="3"/>
      <c r="L7" s="3"/>
      <c r="M7" s="3"/>
      <c r="N7" s="20"/>
    </row>
    <row r="8" spans="5:15" ht="15.75" thickBot="1">
      <c r="I8" s="7"/>
      <c r="J8" s="8"/>
      <c r="K8" s="8"/>
      <c r="L8" s="8"/>
      <c r="M8" s="8"/>
      <c r="N8" s="17"/>
    </row>
    <row r="9" spans="5:15">
      <c r="E9" s="18" t="s">
        <v>58</v>
      </c>
      <c r="F9" t="s">
        <v>94</v>
      </c>
    </row>
    <row r="10" spans="5:15" ht="15.75" thickBot="1">
      <c r="E10" s="18" t="s">
        <v>57</v>
      </c>
      <c r="F10" t="s">
        <v>135</v>
      </c>
    </row>
    <row r="11" spans="5:15">
      <c r="E11" s="18"/>
      <c r="F11" t="s">
        <v>120</v>
      </c>
      <c r="K11" s="28">
        <v>0.5</v>
      </c>
    </row>
    <row r="12" spans="5:15" ht="15.75" thickBot="1">
      <c r="E12" s="18"/>
      <c r="F12" t="s">
        <v>121</v>
      </c>
      <c r="K12" s="29">
        <v>1</v>
      </c>
    </row>
    <row r="13" spans="5:15">
      <c r="E13" s="18" t="s">
        <v>59</v>
      </c>
      <c r="G13" t="s">
        <v>12</v>
      </c>
      <c r="H13" t="s">
        <v>13</v>
      </c>
      <c r="I13" t="s">
        <v>14</v>
      </c>
      <c r="J13" t="s">
        <v>15</v>
      </c>
      <c r="K13" t="s">
        <v>16</v>
      </c>
      <c r="L13" t="s">
        <v>17</v>
      </c>
    </row>
    <row r="14" spans="5:15">
      <c r="F14" t="s">
        <v>52</v>
      </c>
      <c r="G14">
        <v>0</v>
      </c>
      <c r="H14">
        <v>0</v>
      </c>
      <c r="I14">
        <f>H16</f>
        <v>0.7873094038990367</v>
      </c>
      <c r="J14" t="e">
        <f>I16</f>
        <v>#DIV/0!</v>
      </c>
      <c r="K14" t="e">
        <f t="shared" ref="H14:L14" si="0">J16</f>
        <v>#DIV/0!</v>
      </c>
      <c r="L14" t="e">
        <f t="shared" si="0"/>
        <v>#DIV/0!</v>
      </c>
    </row>
    <row r="15" spans="5:15">
      <c r="F15" t="s">
        <v>53</v>
      </c>
      <c r="G15">
        <v>1</v>
      </c>
      <c r="H15">
        <f>G16</f>
        <v>0.76853986434321431</v>
      </c>
      <c r="I15">
        <f>H16</f>
        <v>0.7873094038990367</v>
      </c>
      <c r="J15">
        <v>1</v>
      </c>
      <c r="K15">
        <v>1</v>
      </c>
      <c r="L15">
        <v>1</v>
      </c>
    </row>
    <row r="16" spans="5:15">
      <c r="F16" t="s">
        <v>11</v>
      </c>
      <c r="G16">
        <f>(G14*(COS(G15)-SIN(G15))-G15*(COS(G14)-SIN(G14)))/(COS(G15)-SIN(G15)-COS(G14)+SIN(G14))</f>
        <v>0.76853986434321431</v>
      </c>
      <c r="H16">
        <f t="shared" ref="H16:L16" si="1">(H14*(COS(H15)-SIN(H15))-H15*(COS(H14)-SIN(H14)))/(COS(H15)-SIN(H15)-COS(H14)+SIN(H14))</f>
        <v>0.7873094038990367</v>
      </c>
      <c r="I16" t="e">
        <f t="shared" si="1"/>
        <v>#DIV/0!</v>
      </c>
      <c r="J16" t="e">
        <f t="shared" si="1"/>
        <v>#DIV/0!</v>
      </c>
      <c r="K16" t="e">
        <f t="shared" si="1"/>
        <v>#DIV/0!</v>
      </c>
      <c r="L16" t="e">
        <f t="shared" si="1"/>
        <v>#DIV/0!</v>
      </c>
    </row>
    <row r="17" spans="6:12">
      <c r="F17" t="s">
        <v>54</v>
      </c>
      <c r="G17">
        <f>COS(G16)-SIN(G16)</f>
        <v>2.3840105888319085E-2</v>
      </c>
      <c r="H17">
        <f t="shared" ref="H17:L17" si="2">COS(H16)-SIN(H16)</f>
        <v>-2.7029005927583505E-3</v>
      </c>
      <c r="I17" t="e">
        <f t="shared" si="2"/>
        <v>#DIV/0!</v>
      </c>
      <c r="J17" t="e">
        <f t="shared" si="2"/>
        <v>#DIV/0!</v>
      </c>
      <c r="K17" t="e">
        <f t="shared" si="2"/>
        <v>#DIV/0!</v>
      </c>
      <c r="L17" t="e">
        <f t="shared" si="2"/>
        <v>#DIV/0!</v>
      </c>
    </row>
    <row r="18" spans="6:12">
      <c r="F18" s="39" t="s">
        <v>18</v>
      </c>
      <c r="G18" s="39"/>
      <c r="H18" s="39">
        <f>(($K12-$K11)/$K11)*ABS(H16-G16)</f>
        <v>1.876953955582239E-2</v>
      </c>
      <c r="I18" s="39" t="e">
        <f t="shared" ref="I18:L18" si="3">(($K12-$K11)/$K11)*ABS(I16-H16)</f>
        <v>#DIV/0!</v>
      </c>
      <c r="J18" s="39" t="e">
        <f t="shared" si="3"/>
        <v>#DIV/0!</v>
      </c>
      <c r="K18" s="39" t="e">
        <f t="shared" si="3"/>
        <v>#DIV/0!</v>
      </c>
      <c r="L18" s="39" t="e">
        <f t="shared" si="3"/>
        <v>#DIV/0!</v>
      </c>
    </row>
    <row r="20" spans="6:12">
      <c r="F20" t="s">
        <v>95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8602-35E7-456E-9245-EA1F7AF21CB7}">
  <dimension ref="G1:N16"/>
  <sheetViews>
    <sheetView zoomScale="120" zoomScaleNormal="120" workbookViewId="0">
      <selection activeCell="L15" sqref="L15"/>
    </sheetView>
  </sheetViews>
  <sheetFormatPr defaultRowHeight="15"/>
  <sheetData>
    <row r="1" spans="7:14" ht="15.75" thickBot="1"/>
    <row r="2" spans="7:14" ht="15.75" thickBot="1">
      <c r="I2" s="31"/>
      <c r="J2" s="25" t="s">
        <v>60</v>
      </c>
      <c r="K2" s="25"/>
      <c r="L2" s="27"/>
    </row>
    <row r="4" spans="7:14">
      <c r="H4" t="s">
        <v>61</v>
      </c>
      <c r="J4" t="s">
        <v>62</v>
      </c>
    </row>
    <row r="5" spans="7:14">
      <c r="J5" t="s">
        <v>63</v>
      </c>
    </row>
    <row r="6" spans="7:14">
      <c r="J6" t="s">
        <v>64</v>
      </c>
    </row>
    <row r="8" spans="7:14">
      <c r="G8" t="s">
        <v>65</v>
      </c>
      <c r="H8" t="s">
        <v>66</v>
      </c>
    </row>
    <row r="9" spans="7:14">
      <c r="H9" t="s">
        <v>67</v>
      </c>
    </row>
    <row r="10" spans="7:14">
      <c r="H10" t="s">
        <v>68</v>
      </c>
    </row>
    <row r="11" spans="7:14" ht="15.75" thickBot="1">
      <c r="G11" t="s">
        <v>69</v>
      </c>
      <c r="H11" t="s">
        <v>70</v>
      </c>
    </row>
    <row r="12" spans="7:14" ht="15.75" thickBot="1">
      <c r="H12" t="s">
        <v>71</v>
      </c>
      <c r="N12" s="30">
        <v>0.3</v>
      </c>
    </row>
    <row r="14" spans="7:14">
      <c r="H14" t="s">
        <v>12</v>
      </c>
      <c r="I14" t="s">
        <v>13</v>
      </c>
      <c r="J14" t="s">
        <v>14</v>
      </c>
      <c r="K14" t="s">
        <v>15</v>
      </c>
      <c r="L14" t="s">
        <v>16</v>
      </c>
      <c r="M14" t="s">
        <v>17</v>
      </c>
      <c r="N14" t="s">
        <v>72</v>
      </c>
    </row>
    <row r="15" spans="7:14">
      <c r="H15">
        <v>0.5</v>
      </c>
      <c r="I15">
        <f>COS(H15)</f>
        <v>0.87758256189037276</v>
      </c>
      <c r="J15">
        <f t="shared" ref="J15:M15" si="0">COS(I15)</f>
        <v>0.63901249416525918</v>
      </c>
      <c r="K15">
        <f t="shared" si="0"/>
        <v>0.8026851006823349</v>
      </c>
      <c r="L15">
        <f t="shared" si="0"/>
        <v>0.69477802678800615</v>
      </c>
      <c r="M15">
        <f t="shared" si="0"/>
        <v>0.76819583128201607</v>
      </c>
      <c r="N15">
        <f t="shared" ref="J15:N15" si="1">(1+M15)^(1/3)</f>
        <v>1.2092333625348435</v>
      </c>
    </row>
    <row r="16" spans="7:14">
      <c r="G16" t="s">
        <v>18</v>
      </c>
      <c r="I16">
        <f>($N12/(1-$N12))*ABS(I15-H15)</f>
        <v>0.16182109795301691</v>
      </c>
      <c r="J16">
        <f t="shared" ref="J16:N16" si="2">($N12/(1-$N12))*ABS(J15-I15)</f>
        <v>0.1022443147393344</v>
      </c>
      <c r="K16">
        <f t="shared" si="2"/>
        <v>7.0145402793032455E-2</v>
      </c>
      <c r="L16">
        <f t="shared" si="2"/>
        <v>4.6245888811855179E-2</v>
      </c>
      <c r="M16">
        <f t="shared" si="2"/>
        <v>3.1464773354575683E-2</v>
      </c>
      <c r="N16">
        <f t="shared" si="2"/>
        <v>0.18901608482264035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58EBD-6136-4F2C-A1EA-F7A0F59A6AF3}">
  <dimension ref="E1:P17"/>
  <sheetViews>
    <sheetView zoomScale="120" zoomScaleNormal="120" workbookViewId="0">
      <selection activeCell="G15" sqref="G15"/>
    </sheetView>
  </sheetViews>
  <sheetFormatPr defaultRowHeight="15"/>
  <cols>
    <col min="9" max="9" width="9.140625" customWidth="1"/>
    <col min="10" max="10" width="8.28515625" customWidth="1"/>
    <col min="11" max="11" width="10.7109375" customWidth="1"/>
    <col min="12" max="12" width="9.140625" customWidth="1"/>
  </cols>
  <sheetData>
    <row r="1" spans="5:16" ht="15.75" thickBot="1"/>
    <row r="2" spans="5:16">
      <c r="G2" s="4"/>
      <c r="H2" s="5" t="s">
        <v>77</v>
      </c>
      <c r="I2" s="5"/>
      <c r="J2" s="5"/>
      <c r="K2" s="5"/>
      <c r="L2" s="5"/>
      <c r="M2" s="15"/>
    </row>
    <row r="3" spans="5:16">
      <c r="G3" s="6"/>
      <c r="H3" s="3"/>
      <c r="I3" s="3"/>
      <c r="J3" s="3"/>
      <c r="K3" s="3"/>
      <c r="L3" s="3"/>
      <c r="M3" s="20"/>
    </row>
    <row r="4" spans="5:16">
      <c r="G4" s="6" t="s">
        <v>78</v>
      </c>
      <c r="H4" s="3"/>
      <c r="I4" s="3"/>
      <c r="J4" s="3"/>
      <c r="K4" s="3"/>
      <c r="L4" s="3"/>
      <c r="M4" s="20"/>
    </row>
    <row r="5" spans="5:16" ht="15.75" thickBot="1">
      <c r="G5" s="7"/>
      <c r="H5" s="8"/>
      <c r="I5" s="8"/>
      <c r="J5" s="8"/>
      <c r="K5" s="8"/>
      <c r="L5" s="8"/>
      <c r="M5" s="17"/>
    </row>
    <row r="8" spans="5:16" ht="15.75" thickBot="1">
      <c r="E8" t="s">
        <v>74</v>
      </c>
      <c r="F8" t="s">
        <v>79</v>
      </c>
    </row>
    <row r="9" spans="5:16">
      <c r="E9" t="s">
        <v>57</v>
      </c>
      <c r="F9" t="s">
        <v>80</v>
      </c>
      <c r="K9" s="32"/>
      <c r="M9" t="s">
        <v>82</v>
      </c>
      <c r="P9" s="28">
        <v>1</v>
      </c>
    </row>
    <row r="10" spans="5:16" ht="15.75" thickBot="1">
      <c r="F10" t="s">
        <v>81</v>
      </c>
      <c r="K10" s="32"/>
      <c r="M10" t="s">
        <v>83</v>
      </c>
      <c r="P10" s="29">
        <v>1</v>
      </c>
    </row>
    <row r="11" spans="5:16">
      <c r="F11" s="32" t="s">
        <v>73</v>
      </c>
    </row>
    <row r="12" spans="5:16">
      <c r="F12" t="s">
        <v>92</v>
      </c>
    </row>
    <row r="14" spans="5:16">
      <c r="F14" t="s">
        <v>12</v>
      </c>
      <c r="G14" t="s">
        <v>13</v>
      </c>
      <c r="H14" t="s">
        <v>14</v>
      </c>
      <c r="I14" t="s">
        <v>15</v>
      </c>
      <c r="J14" t="s">
        <v>16</v>
      </c>
    </row>
    <row r="15" spans="5:16">
      <c r="F15">
        <v>1</v>
      </c>
      <c r="G15">
        <f>F15-((SIN(F15)-F15)/(COS(F15)-1))</f>
        <v>0.65514507204243044</v>
      </c>
      <c r="H15">
        <f>G15-((SIN(G15)-G15)/(COS(G15)-1))</f>
        <v>0.43359036836349274</v>
      </c>
      <c r="I15">
        <f t="shared" ref="I15" si="0">H15-((SIN(H15)-H15)/(COS(H15)-1))</f>
        <v>0.28814840089250121</v>
      </c>
      <c r="J15">
        <f>I15-((SIN(I15)-I15)/(COS(I15)-1))</f>
        <v>0.19183231215063862</v>
      </c>
    </row>
    <row r="16" spans="5:16">
      <c r="E16" t="s">
        <v>18</v>
      </c>
      <c r="G16">
        <f>($P10/(2*$P9))*((G15-F15)^2)</f>
        <v>5.9462460668310242E-2</v>
      </c>
      <c r="H16">
        <f>($P10/(2*$P9))*((H15-G15)^2)</f>
        <v>2.4543243361130947E-2</v>
      </c>
      <c r="I16" s="40">
        <f>($P10/(2*$P9))*((I15-H15)^2)</f>
        <v>1.057668295091648E-2</v>
      </c>
      <c r="J16">
        <f>($P10/(2*$P9))*((J15-I15)^2)</f>
        <v>4.638394475265175E-3</v>
      </c>
    </row>
    <row r="17" spans="5:5">
      <c r="E17" t="s">
        <v>93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F494-875D-45D8-8F8F-A6850B3D3DD4}">
  <dimension ref="B1:K47"/>
  <sheetViews>
    <sheetView topLeftCell="A28" zoomScale="120" zoomScaleNormal="120" workbookViewId="0">
      <selection activeCell="G41" sqref="G41"/>
    </sheetView>
  </sheetViews>
  <sheetFormatPr defaultRowHeight="15"/>
  <cols>
    <col min="7" max="7" width="9.140625" customWidth="1"/>
    <col min="8" max="8" width="8.28515625" customWidth="1"/>
    <col min="9" max="9" width="7.5703125" customWidth="1"/>
  </cols>
  <sheetData>
    <row r="1" spans="3:11" ht="18.75">
      <c r="C1" s="19" t="s">
        <v>44</v>
      </c>
    </row>
    <row r="2" spans="3:11">
      <c r="C2" t="s">
        <v>27</v>
      </c>
      <c r="D2" t="s">
        <v>11</v>
      </c>
      <c r="E2" t="s">
        <v>28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</row>
    <row r="3" spans="3:11">
      <c r="C3">
        <v>0</v>
      </c>
      <c r="D3">
        <v>1</v>
      </c>
      <c r="E3">
        <v>0</v>
      </c>
      <c r="F3">
        <f>E4-E3</f>
        <v>14</v>
      </c>
      <c r="G3">
        <f>F4-F3</f>
        <v>50</v>
      </c>
      <c r="H3">
        <f>G4-G3</f>
        <v>60</v>
      </c>
      <c r="I3">
        <f>H4-H3</f>
        <v>24</v>
      </c>
    </row>
    <row r="4" spans="3:11">
      <c r="C4">
        <v>1</v>
      </c>
      <c r="D4">
        <v>2</v>
      </c>
      <c r="E4">
        <v>14</v>
      </c>
      <c r="F4">
        <f t="shared" ref="F4:G7" si="0">E5-E4</f>
        <v>64</v>
      </c>
      <c r="G4">
        <f t="shared" si="0"/>
        <v>110</v>
      </c>
      <c r="H4">
        <f t="shared" ref="H4:I4" si="1">G5-G4</f>
        <v>84</v>
      </c>
      <c r="I4">
        <f t="shared" si="1"/>
        <v>24</v>
      </c>
    </row>
    <row r="5" spans="3:11">
      <c r="C5">
        <v>2</v>
      </c>
      <c r="D5">
        <v>3</v>
      </c>
      <c r="E5">
        <v>78</v>
      </c>
      <c r="F5">
        <f t="shared" si="0"/>
        <v>174</v>
      </c>
      <c r="G5">
        <f t="shared" si="0"/>
        <v>194</v>
      </c>
      <c r="H5">
        <f t="shared" ref="H5" si="2">G6-G5</f>
        <v>108</v>
      </c>
    </row>
    <row r="6" spans="3:11">
      <c r="C6">
        <v>3</v>
      </c>
      <c r="D6">
        <v>4</v>
      </c>
      <c r="E6">
        <v>252</v>
      </c>
      <c r="F6">
        <f t="shared" si="0"/>
        <v>368</v>
      </c>
      <c r="G6">
        <f t="shared" si="0"/>
        <v>302</v>
      </c>
    </row>
    <row r="7" spans="3:11">
      <c r="C7">
        <v>4</v>
      </c>
      <c r="D7">
        <v>5</v>
      </c>
      <c r="E7">
        <v>620</v>
      </c>
      <c r="F7">
        <f t="shared" si="0"/>
        <v>670</v>
      </c>
    </row>
    <row r="8" spans="3:11">
      <c r="C8">
        <v>5</v>
      </c>
      <c r="D8">
        <v>6</v>
      </c>
      <c r="E8">
        <v>1290</v>
      </c>
    </row>
    <row r="10" spans="3:11" ht="18.75">
      <c r="C10" s="19" t="s">
        <v>43</v>
      </c>
    </row>
    <row r="11" spans="3:11">
      <c r="C11" t="s">
        <v>27</v>
      </c>
      <c r="D11" t="s">
        <v>11</v>
      </c>
      <c r="E11" t="s">
        <v>28</v>
      </c>
      <c r="F11" t="s">
        <v>37</v>
      </c>
      <c r="G11" t="s">
        <v>38</v>
      </c>
      <c r="H11" t="s">
        <v>39</v>
      </c>
      <c r="I11" t="s">
        <v>40</v>
      </c>
      <c r="J11" t="s">
        <v>41</v>
      </c>
      <c r="K11" t="s">
        <v>42</v>
      </c>
    </row>
    <row r="12" spans="3:11">
      <c r="C12">
        <v>0</v>
      </c>
      <c r="D12">
        <v>1</v>
      </c>
      <c r="E12">
        <v>0</v>
      </c>
    </row>
    <row r="13" spans="3:11">
      <c r="C13">
        <v>1</v>
      </c>
      <c r="D13">
        <v>2</v>
      </c>
      <c r="E13">
        <v>14</v>
      </c>
      <c r="F13">
        <f>E13-E12</f>
        <v>14</v>
      </c>
    </row>
    <row r="14" spans="3:11">
      <c r="C14">
        <v>2</v>
      </c>
      <c r="D14">
        <v>3</v>
      </c>
      <c r="E14">
        <v>78</v>
      </c>
      <c r="F14">
        <f t="shared" ref="F14:G17" si="3">E14-E13</f>
        <v>64</v>
      </c>
      <c r="G14">
        <f t="shared" si="3"/>
        <v>50</v>
      </c>
    </row>
    <row r="15" spans="3:11">
      <c r="C15">
        <v>3</v>
      </c>
      <c r="D15">
        <v>4</v>
      </c>
      <c r="E15">
        <v>252</v>
      </c>
      <c r="F15">
        <f t="shared" si="3"/>
        <v>174</v>
      </c>
      <c r="G15">
        <f t="shared" si="3"/>
        <v>110</v>
      </c>
      <c r="H15">
        <f t="shared" ref="H15" si="4">G15-G14</f>
        <v>60</v>
      </c>
    </row>
    <row r="16" spans="3:11">
      <c r="C16">
        <v>4</v>
      </c>
      <c r="D16">
        <v>5</v>
      </c>
      <c r="E16">
        <v>620</v>
      </c>
      <c r="F16">
        <f t="shared" si="3"/>
        <v>368</v>
      </c>
      <c r="G16">
        <f t="shared" si="3"/>
        <v>194</v>
      </c>
      <c r="H16">
        <f t="shared" ref="H16:I16" si="5">G16-G15</f>
        <v>84</v>
      </c>
      <c r="I16">
        <f t="shared" si="5"/>
        <v>24</v>
      </c>
    </row>
    <row r="17" spans="2:9">
      <c r="C17">
        <v>5</v>
      </c>
      <c r="D17">
        <v>6</v>
      </c>
      <c r="E17">
        <v>1290</v>
      </c>
      <c r="F17">
        <f t="shared" si="3"/>
        <v>670</v>
      </c>
      <c r="G17">
        <f t="shared" si="3"/>
        <v>302</v>
      </c>
      <c r="H17">
        <f t="shared" ref="H17:I17" si="6">G17-G16</f>
        <v>108</v>
      </c>
      <c r="I17">
        <f t="shared" si="6"/>
        <v>24</v>
      </c>
    </row>
    <row r="20" spans="2:9">
      <c r="C20" t="s">
        <v>11</v>
      </c>
      <c r="D20" t="s">
        <v>28</v>
      </c>
      <c r="E20" t="s">
        <v>29</v>
      </c>
      <c r="F20" t="s">
        <v>30</v>
      </c>
      <c r="G20" t="s">
        <v>31</v>
      </c>
    </row>
    <row r="21" spans="2:9">
      <c r="C21">
        <v>2</v>
      </c>
      <c r="D21">
        <v>23</v>
      </c>
      <c r="E21">
        <v>70</v>
      </c>
      <c r="F21">
        <v>96</v>
      </c>
      <c r="G21">
        <v>48</v>
      </c>
    </row>
    <row r="22" spans="2:9">
      <c r="C22">
        <v>4</v>
      </c>
      <c r="D22">
        <v>93</v>
      </c>
      <c r="E22">
        <v>166</v>
      </c>
      <c r="F22">
        <v>144</v>
      </c>
      <c r="G22">
        <v>48</v>
      </c>
    </row>
    <row r="23" spans="2:9">
      <c r="C23">
        <v>6</v>
      </c>
      <c r="D23">
        <v>259</v>
      </c>
      <c r="E23">
        <v>310</v>
      </c>
      <c r="F23">
        <v>192</v>
      </c>
      <c r="G23">
        <v>48</v>
      </c>
    </row>
    <row r="24" spans="2:9">
      <c r="C24">
        <v>8</v>
      </c>
      <c r="D24">
        <v>569</v>
      </c>
      <c r="E24">
        <v>502</v>
      </c>
      <c r="F24">
        <v>240</v>
      </c>
      <c r="G24">
        <v>48</v>
      </c>
    </row>
    <row r="25" spans="2:9">
      <c r="C25">
        <v>10</v>
      </c>
      <c r="D25">
        <v>1071</v>
      </c>
      <c r="E25">
        <v>742</v>
      </c>
      <c r="F25">
        <v>288</v>
      </c>
    </row>
    <row r="26" spans="2:9">
      <c r="C26">
        <v>12</v>
      </c>
      <c r="D26">
        <v>1813</v>
      </c>
      <c r="E26">
        <v>1030</v>
      </c>
    </row>
    <row r="27" spans="2:9">
      <c r="C27">
        <v>14</v>
      </c>
      <c r="D27">
        <v>2843</v>
      </c>
    </row>
    <row r="29" spans="2:9">
      <c r="B29" s="18">
        <v>1</v>
      </c>
      <c r="C29" t="s">
        <v>122</v>
      </c>
    </row>
    <row r="31" spans="2:9">
      <c r="B31" s="18">
        <v>2</v>
      </c>
      <c r="C31" s="18"/>
      <c r="D31" t="s">
        <v>32</v>
      </c>
    </row>
    <row r="32" spans="2:9">
      <c r="D32" t="s">
        <v>33</v>
      </c>
    </row>
    <row r="33" spans="2:11">
      <c r="D33" t="s">
        <v>34</v>
      </c>
    </row>
    <row r="34" spans="2:11">
      <c r="D34" t="s">
        <v>35</v>
      </c>
    </row>
    <row r="35" spans="2:11">
      <c r="B35" s="18">
        <v>3</v>
      </c>
      <c r="C35" t="s">
        <v>36</v>
      </c>
    </row>
    <row r="36" spans="2:11" ht="15.75" thickBot="1"/>
    <row r="37" spans="2:11">
      <c r="B37" s="4"/>
      <c r="C37" s="5"/>
      <c r="D37" s="5"/>
      <c r="E37" s="5"/>
      <c r="F37" s="5"/>
      <c r="G37" s="5"/>
      <c r="H37" s="5" t="s">
        <v>48</v>
      </c>
      <c r="I37" s="5"/>
      <c r="J37" s="5"/>
      <c r="K37" s="15"/>
    </row>
    <row r="38" spans="2:11">
      <c r="B38" s="6"/>
      <c r="C38" s="3"/>
      <c r="D38" s="3"/>
      <c r="E38" s="3"/>
      <c r="F38" s="3"/>
      <c r="G38" s="3"/>
      <c r="H38" s="3" t="s">
        <v>123</v>
      </c>
      <c r="I38" s="3"/>
      <c r="J38" s="3"/>
      <c r="K38" s="20"/>
    </row>
    <row r="39" spans="2:11">
      <c r="B39" s="6"/>
      <c r="C39" s="3"/>
      <c r="D39" s="3"/>
      <c r="E39" s="3"/>
      <c r="F39" s="3"/>
      <c r="G39" s="3"/>
      <c r="H39" s="3" t="s">
        <v>49</v>
      </c>
      <c r="I39" s="3"/>
      <c r="J39" s="3"/>
      <c r="K39" s="20"/>
    </row>
    <row r="40" spans="2:11">
      <c r="B40" s="6"/>
      <c r="C40" s="3" t="s">
        <v>11</v>
      </c>
      <c r="D40" s="3" t="s">
        <v>28</v>
      </c>
      <c r="E40" s="3" t="s">
        <v>45</v>
      </c>
      <c r="F40" s="3" t="s">
        <v>46</v>
      </c>
      <c r="G40" s="3" t="s">
        <v>47</v>
      </c>
      <c r="H40" s="38" t="s">
        <v>75</v>
      </c>
      <c r="I40" s="38" t="s">
        <v>76</v>
      </c>
      <c r="J40" s="3"/>
      <c r="K40" s="20"/>
    </row>
    <row r="41" spans="2:11">
      <c r="B41" s="6"/>
      <c r="C41">
        <v>0</v>
      </c>
      <c r="D41">
        <v>5</v>
      </c>
      <c r="E41" s="3">
        <f>(D42-D41)/(C42-C41)</f>
        <v>4</v>
      </c>
      <c r="F41" s="3">
        <f>(E42-E41)/(C43-C41)</f>
        <v>-1</v>
      </c>
      <c r="G41" s="3">
        <f>(F42-F41)/(C44-C41)</f>
        <v>-0.5</v>
      </c>
      <c r="H41" s="3"/>
      <c r="I41" s="3"/>
      <c r="J41" s="3"/>
      <c r="K41" s="20"/>
    </row>
    <row r="42" spans="2:11">
      <c r="B42" s="6"/>
      <c r="C42">
        <v>1</v>
      </c>
      <c r="D42">
        <v>9</v>
      </c>
      <c r="E42" s="3">
        <f t="shared" ref="E42:E46" si="7">(D43-D42)/(C43-C42)</f>
        <v>2</v>
      </c>
      <c r="F42" s="3">
        <f t="shared" ref="F42:F45" si="8">(E43-E42)/(C44-C42)</f>
        <v>-2.5</v>
      </c>
      <c r="G42" s="3"/>
      <c r="H42" s="3"/>
      <c r="I42" s="3"/>
      <c r="J42" s="3"/>
      <c r="K42" s="20"/>
    </row>
    <row r="43" spans="2:11">
      <c r="B43" s="6"/>
      <c r="C43">
        <v>2</v>
      </c>
      <c r="D43">
        <v>11</v>
      </c>
      <c r="E43" s="3">
        <f t="shared" si="7"/>
        <v>-3</v>
      </c>
      <c r="F43" s="3"/>
      <c r="G43" s="3"/>
      <c r="H43" s="3"/>
      <c r="I43" s="3"/>
      <c r="J43" s="3"/>
      <c r="K43" s="20"/>
    </row>
    <row r="44" spans="2:11">
      <c r="B44" s="6"/>
      <c r="C44">
        <v>3</v>
      </c>
      <c r="D44">
        <v>8</v>
      </c>
      <c r="E44" s="3"/>
      <c r="F44" s="3"/>
      <c r="G44" s="3"/>
      <c r="H44" s="3"/>
      <c r="I44" s="3"/>
      <c r="J44" s="3"/>
      <c r="K44" s="20"/>
    </row>
    <row r="45" spans="2:11">
      <c r="B45" s="6"/>
      <c r="E45" s="3"/>
      <c r="F45" s="3"/>
      <c r="G45" s="3"/>
      <c r="H45" s="3"/>
      <c r="I45" s="3"/>
      <c r="J45" s="3"/>
      <c r="K45" s="20"/>
    </row>
    <row r="46" spans="2:11">
      <c r="B46" s="6"/>
      <c r="E46" s="3"/>
      <c r="F46" s="3"/>
      <c r="G46" s="3"/>
      <c r="H46" s="3"/>
      <c r="I46" s="3"/>
      <c r="J46" s="3"/>
      <c r="K46" s="20"/>
    </row>
    <row r="47" spans="2:11" ht="15.75" thickBot="1">
      <c r="B47" s="7"/>
      <c r="E47" s="8"/>
      <c r="F47" s="8"/>
      <c r="G47" s="8"/>
      <c r="H47" s="8"/>
      <c r="I47" s="8"/>
      <c r="J47" s="8"/>
      <c r="K47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1F8F-D57E-4275-8F15-8F6EFA743A6C}">
  <dimension ref="B6:J30"/>
  <sheetViews>
    <sheetView topLeftCell="A7" workbookViewId="0">
      <selection activeCell="D11" sqref="D11"/>
    </sheetView>
  </sheetViews>
  <sheetFormatPr defaultRowHeight="15"/>
  <cols>
    <col min="4" max="4" width="7.7109375" customWidth="1"/>
    <col min="8" max="8" width="10.85546875" customWidth="1"/>
    <col min="10" max="10" width="10" customWidth="1"/>
  </cols>
  <sheetData>
    <row r="6" spans="2:9">
      <c r="D6" t="s">
        <v>96</v>
      </c>
    </row>
    <row r="8" spans="2:9">
      <c r="B8" t="s">
        <v>2</v>
      </c>
      <c r="C8" t="s">
        <v>126</v>
      </c>
      <c r="E8" s="39">
        <v>0.1</v>
      </c>
    </row>
    <row r="10" spans="2:9" ht="15.75">
      <c r="C10" t="s">
        <v>11</v>
      </c>
      <c r="D10" t="s">
        <v>54</v>
      </c>
      <c r="F10" s="46" t="s">
        <v>124</v>
      </c>
    </row>
    <row r="11" spans="2:9">
      <c r="B11" t="s">
        <v>4</v>
      </c>
      <c r="C11">
        <v>0</v>
      </c>
      <c r="D11">
        <f>1/(C11^2+1)^2</f>
        <v>1</v>
      </c>
      <c r="F11" t="s">
        <v>6</v>
      </c>
    </row>
    <row r="12" spans="2:9">
      <c r="C12">
        <v>1</v>
      </c>
      <c r="D12">
        <f t="shared" ref="D12:D21" si="0">1/(C12^2+1)^2</f>
        <v>0.25</v>
      </c>
      <c r="F12" t="s">
        <v>103</v>
      </c>
      <c r="I12">
        <f>E8*(0.5*(D11+D20)+SUM(D12:D19))</f>
        <v>0.13975565755801883</v>
      </c>
    </row>
    <row r="13" spans="2:9">
      <c r="C13">
        <v>2</v>
      </c>
      <c r="D13">
        <f t="shared" si="0"/>
        <v>0.04</v>
      </c>
    </row>
    <row r="14" spans="2:9">
      <c r="C14">
        <v>3</v>
      </c>
      <c r="D14">
        <f t="shared" si="0"/>
        <v>0.01</v>
      </c>
      <c r="F14" t="s">
        <v>8</v>
      </c>
    </row>
    <row r="15" spans="2:9">
      <c r="C15">
        <v>1</v>
      </c>
      <c r="D15">
        <f t="shared" si="0"/>
        <v>0.25</v>
      </c>
      <c r="F15" t="s">
        <v>97</v>
      </c>
    </row>
    <row r="16" spans="2:9">
      <c r="C16">
        <v>1.25</v>
      </c>
      <c r="D16">
        <f t="shared" si="0"/>
        <v>0.15229030339083879</v>
      </c>
      <c r="F16" t="s">
        <v>98</v>
      </c>
    </row>
    <row r="17" spans="3:10">
      <c r="C17" s="3">
        <v>1.5</v>
      </c>
      <c r="D17">
        <f t="shared" si="0"/>
        <v>9.4674556213017749E-2</v>
      </c>
      <c r="F17" t="s">
        <v>99</v>
      </c>
    </row>
    <row r="18" spans="3:10">
      <c r="C18" s="3">
        <v>1.75</v>
      </c>
      <c r="D18">
        <f t="shared" si="0"/>
        <v>6.059171597633136E-2</v>
      </c>
      <c r="F18" t="s">
        <v>100</v>
      </c>
    </row>
    <row r="19" spans="3:10">
      <c r="C19" s="3">
        <v>2</v>
      </c>
      <c r="D19">
        <f t="shared" si="0"/>
        <v>0.04</v>
      </c>
    </row>
    <row r="20" spans="3:10">
      <c r="C20" s="3"/>
    </row>
    <row r="21" spans="3:10">
      <c r="C21" s="3"/>
    </row>
    <row r="22" spans="3:10" ht="15.75">
      <c r="F22" s="46" t="s">
        <v>125</v>
      </c>
    </row>
    <row r="23" spans="3:10">
      <c r="F23" t="s">
        <v>6</v>
      </c>
    </row>
    <row r="24" spans="3:10">
      <c r="F24" t="s">
        <v>101</v>
      </c>
    </row>
    <row r="25" spans="3:10">
      <c r="F25" t="s">
        <v>102</v>
      </c>
      <c r="J25">
        <f>(E8/3)*(D11+D21+4*SUM(D12,D14,D16,D18,D20)+2*SUM(D13,D15,D17,D19))</f>
        <v>0.12469590632982386</v>
      </c>
    </row>
    <row r="26" spans="3:10">
      <c r="F26" t="s">
        <v>8</v>
      </c>
    </row>
    <row r="27" spans="3:10">
      <c r="F27" t="s">
        <v>127</v>
      </c>
    </row>
    <row r="28" spans="3:10">
      <c r="F28" t="s">
        <v>128</v>
      </c>
    </row>
    <row r="29" spans="3:10">
      <c r="F29" t="s">
        <v>99</v>
      </c>
    </row>
    <row r="30" spans="3:10">
      <c r="F30" t="s">
        <v>129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AB4D0-4668-4819-88D4-B8C7BCE1F6E9}">
  <dimension ref="D2:U22"/>
  <sheetViews>
    <sheetView topLeftCell="B1" workbookViewId="0">
      <selection activeCell="P23" sqref="P23"/>
    </sheetView>
  </sheetViews>
  <sheetFormatPr defaultRowHeight="15"/>
  <cols>
    <col min="13" max="13" width="8.7109375" customWidth="1"/>
    <col min="16" max="16" width="9.42578125" customWidth="1"/>
    <col min="17" max="17" width="10.5703125" customWidth="1"/>
    <col min="18" max="18" width="21.140625" customWidth="1"/>
    <col min="19" max="19" width="19.85546875" customWidth="1"/>
    <col min="20" max="20" width="14.85546875" customWidth="1"/>
    <col min="21" max="21" width="11.85546875" customWidth="1"/>
    <col min="22" max="22" width="13" customWidth="1"/>
  </cols>
  <sheetData>
    <row r="2" spans="4:21" ht="15.75" thickBot="1"/>
    <row r="3" spans="4:21" ht="15.75" thickBot="1">
      <c r="E3" t="s">
        <v>132</v>
      </c>
      <c r="J3" s="31" t="s">
        <v>106</v>
      </c>
      <c r="K3" s="47">
        <v>0.2</v>
      </c>
    </row>
    <row r="4" spans="4:21" ht="18.75">
      <c r="D4" s="50" t="s">
        <v>107</v>
      </c>
      <c r="E4" s="50"/>
      <c r="F4" s="50"/>
      <c r="G4" s="50"/>
      <c r="I4" s="50" t="s">
        <v>108</v>
      </c>
      <c r="J4" s="50"/>
      <c r="K4" s="50"/>
      <c r="L4" s="50"/>
      <c r="M4" s="50"/>
      <c r="O4" s="50" t="s">
        <v>114</v>
      </c>
      <c r="P4" s="50"/>
      <c r="Q4" s="50"/>
      <c r="R4" s="50"/>
      <c r="S4" s="50"/>
      <c r="T4" s="50"/>
    </row>
    <row r="5" spans="4:21">
      <c r="D5" t="s">
        <v>11</v>
      </c>
      <c r="E5" t="s">
        <v>28</v>
      </c>
      <c r="F5" t="s">
        <v>104</v>
      </c>
      <c r="I5" t="s">
        <v>11</v>
      </c>
      <c r="J5" t="s">
        <v>28</v>
      </c>
      <c r="K5" t="s">
        <v>104</v>
      </c>
      <c r="L5" t="s">
        <v>105</v>
      </c>
      <c r="M5" t="s">
        <v>131</v>
      </c>
      <c r="O5" t="s">
        <v>11</v>
      </c>
      <c r="P5" t="s">
        <v>28</v>
      </c>
      <c r="Q5" t="s">
        <v>110</v>
      </c>
      <c r="R5" t="s">
        <v>111</v>
      </c>
      <c r="S5" t="s">
        <v>112</v>
      </c>
      <c r="T5" t="s">
        <v>115</v>
      </c>
      <c r="U5" t="s">
        <v>113</v>
      </c>
    </row>
    <row r="6" spans="4:21">
      <c r="D6">
        <v>1</v>
      </c>
      <c r="E6">
        <v>2</v>
      </c>
      <c r="F6">
        <f>$K$3*(D6+E6)</f>
        <v>0.60000000000000009</v>
      </c>
      <c r="I6">
        <v>2</v>
      </c>
      <c r="J6">
        <v>2</v>
      </c>
      <c r="K6">
        <f>$K$3*((2*I6*J6)/(1+I6^2))</f>
        <v>0.32000000000000006</v>
      </c>
      <c r="L6">
        <f>J6+K6</f>
        <v>2.3200000000000003</v>
      </c>
      <c r="M6">
        <f>$K$3*((2*I7*L6)/(1+I7^2))</f>
        <v>0.36022181146025889</v>
      </c>
      <c r="O6">
        <v>1</v>
      </c>
      <c r="P6">
        <v>2</v>
      </c>
      <c r="Q6">
        <f>$K$3*-(O6*P6)</f>
        <v>-0.4</v>
      </c>
      <c r="R6">
        <f>P6+0.5*Q6</f>
        <v>1.8</v>
      </c>
      <c r="S6">
        <f>$K$3*-(O6+0.5*$K$3)*R6</f>
        <v>-0.39600000000000007</v>
      </c>
      <c r="T6">
        <f>P6 -Q6+2*S6</f>
        <v>1.6079999999999997</v>
      </c>
      <c r="U6">
        <f>$K$3*-(O6+$K$3)*(T6)</f>
        <v>-0.38591999999999993</v>
      </c>
    </row>
    <row r="7" spans="4:21">
      <c r="D7">
        <v>1.2</v>
      </c>
      <c r="E7">
        <f>E6+F6</f>
        <v>2.6</v>
      </c>
      <c r="F7">
        <f t="shared" ref="F7:F11" si="0">$K$3*(D7+E7)</f>
        <v>0.76</v>
      </c>
      <c r="I7">
        <v>2.1</v>
      </c>
      <c r="J7">
        <f>J6+0.5*(K6+M6)</f>
        <v>2.3401109057301293</v>
      </c>
      <c r="K7">
        <f>$K$3*((2*I7*J7)/(1+I7^2))</f>
        <v>0.36334439201724744</v>
      </c>
      <c r="L7">
        <f>J7+K7</f>
        <v>2.7034552977473769</v>
      </c>
      <c r="M7">
        <f>$K$3*((2*I8*L7)/(1+I8^2))</f>
        <v>0.40736997637289241</v>
      </c>
      <c r="O7">
        <v>1.1000000000000001</v>
      </c>
      <c r="P7">
        <f>P6+(1/6)*(Q6+4*S6+U6)</f>
        <v>1.6050133333333334</v>
      </c>
      <c r="Q7">
        <f>$K$3*-(O7*P7)</f>
        <v>-0.35310293333333337</v>
      </c>
      <c r="R7">
        <f>P7+0.5*Q7</f>
        <v>1.4284618666666666</v>
      </c>
      <c r="S7">
        <f>$K$3*-(O7+0.5*$K$3)*R7</f>
        <v>-0.34283084800000008</v>
      </c>
      <c r="T7">
        <f>P7 -Q7+2*S7</f>
        <v>1.2724545706666666</v>
      </c>
      <c r="U7">
        <f>$K$3*-(O7+$K$3)*(T7)</f>
        <v>-0.33083818837333334</v>
      </c>
    </row>
    <row r="8" spans="4:21">
      <c r="D8">
        <v>1.4</v>
      </c>
      <c r="E8">
        <f>E7+F7</f>
        <v>3.3600000000000003</v>
      </c>
      <c r="F8">
        <f t="shared" si="0"/>
        <v>0.95199999999999996</v>
      </c>
      <c r="I8">
        <v>2.2000000000000002</v>
      </c>
      <c r="J8">
        <f t="shared" ref="J8:J12" si="1">J7+0.5*(K7+M7)</f>
        <v>2.7254680899251991</v>
      </c>
      <c r="K8">
        <f t="shared" ref="K8:K12" si="2">$K$3*((2*I8*J8)/(1+I8^2))</f>
        <v>0.41068697245448205</v>
      </c>
      <c r="L8">
        <f t="shared" ref="L8:L12" si="3">J8+K8</f>
        <v>3.136155062379681</v>
      </c>
      <c r="M8">
        <f>$K$3*((2*I9*L8)/(1+I9^2))</f>
        <v>0.45870630483136837</v>
      </c>
      <c r="O8">
        <v>1.2</v>
      </c>
      <c r="P8">
        <f t="shared" ref="P8:P9" si="4">P7+(1/6)*(Q7+4*S7+U7)</f>
        <v>1.2624692477155557</v>
      </c>
      <c r="Q8">
        <f t="shared" ref="Q8:Q9" si="5">$K$3*-(O8*P8)</f>
        <v>-0.30299261945173339</v>
      </c>
      <c r="R8">
        <f t="shared" ref="R8:R9" si="6">P8+0.5*Q8</f>
        <v>1.1109729379896889</v>
      </c>
      <c r="S8">
        <f t="shared" ref="S8:S9" si="7">$K$3*-(O8+0.5*$K$3)*R8</f>
        <v>-0.28885296387731912</v>
      </c>
      <c r="T8">
        <f t="shared" ref="T8:T9" si="8">P8 -Q8+2*S8</f>
        <v>0.98775593941265083</v>
      </c>
      <c r="U8">
        <f t="shared" ref="U8:U9" si="9">$K$3*-(O8+$K$3)*(T8)</f>
        <v>-0.2765716630355422</v>
      </c>
    </row>
    <row r="9" spans="4:21">
      <c r="D9">
        <v>1.6</v>
      </c>
      <c r="E9">
        <f t="shared" ref="E9:E12" si="10">E8+F8</f>
        <v>4.3120000000000003</v>
      </c>
      <c r="F9">
        <f t="shared" si="0"/>
        <v>1.1824000000000001</v>
      </c>
      <c r="I9">
        <v>2.2999999999999998</v>
      </c>
      <c r="J9">
        <f t="shared" si="1"/>
        <v>3.160164728568124</v>
      </c>
      <c r="K9">
        <f t="shared" si="2"/>
        <v>0.46221805250916925</v>
      </c>
      <c r="L9">
        <f t="shared" si="3"/>
        <v>3.6223827810772935</v>
      </c>
      <c r="M9">
        <f>$K$3*((2*I10*L9)/(1+I10^2))</f>
        <v>0.5144212233482548</v>
      </c>
      <c r="O9">
        <v>1.3</v>
      </c>
      <c r="P9">
        <f t="shared" si="4"/>
        <v>0.97330655804946375</v>
      </c>
      <c r="Q9">
        <f t="shared" si="5"/>
        <v>-0.25305970509286063</v>
      </c>
      <c r="R9">
        <f t="shared" si="6"/>
        <v>0.84677670550303341</v>
      </c>
      <c r="S9">
        <f t="shared" si="7"/>
        <v>-0.23709747754084937</v>
      </c>
      <c r="T9">
        <f t="shared" si="8"/>
        <v>0.75217130806062571</v>
      </c>
      <c r="U9">
        <f t="shared" si="9"/>
        <v>-0.22565139241818774</v>
      </c>
    </row>
    <row r="10" spans="4:21">
      <c r="D10">
        <v>1.8</v>
      </c>
      <c r="E10">
        <f t="shared" si="10"/>
        <v>5.4944000000000006</v>
      </c>
      <c r="F10">
        <f t="shared" si="0"/>
        <v>1.4588800000000002</v>
      </c>
      <c r="I10">
        <v>2.4</v>
      </c>
      <c r="J10">
        <f t="shared" si="1"/>
        <v>3.6484843664968363</v>
      </c>
      <c r="K10">
        <f t="shared" si="2"/>
        <v>0.51812795737233175</v>
      </c>
      <c r="L10">
        <f t="shared" si="3"/>
        <v>4.1666123238691677</v>
      </c>
      <c r="M10">
        <f t="shared" ref="M10:M11" si="11">$K$3*((2*I11*L10)/(1+I11^2))</f>
        <v>0.57470514811988516</v>
      </c>
      <c r="O10">
        <v>1.4</v>
      </c>
      <c r="P10">
        <f t="shared" ref="P10:P11" si="12">P9+(1/6)*(Q9+4*S9+U9)</f>
        <v>0.73545639010372277</v>
      </c>
      <c r="Q10">
        <f t="shared" ref="Q10" si="13">$K$3*-(O10*P10)</f>
        <v>-0.20592778922904237</v>
      </c>
      <c r="R10">
        <f t="shared" ref="R10" si="14">P10+0.5*Q10</f>
        <v>0.63249249548920161</v>
      </c>
      <c r="S10">
        <f t="shared" ref="S10" si="15">$K$3*-(O10+0.5*$K$3)*R10</f>
        <v>-0.1897477486467605</v>
      </c>
      <c r="T10">
        <f t="shared" ref="T10" si="16">P10 -Q10+2*S10</f>
        <v>0.56188868203924414</v>
      </c>
      <c r="U10">
        <f t="shared" ref="U10" si="17">$K$3*-(O10+$K$3)*(T10)</f>
        <v>-0.17980437825255813</v>
      </c>
    </row>
    <row r="11" spans="4:21">
      <c r="D11">
        <v>2</v>
      </c>
      <c r="E11">
        <f>E10+F10</f>
        <v>6.9532800000000012</v>
      </c>
      <c r="F11">
        <f t="shared" si="0"/>
        <v>1.7906560000000002</v>
      </c>
      <c r="I11">
        <v>2.5</v>
      </c>
      <c r="J11">
        <f t="shared" si="1"/>
        <v>4.1949009192429445</v>
      </c>
      <c r="K11">
        <f t="shared" si="2"/>
        <v>0.57860702334385439</v>
      </c>
      <c r="L11">
        <f t="shared" si="3"/>
        <v>4.7735079425867992</v>
      </c>
      <c r="M11">
        <f t="shared" si="11"/>
        <v>0.63974848715080812</v>
      </c>
      <c r="O11">
        <v>1.5</v>
      </c>
      <c r="P11">
        <f t="shared" si="12"/>
        <v>0.54466919642561573</v>
      </c>
    </row>
    <row r="12" spans="4:21">
      <c r="D12">
        <v>0.6</v>
      </c>
      <c r="E12">
        <f t="shared" si="10"/>
        <v>8.7439360000000015</v>
      </c>
      <c r="F12">
        <f t="shared" ref="F8:F13" si="18">$K$3*(D12*E12)</f>
        <v>1.0492723200000003</v>
      </c>
      <c r="I12">
        <v>2.6</v>
      </c>
      <c r="J12">
        <f t="shared" si="1"/>
        <v>4.8040786744902757</v>
      </c>
      <c r="K12">
        <f t="shared" si="2"/>
        <v>0.64384559555024312</v>
      </c>
      <c r="L12">
        <f t="shared" si="3"/>
        <v>5.4479242700405184</v>
      </c>
      <c r="M12">
        <f>$K$3*((2*I13*L12)/(1+I13^2))</f>
        <v>0.70974164193531486</v>
      </c>
    </row>
    <row r="13" spans="4:21">
      <c r="D13">
        <v>0.7</v>
      </c>
      <c r="E13">
        <f>E12+F12</f>
        <v>9.7932083200000015</v>
      </c>
      <c r="F13">
        <f t="shared" si="18"/>
        <v>1.3710491648000003</v>
      </c>
      <c r="I13">
        <v>2.7</v>
      </c>
      <c r="J13">
        <f>J12+0.5*(K12+M12)</f>
        <v>5.4808722932330545</v>
      </c>
      <c r="K13" t="s">
        <v>51</v>
      </c>
    </row>
    <row r="15" spans="4:21" ht="18.75">
      <c r="D15" t="s">
        <v>109</v>
      </c>
      <c r="I15" t="s">
        <v>130</v>
      </c>
      <c r="O15" s="50" t="s">
        <v>116</v>
      </c>
      <c r="P15" s="50"/>
      <c r="Q15" s="50"/>
      <c r="R15" s="50"/>
      <c r="S15" s="50"/>
      <c r="T15" s="50"/>
    </row>
    <row r="16" spans="4:21">
      <c r="O16" t="s">
        <v>11</v>
      </c>
      <c r="P16" t="s">
        <v>28</v>
      </c>
      <c r="Q16" t="s">
        <v>110</v>
      </c>
      <c r="R16" t="s">
        <v>119</v>
      </c>
      <c r="S16" t="s">
        <v>117</v>
      </c>
      <c r="T16" t="s">
        <v>118</v>
      </c>
    </row>
    <row r="17" spans="15:20">
      <c r="O17">
        <v>1</v>
      </c>
      <c r="P17">
        <v>2</v>
      </c>
      <c r="Q17">
        <f>$K$3*(O17+P17)</f>
        <v>0.60000000000000009</v>
      </c>
      <c r="R17">
        <f>$K$3*(O17+0.5*$K$3+P17+0.5*Q17)</f>
        <v>0.68000000000000016</v>
      </c>
      <c r="S17">
        <f>$K$3*(O17+0.5*$K$3+P17+0.5*R17)</f>
        <v>0.68800000000000017</v>
      </c>
      <c r="T17">
        <f>$K$3*(O17+$K$3+P17+S17)</f>
        <v>0.77760000000000007</v>
      </c>
    </row>
    <row r="18" spans="15:20">
      <c r="O18">
        <v>1.2</v>
      </c>
      <c r="P18">
        <f>P17+(1/6)*(Q17+2*R17+2*S17+T17)</f>
        <v>2.6856</v>
      </c>
      <c r="Q18">
        <f>$K$3*(O18+P18)</f>
        <v>0.77712000000000003</v>
      </c>
      <c r="R18">
        <f>$K$3*(O18+0.5*$K$3+P18+0.5*Q18)</f>
        <v>0.87483200000000005</v>
      </c>
      <c r="S18">
        <f>$K$3*(O18+0.5*$K$3+P18+0.5*R18)</f>
        <v>0.88460319999999992</v>
      </c>
      <c r="T18">
        <f>$K$3*(O18+$K$3+P18+S18)</f>
        <v>0.99404063999999992</v>
      </c>
    </row>
    <row r="19" spans="15:20">
      <c r="O19">
        <v>1.4</v>
      </c>
      <c r="P19">
        <f t="shared" ref="P19:P21" si="19">P18+(1/6)*(Q18+2*R18+2*S18+T18)</f>
        <v>3.5672718400000001</v>
      </c>
      <c r="Q19">
        <f t="shared" ref="Q19:Q21" si="20">$K$3*(O19+P19)</f>
        <v>0.99345436800000009</v>
      </c>
      <c r="R19">
        <f t="shared" ref="R19:R21" si="21">$K$3*(O19+0.5*$K$3+P19+0.5*Q19)</f>
        <v>1.1127998048000001</v>
      </c>
      <c r="S19">
        <f t="shared" ref="S19:S21" si="22">$K$3*(O19+0.5*$K$3+P19+0.5*R19)</f>
        <v>1.1247343484800001</v>
      </c>
      <c r="T19">
        <f t="shared" ref="T19:T21" si="23">$K$3*(O19+$K$3+P19+S19)</f>
        <v>1.2584012376960001</v>
      </c>
    </row>
    <row r="20" spans="15:20">
      <c r="O20">
        <v>1.6</v>
      </c>
      <c r="P20">
        <f t="shared" si="19"/>
        <v>4.6884258253760001</v>
      </c>
      <c r="Q20">
        <f t="shared" si="20"/>
        <v>1.2576851650752001</v>
      </c>
      <c r="R20">
        <f t="shared" si="21"/>
        <v>1.4034536815827201</v>
      </c>
      <c r="S20">
        <f t="shared" si="22"/>
        <v>1.4180305332334722</v>
      </c>
      <c r="T20">
        <f t="shared" si="23"/>
        <v>1.5812912717218945</v>
      </c>
    </row>
    <row r="21" spans="15:20">
      <c r="O21">
        <v>1.8</v>
      </c>
      <c r="P21">
        <f t="shared" si="19"/>
        <v>6.102083303114247</v>
      </c>
      <c r="Q21">
        <f t="shared" si="20"/>
        <v>1.5804166606228494</v>
      </c>
      <c r="R21">
        <f t="shared" si="21"/>
        <v>1.7584583266851344</v>
      </c>
      <c r="S21">
        <f t="shared" si="22"/>
        <v>1.7762624932913629</v>
      </c>
      <c r="T21">
        <f t="shared" si="23"/>
        <v>1.975669159281122</v>
      </c>
    </row>
    <row r="22" spans="15:20">
      <c r="O22">
        <v>2</v>
      </c>
      <c r="P22">
        <f>P21+(1/6)*(Q21+2*R21+2*S21+T21)</f>
        <v>7.8730045464237408</v>
      </c>
    </row>
  </sheetData>
  <mergeCells count="4">
    <mergeCell ref="D4:G4"/>
    <mergeCell ref="I4:M4"/>
    <mergeCell ref="O4:T4"/>
    <mergeCell ref="O15:T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Jacobi</vt:lpstr>
      <vt:lpstr>Gause Seidel</vt:lpstr>
      <vt:lpstr>PP Chia đôi</vt:lpstr>
      <vt:lpstr>PP Dây cung</vt:lpstr>
      <vt:lpstr>PP Lặp đơn</vt:lpstr>
      <vt:lpstr>PP Tiếp tuyến</vt:lpstr>
      <vt:lpstr>Nội suy Newton</vt:lpstr>
      <vt:lpstr>Tích phân </vt:lpstr>
      <vt:lpstr>Vi phân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 TL</dc:creator>
  <cp:lastModifiedBy>Sang TL</cp:lastModifiedBy>
  <dcterms:created xsi:type="dcterms:W3CDTF">2021-08-12T14:14:50Z</dcterms:created>
  <dcterms:modified xsi:type="dcterms:W3CDTF">2021-09-03T07:52:29Z</dcterms:modified>
</cp:coreProperties>
</file>