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ài liệu học tập\tailieuhoctapTLU\Năm 3\Phương pháp số\"/>
    </mc:Choice>
  </mc:AlternateContent>
  <xr:revisionPtr revIDLastSave="0" documentId="13_ncr:1_{EC4BAF2C-F017-4A41-B187-CF24CF442F48}" xr6:coauthVersionLast="47" xr6:coauthVersionMax="47" xr10:uidLastSave="{00000000-0000-0000-0000-000000000000}"/>
  <bookViews>
    <workbookView xWindow="-60" yWindow="-60" windowWidth="24120" windowHeight="13020" xr2:uid="{D4FD16E3-6CE8-459A-8BCC-3BC514B5B945}"/>
  </bookViews>
  <sheets>
    <sheet name="Jacobi" sheetId="1" r:id="rId1"/>
    <sheet name="Gause Seidel" sheetId="2" r:id="rId2"/>
    <sheet name="PP Chia đôi" sheetId="3" r:id="rId3"/>
    <sheet name="PP Dây cung" sheetId="4" r:id="rId4"/>
    <sheet name="PP Lặp đơn" sheetId="6" r:id="rId5"/>
    <sheet name="PP Tiếp tuyến" sheetId="7" r:id="rId6"/>
    <sheet name="Nội suy Newton" sheetId="8" r:id="rId7"/>
    <sheet name="Tích phân " sheetId="9" r:id="rId8"/>
    <sheet name="Vi phân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8" l="1"/>
  <c r="F41" i="8"/>
  <c r="F42" i="8"/>
  <c r="E42" i="8"/>
  <c r="F6" i="10"/>
  <c r="E7" i="10" s="1"/>
  <c r="F7" i="10" s="1"/>
  <c r="L16" i="3"/>
  <c r="K16" i="3"/>
  <c r="J16" i="3"/>
  <c r="G19" i="3"/>
  <c r="G18" i="3"/>
  <c r="G17" i="3"/>
  <c r="H17" i="3"/>
  <c r="H19" i="3" s="1"/>
  <c r="I14" i="1"/>
  <c r="L2" i="1"/>
  <c r="J15" i="7"/>
  <c r="H15" i="7"/>
  <c r="I15" i="7" s="1"/>
  <c r="G15" i="7"/>
  <c r="G16" i="7" s="1"/>
  <c r="I12" i="9"/>
  <c r="D17" i="9"/>
  <c r="D18" i="9"/>
  <c r="D19" i="9"/>
  <c r="D20" i="9"/>
  <c r="D21" i="9"/>
  <c r="D12" i="9"/>
  <c r="D13" i="9"/>
  <c r="D14" i="9"/>
  <c r="D15" i="9"/>
  <c r="D16" i="9"/>
  <c r="D11" i="9"/>
  <c r="Q6" i="10"/>
  <c r="R6" i="10" s="1"/>
  <c r="S6" i="10" s="1"/>
  <c r="Q17" i="10"/>
  <c r="R17" i="10" s="1"/>
  <c r="K6" i="10"/>
  <c r="L6" i="10" s="1"/>
  <c r="M6" i="10" s="1"/>
  <c r="H18" i="4"/>
  <c r="G16" i="4"/>
  <c r="H14" i="4" s="1"/>
  <c r="H16" i="4" s="1"/>
  <c r="H17" i="4" s="1"/>
  <c r="H15" i="2"/>
  <c r="I15" i="2"/>
  <c r="J15" i="2"/>
  <c r="K15" i="2"/>
  <c r="G15" i="2"/>
  <c r="G13" i="2"/>
  <c r="G12" i="2"/>
  <c r="G11" i="2"/>
  <c r="H7" i="2"/>
  <c r="H6" i="2"/>
  <c r="I17" i="1"/>
  <c r="E43" i="8"/>
  <c r="H18" i="3" l="1"/>
  <c r="J25" i="9"/>
  <c r="S17" i="10"/>
  <c r="T17" i="10" s="1"/>
  <c r="T6" i="10"/>
  <c r="U6" i="10" s="1"/>
  <c r="P7" i="10" s="1"/>
  <c r="E8" i="10"/>
  <c r="F8" i="10" s="1"/>
  <c r="J7" i="10"/>
  <c r="G17" i="4"/>
  <c r="I14" i="4"/>
  <c r="I16" i="4" s="1"/>
  <c r="I17" i="4" s="1"/>
  <c r="G41" i="8" l="1"/>
  <c r="P18" i="10"/>
  <c r="Q18" i="10" s="1"/>
  <c r="Q7" i="10"/>
  <c r="R7" i="10" s="1"/>
  <c r="S7" i="10" s="1"/>
  <c r="T7" i="10" s="1"/>
  <c r="U7" i="10" s="1"/>
  <c r="E9" i="10"/>
  <c r="F9" i="10" s="1"/>
  <c r="K7" i="10"/>
  <c r="L7" i="10" s="1"/>
  <c r="M7" i="10" s="1"/>
  <c r="H16" i="7"/>
  <c r="I18" i="4"/>
  <c r="I15" i="6"/>
  <c r="I16" i="6" s="1"/>
  <c r="I17" i="3"/>
  <c r="J17" i="3"/>
  <c r="K17" i="3"/>
  <c r="L17" i="3"/>
  <c r="M17" i="3" s="1"/>
  <c r="E10" i="10" l="1"/>
  <c r="J18" i="3"/>
  <c r="J19" i="3"/>
  <c r="L18" i="3"/>
  <c r="L19" i="3"/>
  <c r="K19" i="3"/>
  <c r="K18" i="3"/>
  <c r="I18" i="3"/>
  <c r="I19" i="3"/>
  <c r="R18" i="10"/>
  <c r="S18" i="10" s="1"/>
  <c r="P8" i="10"/>
  <c r="J8" i="10"/>
  <c r="J16" i="7"/>
  <c r="I16" i="7"/>
  <c r="J15" i="6"/>
  <c r="J16" i="6" s="1"/>
  <c r="F10" i="10" l="1"/>
  <c r="E11" i="10" s="1"/>
  <c r="F11" i="10" s="1"/>
  <c r="T18" i="10"/>
  <c r="P19" i="10" s="1"/>
  <c r="Q19" i="10" s="1"/>
  <c r="R19" i="10" s="1"/>
  <c r="S19" i="10" s="1"/>
  <c r="T19" i="10" s="1"/>
  <c r="Q8" i="10"/>
  <c r="R8" i="10" s="1"/>
  <c r="S8" i="10" s="1"/>
  <c r="T8" i="10" s="1"/>
  <c r="U8" i="10" s="1"/>
  <c r="K8" i="10"/>
  <c r="L8" i="10" s="1"/>
  <c r="K15" i="6"/>
  <c r="K16" i="6" s="1"/>
  <c r="E12" i="10" l="1"/>
  <c r="F12" i="10" s="1"/>
  <c r="P20" i="10"/>
  <c r="Q20" i="10" s="1"/>
  <c r="P9" i="10"/>
  <c r="M8" i="10"/>
  <c r="J9" i="10" s="1"/>
  <c r="J14" i="4"/>
  <c r="J16" i="4" s="1"/>
  <c r="J17" i="4" s="1"/>
  <c r="L15" i="6"/>
  <c r="L16" i="6" s="1"/>
  <c r="E13" i="10" l="1"/>
  <c r="F13" i="10" s="1"/>
  <c r="R20" i="10"/>
  <c r="S20" i="10" s="1"/>
  <c r="Q9" i="10"/>
  <c r="R9" i="10" s="1"/>
  <c r="S9" i="10" s="1"/>
  <c r="T9" i="10" s="1"/>
  <c r="U9" i="10" s="1"/>
  <c r="K9" i="10"/>
  <c r="L9" i="10" s="1"/>
  <c r="M9" i="10" s="1"/>
  <c r="J18" i="4"/>
  <c r="M15" i="6"/>
  <c r="M16" i="6" s="1"/>
  <c r="P10" i="10" l="1"/>
  <c r="T20" i="10"/>
  <c r="P21" i="10" s="1"/>
  <c r="J10" i="10"/>
  <c r="N15" i="6"/>
  <c r="N16" i="6" s="1"/>
  <c r="Q10" i="10" l="1"/>
  <c r="R10" i="10"/>
  <c r="S10" i="10" s="1"/>
  <c r="T10" i="10" s="1"/>
  <c r="U10" i="10" s="1"/>
  <c r="Q21" i="10"/>
  <c r="R21" i="10" s="1"/>
  <c r="K10" i="10"/>
  <c r="L10" i="10" s="1"/>
  <c r="M10" i="10" s="1"/>
  <c r="J11" i="10" s="1"/>
  <c r="K14" i="4"/>
  <c r="K16" i="4" s="1"/>
  <c r="K17" i="4" s="1"/>
  <c r="P11" i="10" l="1"/>
  <c r="S21" i="10"/>
  <c r="T21" i="10" s="1"/>
  <c r="P22" i="10" s="1"/>
  <c r="K11" i="10"/>
  <c r="L11" i="10" s="1"/>
  <c r="M11" i="10" s="1"/>
  <c r="J12" i="10" s="1"/>
  <c r="K18" i="4"/>
  <c r="L14" i="4"/>
  <c r="L16" i="4" s="1"/>
  <c r="L17" i="4" s="1"/>
  <c r="F14" i="8"/>
  <c r="F15" i="8"/>
  <c r="F16" i="8"/>
  <c r="F17" i="8"/>
  <c r="G17" i="8" s="1"/>
  <c r="F13" i="8"/>
  <c r="F3" i="8"/>
  <c r="F7" i="8"/>
  <c r="D7" i="2"/>
  <c r="K12" i="10" l="1"/>
  <c r="G14" i="2"/>
  <c r="L18" i="4"/>
  <c r="G15" i="8"/>
  <c r="G16" i="8"/>
  <c r="H16" i="8" s="1"/>
  <c r="G14" i="8"/>
  <c r="H15" i="8" s="1"/>
  <c r="F6" i="8"/>
  <c r="G6" i="8" s="1"/>
  <c r="F5" i="8"/>
  <c r="F4" i="8"/>
  <c r="L12" i="10" l="1"/>
  <c r="M12" i="10" s="1"/>
  <c r="J13" i="10" s="1"/>
  <c r="H17" i="8"/>
  <c r="I16" i="8"/>
  <c r="I17" i="8"/>
  <c r="J17" i="8" s="1"/>
  <c r="G5" i="8"/>
  <c r="H5" i="8" s="1"/>
  <c r="G4" i="8"/>
  <c r="G3" i="8"/>
  <c r="H11" i="2"/>
  <c r="H4" i="8" l="1"/>
  <c r="I4" i="8" s="1"/>
  <c r="H3" i="8"/>
  <c r="I3" i="8" s="1"/>
  <c r="J3" i="8" s="1"/>
  <c r="H12" i="2"/>
  <c r="H13" i="2" l="1"/>
  <c r="H14" i="2" l="1"/>
  <c r="I20" i="1"/>
  <c r="I19" i="1"/>
  <c r="I18" i="1"/>
  <c r="I21" i="1" l="1"/>
  <c r="I11" i="2"/>
  <c r="I12" i="2" s="1"/>
  <c r="J19" i="1"/>
  <c r="J18" i="1"/>
  <c r="J20" i="1"/>
  <c r="J17" i="1"/>
  <c r="I13" i="2" l="1"/>
  <c r="J21" i="1"/>
  <c r="K17" i="1"/>
  <c r="K20" i="1"/>
  <c r="K19" i="1"/>
  <c r="K18" i="1"/>
  <c r="I14" i="2" l="1"/>
  <c r="J11" i="2" s="1"/>
  <c r="K21" i="1"/>
  <c r="L20" i="1"/>
  <c r="L19" i="1"/>
  <c r="L18" i="1"/>
  <c r="L17" i="1"/>
  <c r="J12" i="2" l="1"/>
  <c r="J13" i="2" s="1"/>
  <c r="J14" i="2" s="1"/>
  <c r="K11" i="2" s="1"/>
  <c r="M17" i="1"/>
  <c r="L21" i="1"/>
  <c r="M19" i="1"/>
  <c r="M18" i="1"/>
  <c r="M20" i="1"/>
  <c r="K12" i="2" l="1"/>
  <c r="K13" i="2" s="1"/>
  <c r="N17" i="1"/>
  <c r="N20" i="1"/>
  <c r="N18" i="1"/>
  <c r="N19" i="1"/>
  <c r="M21" i="1"/>
  <c r="K14" i="2" l="1"/>
  <c r="N21" i="1"/>
</calcChain>
</file>

<file path=xl/sharedStrings.xml><?xml version="1.0" encoding="utf-8"?>
<sst xmlns="http://schemas.openxmlformats.org/spreadsheetml/2006/main" count="206" uniqueCount="133">
  <si>
    <t>Ma trận C</t>
  </si>
  <si>
    <t>Ma trận d</t>
  </si>
  <si>
    <t>B1</t>
  </si>
  <si>
    <t>Nhận xét: Ta thấy ma trận A là ma trận chéo trội, vậy ta có thể sử dụng pp lặp  Jacobi để giải hệ pt này</t>
  </si>
  <si>
    <t>B2</t>
  </si>
  <si>
    <t>Ta có C=… ; d=…</t>
  </si>
  <si>
    <t>B3</t>
  </si>
  <si>
    <t>Ta lập bảng tính</t>
  </si>
  <si>
    <t>B4</t>
  </si>
  <si>
    <t>Kết luận và tính sai số</t>
  </si>
  <si>
    <t>Giá trị ||C||=</t>
  </si>
  <si>
    <t>x</t>
  </si>
  <si>
    <t>x0</t>
  </si>
  <si>
    <t>x1</t>
  </si>
  <si>
    <t>x2</t>
  </si>
  <si>
    <t>x3</t>
  </si>
  <si>
    <t>x4</t>
  </si>
  <si>
    <t>x5</t>
  </si>
  <si>
    <t>Sai số</t>
  </si>
  <si>
    <t>PP Gause Seidel</t>
  </si>
  <si>
    <t>C</t>
  </si>
  <si>
    <t>d</t>
  </si>
  <si>
    <t>p1 = 0</t>
  </si>
  <si>
    <t>q4=0</t>
  </si>
  <si>
    <t>µ =</t>
  </si>
  <si>
    <r>
      <t xml:space="preserve">Neu </t>
    </r>
    <r>
      <rPr>
        <sz val="11"/>
        <color rgb="FF000000"/>
        <rFont val="CMSSI10"/>
      </rPr>
      <t>f(x0)</t>
    </r>
    <r>
      <rPr>
        <sz val="8"/>
        <color rgb="FF000000"/>
        <rFont val="VNSS8"/>
      </rPr>
      <t xml:space="preserve"> </t>
    </r>
    <r>
      <rPr>
        <sz val="11"/>
        <color rgb="FF000000"/>
        <rFont val="CMMI10"/>
      </rPr>
      <t xml:space="preserve">&gt; </t>
    </r>
    <r>
      <rPr>
        <sz val="11"/>
        <color rgb="FF000000"/>
        <rFont val="VNSS10"/>
      </rPr>
      <t>0 thì khoang nghiem mới là [a0</t>
    </r>
    <r>
      <rPr>
        <sz val="11"/>
        <color rgb="FF000000"/>
        <rFont val="CMMI10"/>
      </rPr>
      <t>; x0</t>
    </r>
    <r>
      <rPr>
        <sz val="11"/>
        <color rgb="FF000000"/>
        <rFont val="VNSS10"/>
      </rPr>
      <t xml:space="preserve">], đặt </t>
    </r>
    <r>
      <rPr>
        <sz val="11"/>
        <color rgb="FF000000"/>
        <rFont val="CMSSI10"/>
      </rPr>
      <t>a</t>
    </r>
    <r>
      <rPr>
        <sz val="8"/>
        <color rgb="FF000000"/>
        <rFont val="VNSS8"/>
      </rPr>
      <t xml:space="preserve">1 </t>
    </r>
    <r>
      <rPr>
        <sz val="11"/>
        <color rgb="FF000000"/>
        <rFont val="CMSS10"/>
      </rPr>
      <t>= a0</t>
    </r>
    <r>
      <rPr>
        <sz val="11"/>
        <color rgb="FF000000"/>
        <rFont val="CMMI10"/>
      </rPr>
      <t xml:space="preserve">; </t>
    </r>
    <r>
      <rPr>
        <sz val="11"/>
        <color rgb="FF000000"/>
        <rFont val="CMSSI10"/>
      </rPr>
      <t>b</t>
    </r>
    <r>
      <rPr>
        <sz val="8"/>
        <color rgb="FF000000"/>
        <rFont val="VNSS8"/>
      </rPr>
      <t xml:space="preserve">1 </t>
    </r>
    <r>
      <rPr>
        <sz val="11"/>
        <color rgb="FF000000"/>
        <rFont val="CMSS10"/>
      </rPr>
      <t>= x</t>
    </r>
    <r>
      <rPr>
        <sz val="8"/>
        <color rgb="FF000000"/>
        <rFont val="VNSS8"/>
      </rPr>
      <t>0</t>
    </r>
  </si>
  <si>
    <t>Neu f(x0) &lt; 0 thì khoang nghiem mới là [x0; b0], đặt a1 = x0; b1 = b0</t>
  </si>
  <si>
    <t>i</t>
  </si>
  <si>
    <t>y</t>
  </si>
  <si>
    <t>dy</t>
  </si>
  <si>
    <t>d2y</t>
  </si>
  <si>
    <t>d3y</t>
  </si>
  <si>
    <t>a0= y0 =23</t>
  </si>
  <si>
    <t>a1= dy/(1!h^1) = 70/(1*2)=35</t>
  </si>
  <si>
    <t>a2=d2y/(2!h^2)=96/(2*4)=12</t>
  </si>
  <si>
    <t>a3= d3y(3!h^3)=48/(6*8)=1</t>
  </si>
  <si>
    <t>p3(x) = a(0) +a1(x-2)+ a2(x-2)(x-4) + a3(x-2)(x-4)(x-6)</t>
  </si>
  <si>
    <r>
      <t xml:space="preserve">KL da thuc noi suy la…, thay x=11 vào đa thức nội suy thì ta có f(11) </t>
    </r>
    <r>
      <rPr>
        <sz val="11"/>
        <color theme="1"/>
        <rFont val="Calibri"/>
        <family val="2"/>
      </rPr>
      <t>≈ p3(11)</t>
    </r>
  </si>
  <si>
    <t>sp b1</t>
  </si>
  <si>
    <t>sp b2</t>
  </si>
  <si>
    <t>sp b3</t>
  </si>
  <si>
    <t>sp b4</t>
  </si>
  <si>
    <t>sp b5</t>
  </si>
  <si>
    <t>sp b6</t>
  </si>
  <si>
    <t>Sai phân lùi</t>
  </si>
  <si>
    <t>Sai phân tiến</t>
  </si>
  <si>
    <t>tsp1</t>
  </si>
  <si>
    <t>tsp2</t>
  </si>
  <si>
    <t>tsp3</t>
  </si>
  <si>
    <t>tsp1= y(p+1)-yp/x(p+1)-xp</t>
  </si>
  <si>
    <t>…</t>
  </si>
  <si>
    <t>f(x) = x^3 - cos(x) = 0</t>
  </si>
  <si>
    <t>[a, b] = [0.5, 1]</t>
  </si>
  <si>
    <t>Tinh nghiem xap xi den x5 va ket luan xem sai so dat duoc la bao nhieu</t>
  </si>
  <si>
    <t xml:space="preserve"> </t>
  </si>
  <si>
    <t>a</t>
  </si>
  <si>
    <t>b</t>
  </si>
  <si>
    <t>f(x)</t>
  </si>
  <si>
    <t>ss</t>
  </si>
  <si>
    <t>Vay nghiem dat duoc tai buoc lap thu 5 la 0.8672 voi sai so la 0.0234</t>
  </si>
  <si>
    <t>B2:</t>
  </si>
  <si>
    <t>B1:</t>
  </si>
  <si>
    <t>B3:</t>
  </si>
  <si>
    <t>f(x) = x^3 -x-1=0</t>
  </si>
  <si>
    <t>x=phi(x)</t>
  </si>
  <si>
    <t>[1;2] là khoảng phân ly nghiệm</t>
  </si>
  <si>
    <t>x in [a;b] =&gt; phi(x) in [a;b]</t>
  </si>
  <si>
    <t>Tồn tại q trong đó phi'(x)&lt;q&lt;1</t>
  </si>
  <si>
    <t>Bước 1</t>
  </si>
  <si>
    <t>x=x^3+1 =&gt; x=2, f(x)=9 không thỏa mãn đk số 2</t>
  </si>
  <si>
    <t xml:space="preserve">x=x+1/x^2 =&gt; x=2, f(x)=0.75 không thỏa mãn đk số 2 </t>
  </si>
  <si>
    <t>x=(x+1)^1/3 =&gt; Thỏa mãn cả 3 điều kiện hội tụ</t>
  </si>
  <si>
    <t>Bước 2</t>
  </si>
  <si>
    <t>Tính phi'(x) =1/3*(x+1)^-2/3</t>
  </si>
  <si>
    <t>phi'(x) &lt;= phi'(1)=1/3*2^(-2/3)=0.20999&lt;0.3 = q&lt;1</t>
  </si>
  <si>
    <t>x6</t>
  </si>
  <si>
    <t>=&gt; ta co the ap dung phuong phap tiep tuyen</t>
  </si>
  <si>
    <t xml:space="preserve">B1: </t>
  </si>
  <si>
    <t>tsp2= tsp1(p+1) -tsp1/x(p+1)-xp</t>
  </si>
  <si>
    <t>tsp4</t>
  </si>
  <si>
    <t>tsp5</t>
  </si>
  <si>
    <t>f(x) = e^x -5x + 2 = 0</t>
  </si>
  <si>
    <t>Khoảng xét: [0, 1] giải bằng phương pháp tiếp tuyến đến x4 và KL nghiệm</t>
  </si>
  <si>
    <t>f(0).f(1)=  &lt;0 =&gt; [0,1] là khoảng chứa nghiệm của phương trình</t>
  </si>
  <si>
    <t>|f'(x)| = |e^x-5| &gt;= 2 voi moi x trong khoang [0, 1] =&gt;Lấy m=2</t>
  </si>
  <si>
    <t>|f''(x)| = |e^x| &lt;= 3 voi moi x trong khoang [0, 1] =&gt; lấy M=3</t>
  </si>
  <si>
    <t>2 &lt;= |f'(x)|= |e^x-5| &lt;= 4</t>
  </si>
  <si>
    <t>1 &lt;= |f"(x)|=|e^x| &lt;= 3</t>
  </si>
  <si>
    <t>Vậy với sai số xấp xỉ ...(Tại ...) nghiệm của hệ là (,,,)</t>
  </si>
  <si>
    <t>q1 = 0.425</t>
  </si>
  <si>
    <t>p2 = 0.06</t>
  </si>
  <si>
    <t>q2 = 0.4</t>
  </si>
  <si>
    <t>p3=0.25</t>
  </si>
  <si>
    <t>q3 = 0.05</t>
  </si>
  <si>
    <t>p4=0.125</t>
  </si>
  <si>
    <t>Vậy với sai số xấp xỉ 1.19E-05(Tại x5) ta tìm được nghiệm xấp xỉ là ( 1.417481,-0.8428,2.091554,1.180379)</t>
  </si>
  <si>
    <t>Ta cần chọn x0 = 1 de f(x0) cung dau voi f''(x0)</t>
  </si>
  <si>
    <t>Vậy x4= 1.61803 với sai số là 4.1E-22</t>
  </si>
  <si>
    <t>f(x) =sqrt(x+1) -x = 0</t>
  </si>
  <si>
    <r>
      <t>f(1).f(2)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>-0.11 &lt;0 =&gt; [1,2] là khoảng chứa nghiệm</t>
    </r>
  </si>
  <si>
    <t xml:space="preserve">f'(x) = 0.5/sqrt(x+1) -1 </t>
  </si>
  <si>
    <t>|f'(x)| &gt;= |f'(2)|with any x in [1, 2] =&gt; Lấy m = 0.5</t>
  </si>
  <si>
    <t>|f'(x)| &lt;= |f'(1)|with any x in [1, 2] =&gt; Lấy M = 1</t>
  </si>
  <si>
    <t>khoang xet: [1, 2] giai bang phuong phap day cung den x5</t>
  </si>
  <si>
    <t>KL: Vậy x5=1.61803</t>
  </si>
  <si>
    <t>Tính tích phân từ 0 đến 1 của f(x)=1/(1+x^2)^2</t>
  </si>
  <si>
    <t>Ta sẽ tính với h=0.1</t>
  </si>
  <si>
    <t>|f''(x)|=|(20x^2-4)/(1+x^2)^4| &lt;24 =M2</t>
  </si>
  <si>
    <t>Suy ra |I*-I| &lt;=M2/12*h^2(b-a)=24/12*0.1^2*1=0.02</t>
  </si>
  <si>
    <t>B5</t>
  </si>
  <si>
    <t>Kết luận ta tính được gần đúng dung tích của f(x) trên [0,1] la 0.642283 voi sai so 0.02</t>
  </si>
  <si>
    <t>Như vậy theo công thức simpson thì:</t>
  </si>
  <si>
    <t>I*= h/3*(y0+y2n + 4y_le + 2y_chan) =</t>
  </si>
  <si>
    <t>I* = h*(0.5*(y0+y10)+y1+…+y9))=</t>
  </si>
  <si>
    <t>h.f(x,y)</t>
  </si>
  <si>
    <t>z</t>
  </si>
  <si>
    <t>h(f(x+1),z)</t>
  </si>
  <si>
    <t>h =</t>
  </si>
  <si>
    <t>Phương pháp Euler</t>
  </si>
  <si>
    <t>Phương pháp Euler cải tiến</t>
  </si>
  <si>
    <t>y(i+1)= y(i) + h*f(xi,yi)</t>
  </si>
  <si>
    <t>y(i+1)= y(i) + 0.5*(h*f(xi,yi)+h(f((i+1),z))</t>
  </si>
  <si>
    <t>k1=h.f(x,y)</t>
  </si>
  <si>
    <t>z1=y+k1/2</t>
  </si>
  <si>
    <t>k2=hf(x+0.5h,z1)</t>
  </si>
  <si>
    <t>k3=hf(x+h,z2)</t>
  </si>
  <si>
    <t>Phương pháp Runge - Kutta 3</t>
  </si>
  <si>
    <t>z2=y -k1+2k2</t>
  </si>
  <si>
    <t>Phương pháp Runge - Kutta 4</t>
  </si>
  <si>
    <t>k3=hf(x+0.5h,y+0.5k2)</t>
  </si>
  <si>
    <t>k4=hf(x+h,y+k3)</t>
  </si>
  <si>
    <t>k2=hf(x+0.5*h,y+0.5k1)</t>
  </si>
  <si>
    <t>y'=-xy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</si>
</sst>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VNSS10"/>
    </font>
    <font>
      <sz val="11"/>
      <color rgb="FF000000"/>
      <name val="CMSSI10"/>
    </font>
    <font>
      <sz val="8"/>
      <color rgb="FF000000"/>
      <name val="VNSS8"/>
    </font>
    <font>
      <sz val="11"/>
      <color rgb="FF000000"/>
      <name val="CMMI10"/>
    </font>
    <font>
      <sz val="11"/>
      <color rgb="FF000000"/>
      <name val="CMSS10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2" xfId="0" applyBorder="1"/>
    <xf numFmtId="0" fontId="3" fillId="0" borderId="1" xfId="0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3" borderId="2" xfId="0" applyFill="1" applyBorder="1"/>
    <xf numFmtId="0" fontId="5" fillId="0" borderId="0" xfId="0" applyFont="1"/>
    <xf numFmtId="0" fontId="7" fillId="0" borderId="3" xfId="0" applyFont="1" applyBorder="1"/>
    <xf numFmtId="0" fontId="0" fillId="0" borderId="5" xfId="0" applyBorder="1"/>
    <xf numFmtId="0" fontId="7" fillId="0" borderId="8" xfId="0" applyFont="1" applyBorder="1"/>
    <xf numFmtId="0" fontId="0" fillId="0" borderId="10" xfId="0" applyBorder="1"/>
    <xf numFmtId="0" fontId="0" fillId="0" borderId="0" xfId="0" applyAlignment="1">
      <alignment horizontal="left"/>
    </xf>
    <xf numFmtId="0" fontId="12" fillId="0" borderId="0" xfId="0" applyFont="1"/>
    <xf numFmtId="0" fontId="0" fillId="0" borderId="7" xfId="0" applyBorder="1"/>
    <xf numFmtId="0" fontId="3" fillId="0" borderId="0" xfId="0" applyFont="1" applyAlignment="1">
      <alignment horizontal="left" vertical="center"/>
    </xf>
    <xf numFmtId="0" fontId="6" fillId="0" borderId="12" xfId="0" applyFont="1" applyFill="1" applyBorder="1"/>
    <xf numFmtId="0" fontId="1" fillId="0" borderId="13" xfId="0" applyFont="1" applyBorder="1" applyAlignment="1">
      <alignment horizontal="left"/>
    </xf>
    <xf numFmtId="0" fontId="1" fillId="0" borderId="12" xfId="0" applyFont="1" applyBorder="1"/>
    <xf numFmtId="0" fontId="0" fillId="0" borderId="14" xfId="0" applyBorder="1"/>
    <xf numFmtId="0" fontId="1" fillId="0" borderId="14" xfId="0" applyFont="1" applyBorder="1"/>
    <xf numFmtId="0" fontId="0" fillId="0" borderId="13" xfId="0" applyBorder="1"/>
    <xf numFmtId="0" fontId="1" fillId="0" borderId="15" xfId="0" applyFont="1" applyBorder="1"/>
    <xf numFmtId="0" fontId="1" fillId="0" borderId="16" xfId="0" applyFont="1" applyBorder="1"/>
    <xf numFmtId="0" fontId="1" fillId="0" borderId="11" xfId="0" applyFont="1" applyBorder="1"/>
    <xf numFmtId="0" fontId="0" fillId="0" borderId="12" xfId="0" applyBorder="1"/>
    <xf numFmtId="0" fontId="0" fillId="0" borderId="0" xfId="0" quotePrefix="1"/>
    <xf numFmtId="0" fontId="0" fillId="0" borderId="4" xfId="0" applyNumberFormat="1" applyBorder="1"/>
    <xf numFmtId="0" fontId="0" fillId="0" borderId="6" xfId="0" applyNumberFormat="1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0" xfId="0" applyFill="1" applyBorder="1"/>
    <xf numFmtId="0" fontId="1" fillId="0" borderId="0" xfId="0" applyFont="1"/>
    <xf numFmtId="164" fontId="0" fillId="0" borderId="0" xfId="0" applyNumberFormat="1"/>
    <xf numFmtId="0" fontId="0" fillId="0" borderId="7" xfId="0" applyNumberFormat="1" applyBorder="1"/>
    <xf numFmtId="0" fontId="0" fillId="0" borderId="10" xfId="0" applyNumberFormat="1" applyBorder="1"/>
    <xf numFmtId="0" fontId="1" fillId="2" borderId="15" xfId="0" applyNumberFormat="1" applyFont="1" applyFill="1" applyBorder="1"/>
    <xf numFmtId="0" fontId="1" fillId="2" borderId="17" xfId="0" applyNumberFormat="1" applyFont="1" applyFill="1" applyBorder="1"/>
    <xf numFmtId="0" fontId="1" fillId="2" borderId="16" xfId="0" applyNumberFormat="1" applyFont="1" applyFill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B26B-D57E-4589-A9CA-A61F79F26B0B}">
  <dimension ref="G1:S23"/>
  <sheetViews>
    <sheetView tabSelected="1" workbookViewId="0">
      <selection activeCell="I15" sqref="I15"/>
    </sheetView>
  </sheetViews>
  <sheetFormatPr defaultRowHeight="15"/>
  <sheetData>
    <row r="1" spans="7:19" ht="15.75" thickBot="1">
      <c r="K1" s="46" t="s">
        <v>0</v>
      </c>
      <c r="L1" s="46"/>
      <c r="M1" s="46"/>
      <c r="P1" s="2" t="s">
        <v>1</v>
      </c>
    </row>
    <row r="2" spans="7:19">
      <c r="K2" s="4">
        <v>0</v>
      </c>
      <c r="L2" s="5">
        <f>-0.3</f>
        <v>-0.3</v>
      </c>
      <c r="M2" s="33">
        <v>-0.1</v>
      </c>
      <c r="N2" s="15">
        <v>0</v>
      </c>
      <c r="O2" s="3"/>
      <c r="P2" s="43">
        <v>1.4</v>
      </c>
    </row>
    <row r="3" spans="7:19">
      <c r="K3" s="34">
        <v>-0.16</v>
      </c>
      <c r="L3" s="35">
        <v>0</v>
      </c>
      <c r="M3" s="35">
        <v>0.4</v>
      </c>
      <c r="N3" s="41">
        <v>0</v>
      </c>
      <c r="O3" s="35"/>
      <c r="P3" s="44">
        <v>1.4</v>
      </c>
    </row>
    <row r="4" spans="7:19">
      <c r="K4" s="34">
        <v>-0.25</v>
      </c>
      <c r="L4" s="35">
        <v>0.125</v>
      </c>
      <c r="M4" s="35">
        <v>0</v>
      </c>
      <c r="N4" s="41">
        <v>0</v>
      </c>
      <c r="O4" s="35"/>
      <c r="P4" s="44">
        <v>0.75</v>
      </c>
    </row>
    <row r="5" spans="7:19" ht="15.75" thickBot="1">
      <c r="K5" s="36">
        <v>0</v>
      </c>
      <c r="L5" s="37">
        <v>0</v>
      </c>
      <c r="M5" s="37">
        <v>0</v>
      </c>
      <c r="N5" s="42">
        <v>0</v>
      </c>
      <c r="O5" s="35"/>
      <c r="P5" s="45">
        <v>0</v>
      </c>
    </row>
    <row r="9" spans="7:19">
      <c r="G9" t="s">
        <v>2</v>
      </c>
      <c r="H9" s="47" t="s">
        <v>3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</row>
    <row r="10" spans="7:19">
      <c r="G10" t="s">
        <v>4</v>
      </c>
      <c r="H10" t="s">
        <v>5</v>
      </c>
    </row>
    <row r="11" spans="7:19">
      <c r="G11" t="s">
        <v>6</v>
      </c>
      <c r="H11" t="s">
        <v>7</v>
      </c>
    </row>
    <row r="12" spans="7:19">
      <c r="G12" t="s">
        <v>8</v>
      </c>
      <c r="H12" t="s">
        <v>9</v>
      </c>
    </row>
    <row r="13" spans="7:19" ht="15.75" thickBot="1"/>
    <row r="14" spans="7:19" ht="15.75" thickBot="1">
      <c r="G14" s="24" t="s">
        <v>10</v>
      </c>
      <c r="H14" s="25"/>
      <c r="I14" s="26">
        <f>MAX(ABS(K2)+ABS(L2)+ABS(M2)+ABS(N2),ABS(K3)+ABS(L3)+ABS(M3)+ABS(N3),ABS(K4)+ABS(L4)+ABS(M4)+ABS(N4),ABS(K5)+ABS(L5)+ABS(M5)+ABS(N5))</f>
        <v>0.56000000000000005</v>
      </c>
      <c r="J14" s="27"/>
    </row>
    <row r="16" spans="7:19">
      <c r="G16" s="1" t="s">
        <v>11</v>
      </c>
      <c r="H16" s="1" t="s">
        <v>12</v>
      </c>
      <c r="I16" s="1" t="s">
        <v>13</v>
      </c>
      <c r="J16" s="1" t="s">
        <v>14</v>
      </c>
      <c r="K16" s="1" t="s">
        <v>15</v>
      </c>
      <c r="L16" s="1" t="s">
        <v>16</v>
      </c>
      <c r="M16" s="1" t="s">
        <v>17</v>
      </c>
    </row>
    <row r="17" spans="7:15">
      <c r="G17" s="1"/>
      <c r="H17" s="1">
        <v>0</v>
      </c>
      <c r="I17" s="1">
        <f t="shared" ref="I17:N20" si="0">(H$17*$K2+H$18*$L2+H$19*$M2+H$20*$N2)+$P2</f>
        <v>1.4</v>
      </c>
      <c r="J17" s="1">
        <f t="shared" si="0"/>
        <v>0.90499999999999992</v>
      </c>
      <c r="K17" s="1">
        <f t="shared" si="0"/>
        <v>0.89969999999999994</v>
      </c>
      <c r="L17" s="1">
        <f t="shared" si="0"/>
        <v>0.88361499999999993</v>
      </c>
      <c r="M17" s="1">
        <f t="shared" si="0"/>
        <v>0.86712309999999992</v>
      </c>
      <c r="N17" s="1">
        <f t="shared" si="0"/>
        <v>0.86497504499999989</v>
      </c>
      <c r="O17" s="3"/>
    </row>
    <row r="18" spans="7:15">
      <c r="G18" s="1"/>
      <c r="H18" s="1">
        <v>0</v>
      </c>
      <c r="I18" s="1">
        <f t="shared" si="0"/>
        <v>1.4</v>
      </c>
      <c r="J18" s="1">
        <f t="shared" si="0"/>
        <v>1.476</v>
      </c>
      <c r="K18" s="1">
        <f t="shared" si="0"/>
        <v>1.4851999999999999</v>
      </c>
      <c r="L18" s="1">
        <f t="shared" si="0"/>
        <v>1.5393479999999999</v>
      </c>
      <c r="M18" s="1">
        <f t="shared" si="0"/>
        <v>1.5429116</v>
      </c>
      <c r="N18" s="1">
        <f t="shared" si="0"/>
        <v>1.549866204</v>
      </c>
      <c r="O18" s="3"/>
    </row>
    <row r="19" spans="7:15">
      <c r="G19" s="1"/>
      <c r="H19" s="1">
        <v>0</v>
      </c>
      <c r="I19" s="1">
        <f t="shared" si="0"/>
        <v>0.75</v>
      </c>
      <c r="J19" s="1">
        <f t="shared" si="0"/>
        <v>0.57499999999999996</v>
      </c>
      <c r="K19" s="1">
        <f t="shared" si="0"/>
        <v>0.70825000000000005</v>
      </c>
      <c r="L19" s="1">
        <f t="shared" si="0"/>
        <v>0.71072500000000005</v>
      </c>
      <c r="M19" s="1">
        <f t="shared" si="0"/>
        <v>0.72151474999999998</v>
      </c>
      <c r="N19" s="1">
        <f t="shared" si="0"/>
        <v>0.72608317500000008</v>
      </c>
      <c r="O19" s="3"/>
    </row>
    <row r="20" spans="7:15">
      <c r="G20" s="1"/>
      <c r="H20" s="1">
        <v>0</v>
      </c>
      <c r="I20" s="1">
        <f t="shared" si="0"/>
        <v>0</v>
      </c>
      <c r="J20" s="1">
        <f t="shared" si="0"/>
        <v>0</v>
      </c>
      <c r="K20" s="1">
        <f t="shared" si="0"/>
        <v>0</v>
      </c>
      <c r="L20" s="1">
        <f t="shared" si="0"/>
        <v>0</v>
      </c>
      <c r="M20" s="1">
        <f t="shared" si="0"/>
        <v>0</v>
      </c>
      <c r="N20" s="1">
        <f t="shared" si="0"/>
        <v>0</v>
      </c>
      <c r="O20" s="3"/>
    </row>
    <row r="21" spans="7:15">
      <c r="G21" s="1" t="s">
        <v>18</v>
      </c>
      <c r="H21" s="1"/>
      <c r="I21" s="1">
        <f>MAX(ABS(I$17-H$17),ABS(I$18-H$18),ABS(I$19-H$19),ABS(I$20-H$20))*($I$14/(1-$I$14))</f>
        <v>1.781818181818182</v>
      </c>
      <c r="J21" s="1">
        <f>MAX(ABS(J$17-I$17),ABS(J$18-I$18),ABS(J$19-I$19),ABS(J$20-I$20))*($I$14/(1-$I$14))</f>
        <v>0.63000000000000012</v>
      </c>
      <c r="K21" s="1">
        <f>MAX(ABS(K$17-J$17),ABS(K$18-J$18),ABS(K$19-J$19),ABS(K$20-J$20))*($I$14/(1-$I$14))</f>
        <v>0.16959090909090924</v>
      </c>
      <c r="L21" s="1">
        <f t="shared" ref="L21" si="1">MAX(ABS(L$17-K$17),ABS(L$18-K$18),ABS(L$19-K$19),ABS(L$20-K$20))*($I$14/(1-$I$14))</f>
        <v>6.8915636363636484E-2</v>
      </c>
      <c r="M21" s="1">
        <f>MAX(ABS(M$17-L$17),ABS(M$18-L$18),ABS(M$19-L$19),ABS(M$20-L$20))*($I$14/(1-$I$14))</f>
        <v>2.0989690909090919E-2</v>
      </c>
      <c r="N21" s="1">
        <f>MAX(ABS(N$17-M$17),ABS(N$18-M$18),ABS(N$19-M$19),ABS(N$20-M$20))*($I$14/(1-$I$14))</f>
        <v>8.8513141818180804E-3</v>
      </c>
      <c r="O21" s="3"/>
    </row>
    <row r="23" spans="7:15">
      <c r="G23" t="s">
        <v>88</v>
      </c>
    </row>
  </sheetData>
  <mergeCells count="2">
    <mergeCell ref="K1:M1"/>
    <mergeCell ref="H9:S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0619-74CA-4D0A-966F-94A7E0470CE4}">
  <dimension ref="C1:N17"/>
  <sheetViews>
    <sheetView zoomScale="110" zoomScaleNormal="110" workbookViewId="0">
      <selection activeCell="J24" sqref="J24"/>
    </sheetView>
  </sheetViews>
  <sheetFormatPr defaultRowHeight="15"/>
  <sheetData>
    <row r="1" spans="3:14">
      <c r="I1" s="9" t="s">
        <v>19</v>
      </c>
    </row>
    <row r="3" spans="3:14">
      <c r="J3" t="s">
        <v>20</v>
      </c>
      <c r="N3" t="s">
        <v>21</v>
      </c>
    </row>
    <row r="5" spans="3:14">
      <c r="F5" s="10" t="s">
        <v>22</v>
      </c>
      <c r="G5" s="10" t="s">
        <v>89</v>
      </c>
      <c r="H5" s="10">
        <v>0.42499999999999999</v>
      </c>
      <c r="I5" s="1">
        <v>0</v>
      </c>
      <c r="J5" s="11">
        <v>-0.05</v>
      </c>
      <c r="K5" s="11">
        <v>0.25</v>
      </c>
      <c r="L5" s="1">
        <v>-0.125</v>
      </c>
      <c r="N5" s="1">
        <v>1</v>
      </c>
    </row>
    <row r="6" spans="3:14" ht="15.75" thickBot="1">
      <c r="F6" s="10" t="s">
        <v>90</v>
      </c>
      <c r="G6" s="10" t="s">
        <v>91</v>
      </c>
      <c r="H6" s="10">
        <f>0.4/(1-0.06)</f>
        <v>0.42553191489361708</v>
      </c>
      <c r="I6" s="12">
        <v>0.06</v>
      </c>
      <c r="J6" s="1">
        <v>0</v>
      </c>
      <c r="K6" s="11">
        <v>0</v>
      </c>
      <c r="L6" s="1">
        <v>0.4</v>
      </c>
      <c r="N6" s="1">
        <v>-1.4</v>
      </c>
    </row>
    <row r="7" spans="3:14" ht="15.75" thickBot="1">
      <c r="C7" s="22" t="s">
        <v>24</v>
      </c>
      <c r="D7" s="23">
        <f>MAX(H5,H6,H7,H8)</f>
        <v>0.42553191489361708</v>
      </c>
      <c r="F7" s="10" t="s">
        <v>92</v>
      </c>
      <c r="G7" s="10" t="s">
        <v>93</v>
      </c>
      <c r="H7" s="10">
        <f>0.05/(1-0.25)</f>
        <v>6.6666666666666666E-2</v>
      </c>
      <c r="I7" s="12">
        <v>0.125</v>
      </c>
      <c r="J7" s="12">
        <v>-0.125</v>
      </c>
      <c r="K7" s="1">
        <v>0</v>
      </c>
      <c r="L7" s="1">
        <v>0.05</v>
      </c>
      <c r="N7" s="1">
        <v>1.75</v>
      </c>
    </row>
    <row r="8" spans="3:14">
      <c r="C8" s="13"/>
      <c r="F8" s="10" t="s">
        <v>94</v>
      </c>
      <c r="G8" s="10" t="s">
        <v>23</v>
      </c>
      <c r="H8">
        <v>0</v>
      </c>
      <c r="I8" s="1">
        <v>-1.2500000000000001E-2</v>
      </c>
      <c r="J8" s="1">
        <v>-6.25E-2</v>
      </c>
      <c r="K8" s="1">
        <v>-0.05</v>
      </c>
      <c r="L8" s="1">
        <v>0</v>
      </c>
      <c r="N8" s="1">
        <v>1.25</v>
      </c>
    </row>
    <row r="10" spans="3:14"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</row>
    <row r="11" spans="3:14">
      <c r="F11">
        <v>0</v>
      </c>
      <c r="G11">
        <f>$I5*F$11+$J5*F$12+$K5*F$13+$L5*F$14+$N5</f>
        <v>1</v>
      </c>
      <c r="H11">
        <f t="shared" ref="H11" si="0">$I5*G$11+$J5*G$12+$K5*G$13+$L5*G$14+$N5</f>
        <v>1.4252343750000001</v>
      </c>
      <c r="I11">
        <f>$I5*H$11+$J5*H$12+$K5*H$13+$L5*H$14+$N5</f>
        <v>1.4170532360839845</v>
      </c>
      <c r="J11">
        <f>$I5*I$11+$J5*I$12+$K5*I$13+$L5*I$14+$N5</f>
        <v>1.4174879161826133</v>
      </c>
      <c r="K11">
        <f t="shared" ref="K11" si="1">$I5*J$11+$J5*J$12+$K5*J$13+$L5*J$14+$N5</f>
        <v>1.4174807014374537</v>
      </c>
    </row>
    <row r="12" spans="3:14">
      <c r="F12">
        <v>0</v>
      </c>
      <c r="G12">
        <f>$I6*G$11+$J6*F$12+$K6*F$13+$L6*F$14+$N6</f>
        <v>-1.3399999999999999</v>
      </c>
      <c r="H12">
        <f t="shared" ref="H12" si="2">$I6*H$11+$J6*G$12+$K6*G$13+$L6*G$14+$N6</f>
        <v>-0.82683593749999984</v>
      </c>
      <c r="I12">
        <f>$I6*I$11+$J6*H$12+$K6*H$13+$L6*H$14+$N6</f>
        <v>-0.84328138005371089</v>
      </c>
      <c r="J12">
        <f>$I6*J$11+$J6*I$12+$K6*I$13+$L6*I$14+$N6</f>
        <v>-0.84278403181291761</v>
      </c>
      <c r="K12">
        <f t="shared" ref="K12" si="3">$I6*K$11+$J6*J$12+$K6*J$13+$L6*J$14+$N6</f>
        <v>-0.84280009330237193</v>
      </c>
    </row>
    <row r="13" spans="3:14">
      <c r="F13">
        <v>0</v>
      </c>
      <c r="G13">
        <f>$I7*G$11+$J7*G$12+$K7*F$13+$L7*F$14+$N7</f>
        <v>2.0425</v>
      </c>
      <c r="H13">
        <f>$I7*H$11+$J7*H$12+$K7*G$13+$L7*G$14+$N7</f>
        <v>2.0924650390625001</v>
      </c>
      <c r="I13">
        <f>$I7*I$11+$J7*I$12+$K7*H$13+$L7*H$14+$N7</f>
        <v>2.0915037552398683</v>
      </c>
      <c r="J13">
        <f>$I7*J$11+$J7*J$12+$K7*I$13+$L7*I$14+$N7</f>
        <v>2.0915548301514573</v>
      </c>
      <c r="K13">
        <f>$I7*K$11+$J7*K$12+$K7*J$13+$L7*J$14+$N7</f>
        <v>2.0915539824189007</v>
      </c>
    </row>
    <row r="14" spans="3:14">
      <c r="F14">
        <v>0</v>
      </c>
      <c r="G14">
        <f>$I8*G$11+$J8*G$12+$K8*G$13+$L8*F$14+$N8</f>
        <v>1.219125</v>
      </c>
      <c r="H14">
        <f>$I8*H$11+$J8*H$12+$K8*H$13+$L8*G$14+$N8</f>
        <v>1.1792385644531249</v>
      </c>
      <c r="I14">
        <f>$I8*I$11+$J8*I$12+$K8*I$13+$L8*H$14+$N8</f>
        <v>1.1804167330403137</v>
      </c>
      <c r="J14">
        <f>$I8*J$11+$J8*J$12+$K8*J$13+$L8*I$14+$N8</f>
        <v>1.1803776615284518</v>
      </c>
      <c r="K14">
        <f>$I8*K$11+$J8*K$12+$K8*K$13+$L8*J$14+$N8</f>
        <v>1.1803787979424851</v>
      </c>
    </row>
    <row r="15" spans="3:14">
      <c r="E15" t="s">
        <v>18</v>
      </c>
      <c r="G15">
        <f>($D$7/(1-$D$7))*MAX(ABS(G11-F11),ABS(G12-F12), ABS(G13-F13), ABS(G14-F14))</f>
        <v>1.5129629629629633</v>
      </c>
      <c r="H15">
        <f t="shared" ref="H15:K15" si="4">($D$7/(1-$D$7))*MAX(ABS(H11-G11),ABS(H12-G12), ABS(H13-G13), ABS(H14-G14))</f>
        <v>0.38012152777777786</v>
      </c>
      <c r="I15">
        <f t="shared" si="4"/>
        <v>1.2181809299045228E-2</v>
      </c>
      <c r="J15">
        <f t="shared" si="4"/>
        <v>3.6840610429132064E-4</v>
      </c>
      <c r="K15">
        <f t="shared" si="4"/>
        <v>1.1897399595794125E-5</v>
      </c>
    </row>
    <row r="17" spans="5:5">
      <c r="E17" t="s">
        <v>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6C53-450F-4B2C-8055-B8EE55F498D2}">
  <dimension ref="F1:O21"/>
  <sheetViews>
    <sheetView zoomScale="120" zoomScaleNormal="120" workbookViewId="0">
      <selection activeCell="L19" sqref="L19"/>
    </sheetView>
  </sheetViews>
  <sheetFormatPr defaultRowHeight="15"/>
  <cols>
    <col min="13" max="13" width="8.28515625" customWidth="1"/>
    <col min="15" max="15" width="12.42578125" customWidth="1"/>
  </cols>
  <sheetData>
    <row r="1" spans="6:15" ht="15.75" thickBot="1"/>
    <row r="2" spans="6:15">
      <c r="I2" s="14" t="s">
        <v>25</v>
      </c>
      <c r="J2" s="5"/>
      <c r="K2" s="5"/>
      <c r="L2" s="5"/>
      <c r="M2" s="5"/>
      <c r="N2" s="5"/>
      <c r="O2" s="15"/>
    </row>
    <row r="3" spans="6:15" ht="15.75" thickBot="1">
      <c r="I3" s="16" t="s">
        <v>26</v>
      </c>
      <c r="J3" s="8"/>
      <c r="K3" s="8"/>
      <c r="L3" s="8"/>
      <c r="M3" s="8"/>
      <c r="N3" s="8"/>
      <c r="O3" s="17"/>
    </row>
    <row r="7" spans="6:15">
      <c r="I7" s="21"/>
    </row>
    <row r="8" spans="6:15" ht="15.75" thickBot="1"/>
    <row r="9" spans="6:15">
      <c r="H9" s="4"/>
      <c r="I9" s="5" t="s">
        <v>51</v>
      </c>
      <c r="J9" s="5"/>
      <c r="K9" s="5"/>
      <c r="L9" s="5"/>
      <c r="M9" s="5"/>
      <c r="N9" s="15"/>
    </row>
    <row r="10" spans="6:15">
      <c r="H10" s="6"/>
      <c r="N10" s="20"/>
    </row>
    <row r="11" spans="6:15">
      <c r="H11" s="6" t="s">
        <v>52</v>
      </c>
      <c r="N11" s="20"/>
    </row>
    <row r="12" spans="6:15" ht="15.75" thickBot="1">
      <c r="H12" s="7" t="s">
        <v>53</v>
      </c>
      <c r="I12" s="8"/>
      <c r="J12" s="8"/>
      <c r="K12" s="8"/>
      <c r="L12" s="8"/>
      <c r="M12" s="8"/>
      <c r="N12" s="17"/>
    </row>
    <row r="13" spans="6:15">
      <c r="N13" t="s">
        <v>54</v>
      </c>
    </row>
    <row r="14" spans="6:15">
      <c r="G14" t="s">
        <v>12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</row>
    <row r="15" spans="6:15">
      <c r="F15" t="s">
        <v>55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</row>
    <row r="16" spans="6:15">
      <c r="F16" t="s">
        <v>56</v>
      </c>
      <c r="G16">
        <v>1</v>
      </c>
      <c r="H16">
        <v>0</v>
      </c>
      <c r="I16">
        <v>-0.5</v>
      </c>
      <c r="J16">
        <f>I17</f>
        <v>-0.75</v>
      </c>
      <c r="K16">
        <f>J18</f>
        <v>0.10745649776397292</v>
      </c>
      <c r="L16">
        <f>K17</f>
        <v>-0.44627175111801354</v>
      </c>
    </row>
    <row r="17" spans="6:13">
      <c r="F17" t="s">
        <v>11</v>
      </c>
      <c r="G17">
        <f>(G15+G16)/2</f>
        <v>0</v>
      </c>
      <c r="H17">
        <f>(H15+H16)/2</f>
        <v>-0.5</v>
      </c>
      <c r="I17">
        <f t="shared" ref="G17:L17" si="0">(I15+I16)/2</f>
        <v>-0.75</v>
      </c>
      <c r="J17">
        <f t="shared" si="0"/>
        <v>-0.875</v>
      </c>
      <c r="K17">
        <f t="shared" si="0"/>
        <v>-0.44627175111801354</v>
      </c>
      <c r="L17">
        <f t="shared" si="0"/>
        <v>-0.72313587555900671</v>
      </c>
      <c r="M17">
        <f>(L17+L15)/2</f>
        <v>-0.86156793777950336</v>
      </c>
    </row>
    <row r="18" spans="6:13">
      <c r="F18" t="s">
        <v>57</v>
      </c>
      <c r="G18">
        <f>SIN(G17)-G17</f>
        <v>0</v>
      </c>
      <c r="H18">
        <f>SIN(H17)-H17</f>
        <v>2.0574461395796995E-2</v>
      </c>
      <c r="I18">
        <f t="shared" ref="H18:L18" si="1">SIN(I17)-I17</f>
        <v>6.8361239976665877E-2</v>
      </c>
      <c r="J18">
        <f t="shared" si="1"/>
        <v>0.10745649776397292</v>
      </c>
      <c r="K18">
        <f t="shared" si="1"/>
        <v>1.4666323104355783E-2</v>
      </c>
      <c r="L18">
        <f>SIN(L17)-L17</f>
        <v>6.1396880338326576E-2</v>
      </c>
    </row>
    <row r="19" spans="6:13">
      <c r="F19" t="s">
        <v>58</v>
      </c>
      <c r="G19">
        <f>(G17-G15)/2</f>
        <v>0.5</v>
      </c>
      <c r="H19">
        <f t="shared" ref="H19:L19" si="2">(H17-H15)/2</f>
        <v>0.25</v>
      </c>
      <c r="I19">
        <f t="shared" si="2"/>
        <v>0.125</v>
      </c>
      <c r="J19">
        <f t="shared" si="2"/>
        <v>6.25E-2</v>
      </c>
      <c r="K19">
        <f t="shared" si="2"/>
        <v>0.27686412444099323</v>
      </c>
      <c r="L19">
        <f t="shared" si="2"/>
        <v>0.13843206222049664</v>
      </c>
    </row>
    <row r="21" spans="6:13">
      <c r="F21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955D-3C89-495F-B9FD-40526E342472}">
  <dimension ref="E1:O20"/>
  <sheetViews>
    <sheetView topLeftCell="C1" zoomScale="120" zoomScaleNormal="120" workbookViewId="0">
      <selection activeCell="L18" sqref="L18"/>
    </sheetView>
  </sheetViews>
  <sheetFormatPr defaultRowHeight="15"/>
  <cols>
    <col min="10" max="10" width="13.42578125" customWidth="1"/>
    <col min="15" max="15" width="11.7109375" customWidth="1"/>
    <col min="20" max="20" width="8" customWidth="1"/>
  </cols>
  <sheetData>
    <row r="1" spans="5:15" ht="15.75" thickBot="1"/>
    <row r="2" spans="5:15">
      <c r="I2" s="14" t="s">
        <v>25</v>
      </c>
      <c r="J2" s="5"/>
      <c r="K2" s="5"/>
      <c r="L2" s="5"/>
      <c r="M2" s="5"/>
      <c r="N2" s="5"/>
      <c r="O2" s="15"/>
    </row>
    <row r="3" spans="5:15" ht="15.75" thickBot="1">
      <c r="I3" s="16" t="s">
        <v>26</v>
      </c>
      <c r="J3" s="8"/>
      <c r="K3" s="8"/>
      <c r="L3" s="8"/>
      <c r="M3" s="8"/>
      <c r="N3" s="8"/>
      <c r="O3" s="17"/>
    </row>
    <row r="4" spans="5:15" ht="15.75" thickBot="1"/>
    <row r="5" spans="5:15">
      <c r="I5" s="4"/>
      <c r="J5" s="5" t="s">
        <v>98</v>
      </c>
      <c r="K5" s="5"/>
      <c r="L5" s="5"/>
      <c r="M5" s="5"/>
      <c r="N5" s="15"/>
    </row>
    <row r="6" spans="5:15">
      <c r="I6" s="6"/>
      <c r="J6" s="3"/>
      <c r="K6" s="3"/>
      <c r="L6" s="3"/>
      <c r="M6" s="3"/>
      <c r="N6" s="20"/>
    </row>
    <row r="7" spans="5:15">
      <c r="I7" s="6" t="s">
        <v>103</v>
      </c>
      <c r="J7" s="3"/>
      <c r="K7" s="3"/>
      <c r="L7" s="3"/>
      <c r="M7" s="3"/>
      <c r="N7" s="20"/>
    </row>
    <row r="8" spans="5:15" ht="15.75" thickBot="1">
      <c r="I8" s="7"/>
      <c r="J8" s="8"/>
      <c r="K8" s="8"/>
      <c r="L8" s="8"/>
      <c r="M8" s="8"/>
      <c r="N8" s="17"/>
    </row>
    <row r="9" spans="5:15">
      <c r="E9" s="18" t="s">
        <v>61</v>
      </c>
      <c r="F9" t="s">
        <v>99</v>
      </c>
    </row>
    <row r="10" spans="5:15" ht="15.75" thickBot="1">
      <c r="E10" s="18" t="s">
        <v>60</v>
      </c>
      <c r="F10" t="s">
        <v>100</v>
      </c>
    </row>
    <row r="11" spans="5:15">
      <c r="E11" s="18"/>
      <c r="F11" t="s">
        <v>101</v>
      </c>
      <c r="K11" s="28">
        <v>0.5</v>
      </c>
    </row>
    <row r="12" spans="5:15" ht="15.75" thickBot="1">
      <c r="E12" s="18"/>
      <c r="F12" t="s">
        <v>102</v>
      </c>
      <c r="K12" s="29">
        <v>1</v>
      </c>
    </row>
    <row r="13" spans="5:15">
      <c r="E13" s="18" t="s">
        <v>62</v>
      </c>
      <c r="G13" t="s">
        <v>12</v>
      </c>
      <c r="H13" t="s">
        <v>13</v>
      </c>
      <c r="I13" t="s">
        <v>14</v>
      </c>
      <c r="J13" t="s">
        <v>15</v>
      </c>
      <c r="K13" t="s">
        <v>16</v>
      </c>
      <c r="L13" t="s">
        <v>17</v>
      </c>
    </row>
    <row r="14" spans="5:15">
      <c r="F14" t="s">
        <v>55</v>
      </c>
      <c r="G14">
        <v>1</v>
      </c>
      <c r="H14">
        <f t="shared" ref="H14:L14" si="0">G16</f>
        <v>1.6072063586819179</v>
      </c>
      <c r="I14">
        <f t="shared" si="0"/>
        <v>1.6178712577464662</v>
      </c>
      <c r="J14">
        <f>I16</f>
        <v>1.6180315489506349</v>
      </c>
      <c r="K14">
        <f t="shared" si="0"/>
        <v>1.6180339521717155</v>
      </c>
      <c r="L14">
        <f t="shared" si="0"/>
        <v>1.6180339882015042</v>
      </c>
    </row>
    <row r="15" spans="5:15">
      <c r="F15" t="s">
        <v>56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</row>
    <row r="16" spans="5:15">
      <c r="F16" t="s">
        <v>11</v>
      </c>
      <c r="G16">
        <f>(G14*(SQRT(G15+1)-G15)-G15*(SQRT(G14+1)-G14))/((SQRT(G15+1)-G15)-(SQRT(G14+1)-G14))</f>
        <v>1.6072063586819179</v>
      </c>
      <c r="H16">
        <f t="shared" ref="H16:L16" si="1">(H14*(SQRT(H15+1)-H15)-H15*(SQRT(H14+1)-H14))/((SQRT(H15+1)-H15)-(SQRT(H14+1)-H14))</f>
        <v>1.6178712577464662</v>
      </c>
      <c r="I16">
        <f t="shared" si="1"/>
        <v>1.6180315489506349</v>
      </c>
      <c r="J16">
        <f t="shared" si="1"/>
        <v>1.6180339521717155</v>
      </c>
      <c r="K16">
        <f t="shared" si="1"/>
        <v>1.6180339882015042</v>
      </c>
      <c r="L16">
        <f t="shared" si="1"/>
        <v>1.6180339887416735</v>
      </c>
    </row>
    <row r="17" spans="6:12">
      <c r="F17" t="s">
        <v>57</v>
      </c>
      <c r="G17">
        <f>SQRT(G16+1)-G16</f>
        <v>7.4782416911449712E-3</v>
      </c>
      <c r="H17">
        <f>SQRT(H16+1)-H16</f>
        <v>1.1244357640749492E-4</v>
      </c>
      <c r="I17">
        <f t="shared" ref="I17:L17" si="2">SQRT(I16+1)-I16</f>
        <v>1.6858596501023726E-6</v>
      </c>
      <c r="J17">
        <f t="shared" si="2"/>
        <v>2.5274900172789216E-8</v>
      </c>
      <c r="K17">
        <f t="shared" si="2"/>
        <v>3.789286662225777E-10</v>
      </c>
      <c r="L17">
        <f t="shared" si="2"/>
        <v>5.680789172402001E-12</v>
      </c>
    </row>
    <row r="18" spans="6:12">
      <c r="F18" s="39" t="s">
        <v>18</v>
      </c>
      <c r="G18" s="39"/>
      <c r="H18" s="39">
        <f>(($K12-$K11)/$K11)*ABS(H16-G16)</f>
        <v>1.0664899064548372E-2</v>
      </c>
      <c r="I18" s="39">
        <f t="shared" ref="I18:L18" si="3">(($K12-$K11)/$K11)*ABS(I16-H16)</f>
        <v>1.6029120416871656E-4</v>
      </c>
      <c r="J18" s="39">
        <f t="shared" si="3"/>
        <v>2.4032210805824405E-6</v>
      </c>
      <c r="K18" s="39">
        <f t="shared" si="3"/>
        <v>3.6029788708091814E-8</v>
      </c>
      <c r="L18" s="39">
        <f t="shared" si="3"/>
        <v>5.4016924266875321E-10</v>
      </c>
    </row>
    <row r="20" spans="6:12">
      <c r="F20" t="s">
        <v>104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8602-35E7-456E-9245-EA1F7AF21CB7}">
  <dimension ref="G1:N16"/>
  <sheetViews>
    <sheetView zoomScale="120" zoomScaleNormal="120" workbookViewId="0">
      <selection activeCell="F11" sqref="F11"/>
    </sheetView>
  </sheetViews>
  <sheetFormatPr defaultRowHeight="15"/>
  <sheetData>
    <row r="1" spans="7:14" ht="15.75" thickBot="1"/>
    <row r="2" spans="7:14" ht="15.75" thickBot="1">
      <c r="I2" s="31"/>
      <c r="J2" s="25" t="s">
        <v>63</v>
      </c>
      <c r="K2" s="25"/>
      <c r="L2" s="27"/>
    </row>
    <row r="4" spans="7:14">
      <c r="H4" t="s">
        <v>64</v>
      </c>
      <c r="J4" t="s">
        <v>65</v>
      </c>
    </row>
    <row r="5" spans="7:14">
      <c r="J5" t="s">
        <v>66</v>
      </c>
    </row>
    <row r="6" spans="7:14">
      <c r="J6" t="s">
        <v>67</v>
      </c>
    </row>
    <row r="8" spans="7:14">
      <c r="G8" t="s">
        <v>68</v>
      </c>
      <c r="H8" t="s">
        <v>69</v>
      </c>
    </row>
    <row r="9" spans="7:14">
      <c r="H9" t="s">
        <v>70</v>
      </c>
    </row>
    <row r="10" spans="7:14">
      <c r="H10" t="s">
        <v>71</v>
      </c>
    </row>
    <row r="11" spans="7:14" ht="15.75" thickBot="1">
      <c r="G11" t="s">
        <v>72</v>
      </c>
      <c r="H11" t="s">
        <v>73</v>
      </c>
    </row>
    <row r="12" spans="7:14" ht="15.75" thickBot="1">
      <c r="H12" t="s">
        <v>74</v>
      </c>
      <c r="N12" s="30">
        <v>0.3</v>
      </c>
    </row>
    <row r="14" spans="7:14">
      <c r="H14" t="s">
        <v>12</v>
      </c>
      <c r="I14" t="s">
        <v>13</v>
      </c>
      <c r="J14" t="s">
        <v>14</v>
      </c>
      <c r="K14" t="s">
        <v>15</v>
      </c>
      <c r="L14" t="s">
        <v>16</v>
      </c>
      <c r="M14" t="s">
        <v>17</v>
      </c>
      <c r="N14" t="s">
        <v>75</v>
      </c>
    </row>
    <row r="15" spans="7:14">
      <c r="H15">
        <v>0</v>
      </c>
      <c r="I15">
        <f>(1-H15)^(1/4)</f>
        <v>1</v>
      </c>
      <c r="J15">
        <f>(I15+1)^(1/3)</f>
        <v>1.2599210498948732</v>
      </c>
      <c r="K15">
        <f t="shared" ref="K15:M15" si="0">(J15+1)^(1/3)</f>
        <v>1.3122938366832888</v>
      </c>
      <c r="L15">
        <f t="shared" si="0"/>
        <v>1.3223538191388249</v>
      </c>
      <c r="M15">
        <f t="shared" si="0"/>
        <v>1.3242687445515779</v>
      </c>
      <c r="N15">
        <f>(M15+1)^(1/3)</f>
        <v>1.3246326252509202</v>
      </c>
    </row>
    <row r="16" spans="7:14">
      <c r="G16" t="s">
        <v>18</v>
      </c>
      <c r="I16">
        <f>($N12/(1-$N12))*(I15-H15)</f>
        <v>0.4285714285714286</v>
      </c>
      <c r="J16">
        <f t="shared" ref="J16:N16" si="1">($N12/(1-$N12))*(J15-I15)</f>
        <v>0.11139473566923137</v>
      </c>
      <c r="K16">
        <f t="shared" si="1"/>
        <v>2.2445480052178123E-2</v>
      </c>
      <c r="L16">
        <f t="shared" si="1"/>
        <v>4.3114210523726047E-3</v>
      </c>
      <c r="M16">
        <f t="shared" si="1"/>
        <v>8.2068231975131396E-4</v>
      </c>
      <c r="N16">
        <f t="shared" si="1"/>
        <v>1.5594887114667166E-4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8EBD-6136-4F2C-A1EA-F7A0F59A6AF3}">
  <dimension ref="E1:P17"/>
  <sheetViews>
    <sheetView zoomScale="120" zoomScaleNormal="120" workbookViewId="0">
      <selection activeCell="G16" sqref="G16"/>
    </sheetView>
  </sheetViews>
  <sheetFormatPr defaultRowHeight="15"/>
  <cols>
    <col min="9" max="9" width="9.140625" customWidth="1"/>
    <col min="10" max="10" width="8.28515625" customWidth="1"/>
    <col min="11" max="11" width="10.7109375" customWidth="1"/>
    <col min="12" max="12" width="9.140625" customWidth="1"/>
  </cols>
  <sheetData>
    <row r="1" spans="5:16" ht="15.75" thickBot="1"/>
    <row r="2" spans="5:16">
      <c r="G2" s="4"/>
      <c r="H2" s="5" t="s">
        <v>81</v>
      </c>
      <c r="I2" s="5"/>
      <c r="J2" s="5"/>
      <c r="K2" s="5"/>
      <c r="L2" s="5"/>
      <c r="M2" s="15"/>
    </row>
    <row r="3" spans="5:16">
      <c r="G3" s="6"/>
      <c r="H3" s="3"/>
      <c r="I3" s="3"/>
      <c r="J3" s="3"/>
      <c r="K3" s="3"/>
      <c r="L3" s="3"/>
      <c r="M3" s="20"/>
    </row>
    <row r="4" spans="5:16">
      <c r="G4" s="6" t="s">
        <v>82</v>
      </c>
      <c r="H4" s="3"/>
      <c r="I4" s="3"/>
      <c r="J4" s="3"/>
      <c r="K4" s="3"/>
      <c r="L4" s="3"/>
      <c r="M4" s="20"/>
    </row>
    <row r="5" spans="5:16" ht="15.75" thickBot="1">
      <c r="G5" s="7"/>
      <c r="H5" s="8"/>
      <c r="I5" s="8"/>
      <c r="J5" s="8"/>
      <c r="K5" s="8"/>
      <c r="L5" s="8"/>
      <c r="M5" s="17"/>
    </row>
    <row r="8" spans="5:16" ht="15.75" thickBot="1">
      <c r="E8" t="s">
        <v>77</v>
      </c>
      <c r="F8" t="s">
        <v>83</v>
      </c>
    </row>
    <row r="9" spans="5:16">
      <c r="E9" t="s">
        <v>60</v>
      </c>
      <c r="F9" t="s">
        <v>84</v>
      </c>
      <c r="K9" s="32"/>
      <c r="M9" t="s">
        <v>86</v>
      </c>
      <c r="P9" s="28">
        <v>1</v>
      </c>
    </row>
    <row r="10" spans="5:16" ht="15.75" thickBot="1">
      <c r="F10" t="s">
        <v>85</v>
      </c>
      <c r="K10" s="32"/>
      <c r="M10" t="s">
        <v>87</v>
      </c>
      <c r="P10" s="29">
        <v>1</v>
      </c>
    </row>
    <row r="11" spans="5:16">
      <c r="F11" s="32" t="s">
        <v>76</v>
      </c>
    </row>
    <row r="12" spans="5:16">
      <c r="F12" t="s">
        <v>96</v>
      </c>
    </row>
    <row r="14" spans="5:16">
      <c r="F14" t="s">
        <v>12</v>
      </c>
      <c r="G14" t="s">
        <v>13</v>
      </c>
      <c r="H14" t="s">
        <v>14</v>
      </c>
      <c r="I14" t="s">
        <v>15</v>
      </c>
      <c r="J14" t="s">
        <v>16</v>
      </c>
    </row>
    <row r="15" spans="5:16">
      <c r="F15">
        <v>1</v>
      </c>
      <c r="G15">
        <f>F15-((SIN(F15)-F15)/(COS(F15)-1))</f>
        <v>0.65514507204243044</v>
      </c>
      <c r="H15">
        <f>G15-((SIN(G15)-G15)/(COS(G15)-1))</f>
        <v>0.43359036836349274</v>
      </c>
      <c r="I15">
        <f t="shared" ref="H15:J15" si="0">H15-((SIN(H15)-H15)/(COS(H15)-1))</f>
        <v>0.28814840089250121</v>
      </c>
      <c r="J15">
        <f>I15-((SIN(I15)-I15)/(COS(I15)-1))</f>
        <v>0.19183231215063862</v>
      </c>
    </row>
    <row r="16" spans="5:16">
      <c r="E16" t="s">
        <v>18</v>
      </c>
      <c r="G16">
        <f>($P10/(2*$P9))*((G15-F15)^2)</f>
        <v>5.9462460668310242E-2</v>
      </c>
      <c r="H16">
        <f>($P10/(2*$P9))*((H15-G15)^2)</f>
        <v>2.4543243361130947E-2</v>
      </c>
      <c r="I16" s="40">
        <f>($P10/(2*$P9))*((I15-H15)^2)</f>
        <v>1.057668295091648E-2</v>
      </c>
      <c r="J16">
        <f>($P10/(2*$P9))*((J15-I15)^2)</f>
        <v>4.638394475265175E-3</v>
      </c>
    </row>
    <row r="17" spans="5:5">
      <c r="E17" t="s">
        <v>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F494-875D-45D8-8F8F-A6850B3D3DD4}">
  <dimension ref="B1:K47"/>
  <sheetViews>
    <sheetView topLeftCell="A25" zoomScale="120" zoomScaleNormal="120" workbookViewId="0">
      <selection activeCell="E42" sqref="E42"/>
    </sheetView>
  </sheetViews>
  <sheetFormatPr defaultRowHeight="15"/>
  <cols>
    <col min="7" max="7" width="9.140625" customWidth="1"/>
    <col min="8" max="8" width="8.28515625" customWidth="1"/>
    <col min="9" max="9" width="7.5703125" customWidth="1"/>
  </cols>
  <sheetData>
    <row r="1" spans="3:11" ht="18.75">
      <c r="C1" s="19" t="s">
        <v>45</v>
      </c>
    </row>
    <row r="2" spans="3:11">
      <c r="C2" t="s">
        <v>27</v>
      </c>
      <c r="D2" t="s">
        <v>11</v>
      </c>
      <c r="E2" t="s">
        <v>28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</row>
    <row r="3" spans="3:11">
      <c r="C3">
        <v>0</v>
      </c>
      <c r="D3">
        <v>1</v>
      </c>
      <c r="E3">
        <v>0</v>
      </c>
      <c r="F3">
        <f>E4-E3</f>
        <v>14</v>
      </c>
      <c r="G3">
        <f>F4-F3</f>
        <v>50</v>
      </c>
      <c r="H3">
        <f>G4-G3</f>
        <v>60</v>
      </c>
      <c r="I3">
        <f>H4-H3</f>
        <v>24</v>
      </c>
      <c r="J3">
        <f>I4-I3</f>
        <v>0</v>
      </c>
    </row>
    <row r="4" spans="3:11">
      <c r="C4">
        <v>1</v>
      </c>
      <c r="D4">
        <v>2</v>
      </c>
      <c r="E4">
        <v>14</v>
      </c>
      <c r="F4">
        <f t="shared" ref="F4:G7" si="0">E5-E4</f>
        <v>64</v>
      </c>
      <c r="G4">
        <f t="shared" si="0"/>
        <v>110</v>
      </c>
      <c r="H4">
        <f t="shared" ref="H4:I4" si="1">G5-G4</f>
        <v>84</v>
      </c>
      <c r="I4">
        <f t="shared" si="1"/>
        <v>24</v>
      </c>
    </row>
    <row r="5" spans="3:11">
      <c r="C5">
        <v>2</v>
      </c>
      <c r="D5">
        <v>3</v>
      </c>
      <c r="E5">
        <v>78</v>
      </c>
      <c r="F5">
        <f t="shared" si="0"/>
        <v>174</v>
      </c>
      <c r="G5">
        <f t="shared" si="0"/>
        <v>194</v>
      </c>
      <c r="H5">
        <f t="shared" ref="H5" si="2">G6-G5</f>
        <v>108</v>
      </c>
    </row>
    <row r="6" spans="3:11">
      <c r="C6">
        <v>3</v>
      </c>
      <c r="D6">
        <v>4</v>
      </c>
      <c r="E6">
        <v>252</v>
      </c>
      <c r="F6">
        <f t="shared" si="0"/>
        <v>368</v>
      </c>
      <c r="G6">
        <f t="shared" si="0"/>
        <v>302</v>
      </c>
    </row>
    <row r="7" spans="3:11">
      <c r="C7">
        <v>4</v>
      </c>
      <c r="D7">
        <v>5</v>
      </c>
      <c r="E7">
        <v>620</v>
      </c>
      <c r="F7">
        <f t="shared" si="0"/>
        <v>670</v>
      </c>
    </row>
    <row r="8" spans="3:11">
      <c r="C8">
        <v>5</v>
      </c>
      <c r="D8">
        <v>6</v>
      </c>
      <c r="E8">
        <v>1290</v>
      </c>
    </row>
    <row r="10" spans="3:11" ht="18.75">
      <c r="C10" s="19" t="s">
        <v>44</v>
      </c>
    </row>
    <row r="11" spans="3:11">
      <c r="C11" t="s">
        <v>27</v>
      </c>
      <c r="D11" t="s">
        <v>11</v>
      </c>
      <c r="E11" t="s">
        <v>28</v>
      </c>
      <c r="F11" t="s">
        <v>38</v>
      </c>
      <c r="G11" t="s">
        <v>39</v>
      </c>
      <c r="H11" t="s">
        <v>40</v>
      </c>
      <c r="I11" t="s">
        <v>41</v>
      </c>
      <c r="J11" t="s">
        <v>42</v>
      </c>
      <c r="K11" t="s">
        <v>43</v>
      </c>
    </row>
    <row r="12" spans="3:11">
      <c r="C12">
        <v>0</v>
      </c>
      <c r="D12">
        <v>1</v>
      </c>
      <c r="E12">
        <v>0</v>
      </c>
    </row>
    <row r="13" spans="3:11">
      <c r="C13">
        <v>1</v>
      </c>
      <c r="D13">
        <v>2</v>
      </c>
      <c r="E13">
        <v>14</v>
      </c>
      <c r="F13">
        <f>E13-E12</f>
        <v>14</v>
      </c>
    </row>
    <row r="14" spans="3:11">
      <c r="C14">
        <v>2</v>
      </c>
      <c r="D14">
        <v>3</v>
      </c>
      <c r="E14">
        <v>78</v>
      </c>
      <c r="F14">
        <f t="shared" ref="F14:G17" si="3">E14-E13</f>
        <v>64</v>
      </c>
      <c r="G14">
        <f t="shared" si="3"/>
        <v>50</v>
      </c>
    </row>
    <row r="15" spans="3:11">
      <c r="C15">
        <v>3</v>
      </c>
      <c r="D15">
        <v>4</v>
      </c>
      <c r="E15">
        <v>252</v>
      </c>
      <c r="F15">
        <f t="shared" si="3"/>
        <v>174</v>
      </c>
      <c r="G15">
        <f t="shared" si="3"/>
        <v>110</v>
      </c>
      <c r="H15">
        <f t="shared" ref="H15" si="4">G15-G14</f>
        <v>60</v>
      </c>
    </row>
    <row r="16" spans="3:11">
      <c r="C16">
        <v>4</v>
      </c>
      <c r="D16">
        <v>5</v>
      </c>
      <c r="E16">
        <v>620</v>
      </c>
      <c r="F16">
        <f t="shared" si="3"/>
        <v>368</v>
      </c>
      <c r="G16">
        <f t="shared" si="3"/>
        <v>194</v>
      </c>
      <c r="H16">
        <f t="shared" ref="H16:I16" si="5">G16-G15</f>
        <v>84</v>
      </c>
      <c r="I16">
        <f t="shared" si="5"/>
        <v>24</v>
      </c>
    </row>
    <row r="17" spans="2:10">
      <c r="C17">
        <v>5</v>
      </c>
      <c r="D17">
        <v>6</v>
      </c>
      <c r="E17">
        <v>1290</v>
      </c>
      <c r="F17">
        <f t="shared" si="3"/>
        <v>670</v>
      </c>
      <c r="G17">
        <f t="shared" si="3"/>
        <v>302</v>
      </c>
      <c r="H17">
        <f t="shared" ref="H17:J17" si="6">G17-G16</f>
        <v>108</v>
      </c>
      <c r="I17">
        <f t="shared" si="6"/>
        <v>24</v>
      </c>
      <c r="J17">
        <f t="shared" si="6"/>
        <v>0</v>
      </c>
    </row>
    <row r="20" spans="2:10">
      <c r="C20" t="s">
        <v>11</v>
      </c>
      <c r="D20" t="s">
        <v>28</v>
      </c>
      <c r="E20" t="s">
        <v>29</v>
      </c>
      <c r="F20" t="s">
        <v>30</v>
      </c>
      <c r="G20" t="s">
        <v>31</v>
      </c>
    </row>
    <row r="21" spans="2:10">
      <c r="C21">
        <v>2</v>
      </c>
      <c r="D21">
        <v>23</v>
      </c>
      <c r="E21">
        <v>70</v>
      </c>
      <c r="F21">
        <v>96</v>
      </c>
      <c r="G21">
        <v>48</v>
      </c>
    </row>
    <row r="22" spans="2:10">
      <c r="C22">
        <v>4</v>
      </c>
      <c r="D22">
        <v>93</v>
      </c>
      <c r="E22">
        <v>166</v>
      </c>
      <c r="F22">
        <v>144</v>
      </c>
      <c r="G22">
        <v>48</v>
      </c>
    </row>
    <row r="23" spans="2:10">
      <c r="C23">
        <v>6</v>
      </c>
      <c r="D23">
        <v>259</v>
      </c>
      <c r="E23">
        <v>310</v>
      </c>
      <c r="F23">
        <v>192</v>
      </c>
      <c r="G23">
        <v>48</v>
      </c>
    </row>
    <row r="24" spans="2:10">
      <c r="C24">
        <v>8</v>
      </c>
      <c r="D24">
        <v>569</v>
      </c>
      <c r="E24">
        <v>502</v>
      </c>
      <c r="F24">
        <v>240</v>
      </c>
      <c r="G24">
        <v>48</v>
      </c>
    </row>
    <row r="25" spans="2:10">
      <c r="C25">
        <v>10</v>
      </c>
      <c r="D25">
        <v>1071</v>
      </c>
      <c r="E25">
        <v>742</v>
      </c>
      <c r="F25">
        <v>288</v>
      </c>
    </row>
    <row r="26" spans="2:10">
      <c r="C26">
        <v>12</v>
      </c>
      <c r="D26">
        <v>1813</v>
      </c>
      <c r="E26">
        <v>1030</v>
      </c>
    </row>
    <row r="27" spans="2:10">
      <c r="C27">
        <v>14</v>
      </c>
      <c r="D27">
        <v>2843</v>
      </c>
    </row>
    <row r="29" spans="2:10">
      <c r="B29" s="18">
        <v>1</v>
      </c>
      <c r="C29" t="s">
        <v>36</v>
      </c>
    </row>
    <row r="31" spans="2:10">
      <c r="B31" s="18">
        <v>2</v>
      </c>
      <c r="C31" s="18"/>
      <c r="D31" t="s">
        <v>32</v>
      </c>
    </row>
    <row r="32" spans="2:10">
      <c r="D32" t="s">
        <v>33</v>
      </c>
    </row>
    <row r="33" spans="2:11">
      <c r="D33" t="s">
        <v>34</v>
      </c>
    </row>
    <row r="34" spans="2:11">
      <c r="D34" t="s">
        <v>35</v>
      </c>
    </row>
    <row r="35" spans="2:11">
      <c r="B35" s="18">
        <v>3</v>
      </c>
      <c r="C35" t="s">
        <v>37</v>
      </c>
    </row>
    <row r="36" spans="2:11" ht="15.75" thickBot="1"/>
    <row r="37" spans="2:11">
      <c r="B37" s="4"/>
      <c r="C37" s="5"/>
      <c r="D37" s="5"/>
      <c r="E37" s="5"/>
      <c r="F37" s="5"/>
      <c r="G37" s="5"/>
      <c r="H37" s="5" t="s">
        <v>49</v>
      </c>
      <c r="I37" s="5"/>
      <c r="J37" s="5"/>
      <c r="K37" s="15"/>
    </row>
    <row r="38" spans="2:11">
      <c r="B38" s="6"/>
      <c r="C38" s="3"/>
      <c r="D38" s="3"/>
      <c r="E38" s="3"/>
      <c r="F38" s="3"/>
      <c r="G38" s="3"/>
      <c r="H38" s="3" t="s">
        <v>78</v>
      </c>
      <c r="I38" s="3"/>
      <c r="J38" s="3"/>
      <c r="K38" s="20"/>
    </row>
    <row r="39" spans="2:11">
      <c r="B39" s="6"/>
      <c r="C39" s="3"/>
      <c r="D39" s="3"/>
      <c r="E39" s="3"/>
      <c r="F39" s="3"/>
      <c r="G39" s="3"/>
      <c r="H39" s="3" t="s">
        <v>50</v>
      </c>
      <c r="I39" s="3"/>
      <c r="J39" s="3"/>
      <c r="K39" s="20"/>
    </row>
    <row r="40" spans="2:11">
      <c r="B40" s="6"/>
      <c r="C40" s="3" t="s">
        <v>11</v>
      </c>
      <c r="D40" s="3" t="s">
        <v>28</v>
      </c>
      <c r="E40" s="3" t="s">
        <v>46</v>
      </c>
      <c r="F40" s="3" t="s">
        <v>47</v>
      </c>
      <c r="G40" s="3" t="s">
        <v>48</v>
      </c>
      <c r="H40" s="38" t="s">
        <v>79</v>
      </c>
      <c r="I40" s="38" t="s">
        <v>80</v>
      </c>
      <c r="J40" s="3"/>
      <c r="K40" s="20"/>
    </row>
    <row r="41" spans="2:11">
      <c r="B41" s="6"/>
      <c r="C41" s="3">
        <v>0.78</v>
      </c>
      <c r="D41" s="3">
        <v>2.5</v>
      </c>
      <c r="E41" s="3">
        <f>(D42-D41)/(C42-C41)</f>
        <v>-1.6666666666666667</v>
      </c>
      <c r="F41" s="3">
        <f>(E42-E41)/(C43-C41)</f>
        <v>1.0026298487836951</v>
      </c>
      <c r="G41" s="3">
        <f>(F42-F41)/(C44-C41)</f>
        <v>0.70944104474676417</v>
      </c>
      <c r="H41" s="3"/>
      <c r="I41" s="3"/>
      <c r="J41" s="3"/>
      <c r="K41" s="20"/>
    </row>
    <row r="42" spans="2:11">
      <c r="B42" s="6"/>
      <c r="C42" s="3">
        <v>1.56</v>
      </c>
      <c r="D42" s="3">
        <v>1.2</v>
      </c>
      <c r="E42" s="3">
        <f>(D43-D42)/(C43-C42)</f>
        <v>-0.10256410256410239</v>
      </c>
      <c r="F42" s="3">
        <f>(E43-E42)/(C44-C42)</f>
        <v>2.6627218934911232</v>
      </c>
      <c r="G42" s="3"/>
      <c r="H42" s="3"/>
      <c r="I42" s="3"/>
      <c r="J42" s="3"/>
      <c r="K42" s="20"/>
    </row>
    <row r="43" spans="2:11">
      <c r="B43" s="6"/>
      <c r="C43" s="3">
        <v>2.34</v>
      </c>
      <c r="D43" s="3">
        <v>1.1200000000000001</v>
      </c>
      <c r="E43" s="3">
        <f t="shared" ref="E43:E44" si="7">(D44-D43)/(C44-C43)</f>
        <v>4.0512820512820502</v>
      </c>
      <c r="F43" s="3"/>
      <c r="G43" s="3"/>
      <c r="H43" s="3"/>
      <c r="I43" s="3"/>
      <c r="J43" s="3"/>
      <c r="K43" s="20"/>
    </row>
    <row r="44" spans="2:11">
      <c r="B44" s="6"/>
      <c r="C44" s="3">
        <v>3.12</v>
      </c>
      <c r="D44" s="3">
        <v>4.28</v>
      </c>
      <c r="E44" s="3"/>
      <c r="F44" s="3"/>
      <c r="G44" s="3"/>
      <c r="H44" s="3"/>
      <c r="I44" s="3"/>
      <c r="J44" s="3"/>
      <c r="K44" s="20"/>
    </row>
    <row r="45" spans="2:11">
      <c r="B45" s="6"/>
      <c r="C45" s="3"/>
      <c r="D45" s="3"/>
      <c r="E45" s="3"/>
      <c r="F45" s="3"/>
      <c r="G45" s="3"/>
      <c r="H45" s="3"/>
      <c r="I45" s="3"/>
      <c r="J45" s="3"/>
      <c r="K45" s="20"/>
    </row>
    <row r="46" spans="2:11">
      <c r="B46" s="6"/>
      <c r="C46" s="3"/>
      <c r="D46" s="3"/>
      <c r="E46" s="3"/>
      <c r="F46" s="3"/>
      <c r="G46" s="3"/>
      <c r="H46" s="3"/>
      <c r="I46" s="3"/>
      <c r="J46" s="3"/>
      <c r="K46" s="20"/>
    </row>
    <row r="47" spans="2:11" ht="15.75" thickBot="1">
      <c r="B47" s="7"/>
      <c r="C47" s="8"/>
      <c r="D47" s="8"/>
      <c r="E47" s="8"/>
      <c r="F47" s="8"/>
      <c r="G47" s="8"/>
      <c r="H47" s="8"/>
      <c r="I47" s="8"/>
      <c r="J47" s="8"/>
      <c r="K47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1F8F-D57E-4275-8F15-8F6EFA743A6C}">
  <dimension ref="B6:J25"/>
  <sheetViews>
    <sheetView workbookViewId="0">
      <selection activeCell="I12" sqref="I12"/>
    </sheetView>
  </sheetViews>
  <sheetFormatPr defaultRowHeight="15"/>
  <cols>
    <col min="4" max="4" width="7.7109375" customWidth="1"/>
    <col min="8" max="8" width="10.85546875" customWidth="1"/>
  </cols>
  <sheetData>
    <row r="6" spans="2:9">
      <c r="D6" t="s">
        <v>105</v>
      </c>
    </row>
    <row r="8" spans="2:9">
      <c r="B8" t="s">
        <v>2</v>
      </c>
      <c r="C8" t="s">
        <v>106</v>
      </c>
      <c r="E8" s="39">
        <v>0.2</v>
      </c>
    </row>
    <row r="10" spans="2:9">
      <c r="C10" t="s">
        <v>11</v>
      </c>
      <c r="D10" t="s">
        <v>57</v>
      </c>
    </row>
    <row r="11" spans="2:9">
      <c r="B11" t="s">
        <v>4</v>
      </c>
      <c r="C11">
        <v>1</v>
      </c>
      <c r="D11">
        <f>C11*SIN(C11)</f>
        <v>0.8414709848078965</v>
      </c>
      <c r="F11" t="s">
        <v>6</v>
      </c>
    </row>
    <row r="12" spans="2:9">
      <c r="C12">
        <v>1.2</v>
      </c>
      <c r="D12">
        <f t="shared" ref="D12:D16" si="0">C12*SIN(C12)</f>
        <v>1.1184469031606714</v>
      </c>
      <c r="F12" t="s">
        <v>113</v>
      </c>
      <c r="I12">
        <f>E8*(0.5*(D11+D16)+SUM(D12:D15))</f>
        <v>1.4360705889642611</v>
      </c>
    </row>
    <row r="13" spans="2:9">
      <c r="C13">
        <v>1.4</v>
      </c>
      <c r="D13">
        <f t="shared" si="0"/>
        <v>1.3796296219838442</v>
      </c>
    </row>
    <row r="14" spans="2:9">
      <c r="C14">
        <v>1.6</v>
      </c>
      <c r="D14">
        <f t="shared" si="0"/>
        <v>1.5993177648664083</v>
      </c>
      <c r="F14" t="s">
        <v>8</v>
      </c>
    </row>
    <row r="15" spans="2:9">
      <c r="C15">
        <v>1.8</v>
      </c>
      <c r="D15">
        <f t="shared" si="0"/>
        <v>1.7529257355807513</v>
      </c>
      <c r="F15" t="s">
        <v>107</v>
      </c>
    </row>
    <row r="16" spans="2:9" ht="15.75" thickBot="1">
      <c r="C16">
        <v>2</v>
      </c>
      <c r="D16">
        <f t="shared" si="0"/>
        <v>1.8185948536513634</v>
      </c>
      <c r="F16" t="s">
        <v>108</v>
      </c>
    </row>
    <row r="17" spans="3:10">
      <c r="C17" s="4">
        <v>0.6</v>
      </c>
      <c r="D17" s="15">
        <f t="shared" ref="D17:D21" si="1">1/(1+C17)</f>
        <v>0.625</v>
      </c>
      <c r="F17" t="s">
        <v>109</v>
      </c>
    </row>
    <row r="18" spans="3:10">
      <c r="C18" s="6">
        <v>0.7</v>
      </c>
      <c r="D18" s="20">
        <f t="shared" si="1"/>
        <v>0.58823529411764708</v>
      </c>
      <c r="F18" t="s">
        <v>110</v>
      </c>
    </row>
    <row r="19" spans="3:10">
      <c r="C19" s="6">
        <v>0.8</v>
      </c>
      <c r="D19" s="20">
        <f t="shared" si="1"/>
        <v>0.55555555555555558</v>
      </c>
    </row>
    <row r="20" spans="3:10">
      <c r="C20" s="6">
        <v>0.9</v>
      </c>
      <c r="D20" s="20">
        <f t="shared" si="1"/>
        <v>0.52631578947368418</v>
      </c>
    </row>
    <row r="21" spans="3:10" ht="15.75" thickBot="1">
      <c r="C21" s="7">
        <v>1</v>
      </c>
      <c r="D21" s="17">
        <f t="shared" si="1"/>
        <v>0.5</v>
      </c>
    </row>
    <row r="23" spans="3:10">
      <c r="F23" t="s">
        <v>6</v>
      </c>
    </row>
    <row r="24" spans="3:10">
      <c r="F24" t="s">
        <v>111</v>
      </c>
    </row>
    <row r="25" spans="3:10">
      <c r="F25" t="s">
        <v>112</v>
      </c>
      <c r="J25">
        <f>(0.1/3)*(D11+D21+4*SUM(D12,D14,D16,D18,D20)+2*SUM(D13,D15,D17,D19))</f>
        <v>1.0857111744042431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B4D0-4668-4819-88D4-B8C7BCE1F6E9}">
  <dimension ref="D2:U22"/>
  <sheetViews>
    <sheetView topLeftCell="B1" workbookViewId="0">
      <selection activeCell="E11" sqref="E11"/>
    </sheetView>
  </sheetViews>
  <sheetFormatPr defaultRowHeight="15"/>
  <cols>
    <col min="13" max="13" width="8.7109375" customWidth="1"/>
    <col min="16" max="16" width="9.42578125" customWidth="1"/>
    <col min="17" max="17" width="10.5703125" customWidth="1"/>
    <col min="18" max="18" width="17.140625" customWidth="1"/>
    <col min="19" max="19" width="19.85546875" customWidth="1"/>
    <col min="20" max="20" width="14.85546875" customWidth="1"/>
    <col min="21" max="21" width="11.85546875" customWidth="1"/>
    <col min="22" max="22" width="13" customWidth="1"/>
  </cols>
  <sheetData>
    <row r="2" spans="4:21" ht="15.75" thickBot="1"/>
    <row r="3" spans="4:21" ht="15.75" thickBot="1">
      <c r="E3" t="s">
        <v>132</v>
      </c>
      <c r="J3" s="31" t="s">
        <v>117</v>
      </c>
      <c r="K3" s="27">
        <v>0.12</v>
      </c>
    </row>
    <row r="4" spans="4:21" ht="18.75">
      <c r="D4" s="48" t="s">
        <v>118</v>
      </c>
      <c r="E4" s="48"/>
      <c r="F4" s="48"/>
      <c r="G4" s="48"/>
      <c r="I4" s="48" t="s">
        <v>119</v>
      </c>
      <c r="J4" s="48"/>
      <c r="K4" s="48"/>
      <c r="L4" s="48"/>
      <c r="M4" s="48"/>
      <c r="O4" s="48" t="s">
        <v>126</v>
      </c>
      <c r="P4" s="48"/>
      <c r="Q4" s="48"/>
      <c r="R4" s="48"/>
      <c r="S4" s="48"/>
      <c r="T4" s="48"/>
    </row>
    <row r="5" spans="4:21">
      <c r="D5" t="s">
        <v>11</v>
      </c>
      <c r="E5" t="s">
        <v>28</v>
      </c>
      <c r="F5" t="s">
        <v>114</v>
      </c>
      <c r="I5" t="s">
        <v>11</v>
      </c>
      <c r="J5" t="s">
        <v>28</v>
      </c>
      <c r="K5" t="s">
        <v>114</v>
      </c>
      <c r="L5" t="s">
        <v>115</v>
      </c>
      <c r="M5" t="s">
        <v>116</v>
      </c>
      <c r="O5" t="s">
        <v>11</v>
      </c>
      <c r="P5" t="s">
        <v>28</v>
      </c>
      <c r="Q5" t="s">
        <v>122</v>
      </c>
      <c r="R5" t="s">
        <v>123</v>
      </c>
      <c r="S5" t="s">
        <v>124</v>
      </c>
      <c r="T5" t="s">
        <v>127</v>
      </c>
      <c r="U5" t="s">
        <v>125</v>
      </c>
    </row>
    <row r="6" spans="4:21">
      <c r="D6">
        <v>0</v>
      </c>
      <c r="E6">
        <v>2</v>
      </c>
      <c r="F6">
        <f>$K$3*(D6*E6)</f>
        <v>0</v>
      </c>
      <c r="I6">
        <v>2</v>
      </c>
      <c r="J6">
        <v>2</v>
      </c>
      <c r="K6">
        <f>$K$3*((2*I6*J6)/(1+I6^2))</f>
        <v>0.192</v>
      </c>
      <c r="L6">
        <f>J6+K6</f>
        <v>2.1920000000000002</v>
      </c>
      <c r="M6">
        <f>$K$3*((2*I7*L6)/(1+I7^2))</f>
        <v>0.20420850277264324</v>
      </c>
      <c r="O6">
        <v>1</v>
      </c>
      <c r="P6">
        <v>2</v>
      </c>
      <c r="Q6">
        <f>$K$3*-(O6*P6)</f>
        <v>-0.24</v>
      </c>
      <c r="R6">
        <f>P6+0.5*Q6</f>
        <v>1.88</v>
      </c>
      <c r="S6">
        <f>$K$3*-(O6+0.5*$K$3)*R6</f>
        <v>-0.23913599999999999</v>
      </c>
      <c r="T6">
        <f>P6 -Q6+2*S6</f>
        <v>1.7617280000000002</v>
      </c>
      <c r="U6">
        <f>$K$3*-(O6+$K$3)*(T6)</f>
        <v>-0.23677624320000007</v>
      </c>
    </row>
    <row r="7" spans="4:21">
      <c r="D7">
        <v>0.1</v>
      </c>
      <c r="E7">
        <f>E6+F6</f>
        <v>2</v>
      </c>
      <c r="F7">
        <f>$K$3*(D7*E7)</f>
        <v>2.4E-2</v>
      </c>
      <c r="I7">
        <v>2.1</v>
      </c>
      <c r="J7">
        <f>J6+0.5*(K6+M6)</f>
        <v>2.1981042513863218</v>
      </c>
      <c r="K7">
        <f>$K$3*((2*I7*J7)/(1+I7^2))</f>
        <v>0.20477717979643367</v>
      </c>
      <c r="L7">
        <f>J7+K7</f>
        <v>2.4028814311827555</v>
      </c>
      <c r="M7">
        <f>$K$3*((2*I8*L7)/(1+I8^2))</f>
        <v>0.21724681432611215</v>
      </c>
      <c r="O7">
        <v>1.1000000000000001</v>
      </c>
      <c r="P7">
        <f>P6+(1/6)*(Q6+4*S6+U6)</f>
        <v>1.7611132928</v>
      </c>
      <c r="Q7">
        <f>$K$3*-(O7*P7)</f>
        <v>-0.23246695464959999</v>
      </c>
      <c r="R7">
        <f>P7+0.5*Q7</f>
        <v>1.6448798154752</v>
      </c>
      <c r="S7">
        <f>$K$3*-(O7+0.5*$K$3)*R7</f>
        <v>-0.22896727031414787</v>
      </c>
      <c r="T7">
        <f>P7 -Q7+2*S7</f>
        <v>1.5356457068213043</v>
      </c>
      <c r="U7">
        <f>$K$3*-(O7+$K$3)*(T7)</f>
        <v>-0.22481853147863901</v>
      </c>
    </row>
    <row r="8" spans="4:21">
      <c r="D8">
        <v>0.2</v>
      </c>
      <c r="E8">
        <f t="shared" ref="E8:E12" si="0">E7+F7</f>
        <v>2.024</v>
      </c>
      <c r="F8">
        <f t="shared" ref="F7:F13" si="1">$K$3*(D8*E8)</f>
        <v>4.8576000000000001E-2</v>
      </c>
      <c r="I8">
        <v>2.2000000000000002</v>
      </c>
      <c r="J8">
        <f t="shared" ref="J8:J12" si="2">J7+0.5*(K7+M7)</f>
        <v>2.4091162484475945</v>
      </c>
      <c r="K8">
        <f t="shared" ref="K8:K12" si="3">$K$3*((2*I8*J8)/(1+I8^2))</f>
        <v>0.21781051013361813</v>
      </c>
      <c r="L8">
        <f t="shared" ref="L8:L12" si="4">J8+K8</f>
        <v>2.6269267585812126</v>
      </c>
      <c r="M8">
        <f>$K$3*((2*I9*L8)/(1+I9^2))</f>
        <v>0.23053474892477416</v>
      </c>
      <c r="O8">
        <v>1.2</v>
      </c>
      <c r="P8">
        <f t="shared" ref="P8:P9" si="5">P7+(1/6)*(Q7+4*S7+U7)</f>
        <v>1.5322541982358615</v>
      </c>
      <c r="Q8">
        <f t="shared" ref="Q8:Q9" si="6">$K$3*-(O8*P8)</f>
        <v>-0.22064460454596402</v>
      </c>
      <c r="R8">
        <f t="shared" ref="R8:R9" si="7">P8+0.5*Q8</f>
        <v>1.4219318959628795</v>
      </c>
      <c r="S8">
        <f t="shared" ref="S8:S9" si="8">$K$3*-(O8+0.5*$K$3)*R8</f>
        <v>-0.21499610266958738</v>
      </c>
      <c r="T8">
        <f t="shared" ref="T8:T9" si="9">P8 -Q8+2*S8</f>
        <v>1.3229065974426508</v>
      </c>
      <c r="U8">
        <f t="shared" ref="U8:U9" si="10">$K$3*-(O8+$K$3)*(T8)</f>
        <v>-0.20954840503491587</v>
      </c>
    </row>
    <row r="9" spans="4:21">
      <c r="D9">
        <v>0.3</v>
      </c>
      <c r="E9">
        <f t="shared" si="0"/>
        <v>2.0725760000000002</v>
      </c>
      <c r="F9">
        <f t="shared" si="1"/>
        <v>7.4612735999999999E-2</v>
      </c>
      <c r="I9">
        <v>2.2999999999999998</v>
      </c>
      <c r="J9">
        <f t="shared" si="2"/>
        <v>2.6332888779767907</v>
      </c>
      <c r="K9">
        <f t="shared" si="3"/>
        <v>0.23109307800368653</v>
      </c>
      <c r="L9">
        <f t="shared" si="4"/>
        <v>2.8643819559804773</v>
      </c>
      <c r="M9">
        <f>$K$3*((2*I10*L9)/(1+I10^2))</f>
        <v>0.24406568145632471</v>
      </c>
      <c r="O9">
        <v>1.3</v>
      </c>
      <c r="P9">
        <f t="shared" si="5"/>
        <v>1.3172246281926565</v>
      </c>
      <c r="Q9">
        <f t="shared" si="6"/>
        <v>-0.20548704199805443</v>
      </c>
      <c r="R9">
        <f t="shared" si="7"/>
        <v>1.2144811071936292</v>
      </c>
      <c r="S9">
        <f t="shared" si="8"/>
        <v>-0.19820331669400029</v>
      </c>
      <c r="T9">
        <f t="shared" si="9"/>
        <v>1.1263050368027103</v>
      </c>
      <c r="U9">
        <f t="shared" si="10"/>
        <v>-0.19192237827118183</v>
      </c>
    </row>
    <row r="10" spans="4:21">
      <c r="D10">
        <v>0.4</v>
      </c>
      <c r="E10">
        <f t="shared" si="0"/>
        <v>2.1471887360000004</v>
      </c>
      <c r="F10">
        <f t="shared" si="1"/>
        <v>0.10306505932800002</v>
      </c>
      <c r="I10">
        <v>2.4</v>
      </c>
      <c r="J10">
        <f t="shared" si="2"/>
        <v>2.8708682577067961</v>
      </c>
      <c r="K10">
        <f t="shared" si="3"/>
        <v>0.24461836041998739</v>
      </c>
      <c r="L10">
        <f t="shared" si="4"/>
        <v>3.1154866181267833</v>
      </c>
      <c r="M10">
        <f t="shared" ref="M10:M11" si="11">$K$3*((2*I11*L10)/(1+I11^2))</f>
        <v>0.25783337529325101</v>
      </c>
      <c r="O10">
        <v>1.4</v>
      </c>
      <c r="P10">
        <f t="shared" ref="P10:P11" si="12">P9+(1/6)*(Q9+4*S9+U9)</f>
        <v>1.1188541803517835</v>
      </c>
      <c r="Q10">
        <f t="shared" ref="Q10" si="13">$K$3*-(O10*P10)</f>
        <v>-0.18796750229909961</v>
      </c>
      <c r="R10">
        <f t="shared" ref="R10" si="14">P10+0.5*Q10</f>
        <v>1.0248704292022337</v>
      </c>
      <c r="S10">
        <f t="shared" ref="S10" si="15">$K$3*-(O10+0.5*$K$3)*R10</f>
        <v>-0.17955729919623134</v>
      </c>
      <c r="T10">
        <f t="shared" ref="T10" si="16">P10 -Q10+2*S10</f>
        <v>0.94770708425842054</v>
      </c>
      <c r="U10">
        <f t="shared" ref="U10" si="17">$K$3*-(O10+$K$3)*(T10)</f>
        <v>-0.17286177216873591</v>
      </c>
    </row>
    <row r="11" spans="4:21">
      <c r="D11">
        <v>0.5</v>
      </c>
      <c r="E11">
        <f>E10+F10</f>
        <v>2.2502537953280002</v>
      </c>
      <c r="F11">
        <f t="shared" si="1"/>
        <v>0.13501522771968</v>
      </c>
      <c r="I11">
        <v>2.5</v>
      </c>
      <c r="J11">
        <f t="shared" si="2"/>
        <v>3.1220941255634154</v>
      </c>
      <c r="K11">
        <f t="shared" si="3"/>
        <v>0.25838020349490332</v>
      </c>
      <c r="L11">
        <f t="shared" si="4"/>
        <v>3.3804743290583188</v>
      </c>
      <c r="M11">
        <f t="shared" si="11"/>
        <v>0.27183195635726681</v>
      </c>
      <c r="O11">
        <v>1.5</v>
      </c>
      <c r="P11">
        <f t="shared" si="12"/>
        <v>0.93901110180965675</v>
      </c>
    </row>
    <row r="12" spans="4:21">
      <c r="D12">
        <v>0.6</v>
      </c>
      <c r="E12">
        <f t="shared" si="0"/>
        <v>2.3852690230476803</v>
      </c>
      <c r="F12">
        <f t="shared" si="1"/>
        <v>0.17173936965943298</v>
      </c>
      <c r="I12">
        <v>2.6</v>
      </c>
      <c r="J12">
        <f t="shared" si="2"/>
        <v>3.3872002054895005</v>
      </c>
      <c r="K12">
        <f t="shared" si="3"/>
        <v>0.27237280002905256</v>
      </c>
      <c r="L12">
        <f t="shared" si="4"/>
        <v>3.6595730055185531</v>
      </c>
      <c r="M12">
        <f>$K$3*((2*I13*L12)/(1+I13^2))</f>
        <v>0.28605588752424876</v>
      </c>
    </row>
    <row r="13" spans="4:21">
      <c r="D13">
        <v>0.7</v>
      </c>
      <c r="E13">
        <f>E12+F12</f>
        <v>2.5570083927071132</v>
      </c>
      <c r="F13">
        <f t="shared" si="1"/>
        <v>0.21478870498739749</v>
      </c>
      <c r="I13">
        <v>2.7</v>
      </c>
      <c r="J13">
        <f>J12+0.5*(K12+M12)</f>
        <v>3.6664145492661513</v>
      </c>
      <c r="K13" t="s">
        <v>54</v>
      </c>
    </row>
    <row r="15" spans="4:21" ht="18.75">
      <c r="D15" t="s">
        <v>120</v>
      </c>
      <c r="I15" t="s">
        <v>121</v>
      </c>
      <c r="O15" s="48" t="s">
        <v>128</v>
      </c>
      <c r="P15" s="48"/>
      <c r="Q15" s="48"/>
      <c r="R15" s="48"/>
      <c r="S15" s="48"/>
      <c r="T15" s="48"/>
    </row>
    <row r="16" spans="4:21">
      <c r="O16" t="s">
        <v>11</v>
      </c>
      <c r="P16" t="s">
        <v>28</v>
      </c>
      <c r="Q16" t="s">
        <v>122</v>
      </c>
      <c r="R16" t="s">
        <v>131</v>
      </c>
      <c r="S16" t="s">
        <v>129</v>
      </c>
      <c r="T16" t="s">
        <v>130</v>
      </c>
    </row>
    <row r="17" spans="15:20">
      <c r="O17">
        <v>1</v>
      </c>
      <c r="P17">
        <v>2</v>
      </c>
      <c r="Q17">
        <f>$K$3*(-O17*P17)</f>
        <v>-0.24</v>
      </c>
      <c r="R17">
        <f>$K$3*-(O17+0.5*$K$3)*(P17+0.5*Q17)</f>
        <v>-0.23913599999999999</v>
      </c>
      <c r="S17">
        <f>$K$3*-(O17+0.5*$K$3)*(P17+0.5*R17)</f>
        <v>-0.23919095040000002</v>
      </c>
      <c r="T17">
        <f>$K$3*-(O17+$K$3)*(P17+S17)</f>
        <v>-0.23665273626624003</v>
      </c>
    </row>
    <row r="18" spans="15:20">
      <c r="O18">
        <v>1.1000000000000001</v>
      </c>
      <c r="P18">
        <f>P17+(1/6)*(Q17+2*R17+2*S17+T17)</f>
        <v>1.7611155604889599</v>
      </c>
      <c r="Q18">
        <f>$K$3*(-O18*P18)</f>
        <v>-0.23246725398454271</v>
      </c>
      <c r="R18">
        <f t="shared" ref="R18:R21" si="18">$K$3*-(O18+0.5*$K$3)*(P18+0.5*Q18)</f>
        <v>-0.22896756514273908</v>
      </c>
      <c r="S18">
        <f>$K$3*-(O18+0.5*$K$3)*(P18+0.5*R18)</f>
        <v>-0.22921114348612859</v>
      </c>
      <c r="T18">
        <f>$K$3*-(O18+$K$3)*(P18+S18)</f>
        <v>-0.22427080664921456</v>
      </c>
    </row>
    <row r="19" spans="15:20">
      <c r="O19">
        <v>1.2</v>
      </c>
      <c r="P19">
        <f t="shared" ref="P19:P20" si="19">P18+(1/6)*(Q18+2*R18+2*S18+T18)</f>
        <v>1.5322663141737112</v>
      </c>
      <c r="Q19">
        <f t="shared" ref="Q19:Q20" si="20">$K$3*(-O19*P19)</f>
        <v>-0.22064634924101437</v>
      </c>
      <c r="R19">
        <f t="shared" si="18"/>
        <v>-0.21499780270044447</v>
      </c>
      <c r="S19">
        <f t="shared" ref="S19:S20" si="21">$K$3*-(O19+0.5*$K$3)*(P19+0.5*R19)</f>
        <v>-0.2154248328189115</v>
      </c>
      <c r="T19">
        <f t="shared" ref="T19:T20" si="22">$K$3*-(O19+$K$3)*(P19+S19)</f>
        <v>-0.20858769064660027</v>
      </c>
    </row>
    <row r="20" spans="15:20">
      <c r="O20">
        <v>1.3</v>
      </c>
      <c r="P20">
        <f t="shared" si="19"/>
        <v>1.31725309568599</v>
      </c>
      <c r="Q20">
        <f t="shared" si="20"/>
        <v>-0.20549148292701444</v>
      </c>
      <c r="R20">
        <f t="shared" si="18"/>
        <v>-0.19820760020910921</v>
      </c>
      <c r="S20">
        <f t="shared" si="21"/>
        <v>-0.19880196503889028</v>
      </c>
      <c r="T20">
        <f t="shared" si="22"/>
        <v>-0.19058407266226579</v>
      </c>
    </row>
    <row r="21" spans="15:20">
      <c r="O21">
        <v>1.4</v>
      </c>
      <c r="P21">
        <f t="shared" ref="P21" si="23">P20+(1/6)*(Q20+2*R20+2*S20+T20)</f>
        <v>1.1189039813384434</v>
      </c>
      <c r="Q21">
        <f t="shared" ref="Q21" si="24">$K$3*(-O21*P21)</f>
        <v>-0.18797586886485848</v>
      </c>
      <c r="R21">
        <f t="shared" si="18"/>
        <v>-0.17956529141793368</v>
      </c>
      <c r="S21">
        <f t="shared" ref="S21" si="25">$K$3*-(O21+0.5*$K$3)*(P21+0.5*R21)</f>
        <v>-0.1803020580022843</v>
      </c>
      <c r="T21">
        <f t="shared" ref="T21" si="26">$K$3*-(O21+$K$3)*(P21+S21)</f>
        <v>-0.17120099081651544</v>
      </c>
    </row>
    <row r="22" spans="15:20">
      <c r="O22">
        <v>1.5</v>
      </c>
      <c r="P22">
        <f>P21+(1/6)*(Q21+2*R21+2*S21+T21)</f>
        <v>0.93908538825147514</v>
      </c>
    </row>
  </sheetData>
  <mergeCells count="4">
    <mergeCell ref="D4:G4"/>
    <mergeCell ref="I4:M4"/>
    <mergeCell ref="O4:T4"/>
    <mergeCell ref="O15:T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Jacobi</vt:lpstr>
      <vt:lpstr>Gause Seidel</vt:lpstr>
      <vt:lpstr>PP Chia đôi</vt:lpstr>
      <vt:lpstr>PP Dây cung</vt:lpstr>
      <vt:lpstr>PP Lặp đơn</vt:lpstr>
      <vt:lpstr>PP Tiếp tuyến</vt:lpstr>
      <vt:lpstr>Nội suy Newton</vt:lpstr>
      <vt:lpstr>Tích phân </vt:lpstr>
      <vt:lpstr>Vi phân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TL</dc:creator>
  <cp:lastModifiedBy>Sang TL</cp:lastModifiedBy>
  <dcterms:created xsi:type="dcterms:W3CDTF">2021-08-12T14:14:50Z</dcterms:created>
  <dcterms:modified xsi:type="dcterms:W3CDTF">2021-08-24T04:53:01Z</dcterms:modified>
</cp:coreProperties>
</file>