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60a4f5f7051da0/Desktop/Training/Training stats/"/>
    </mc:Choice>
  </mc:AlternateContent>
  <xr:revisionPtr revIDLastSave="23" documentId="13_ncr:1_{91DB06EB-0FFC-472A-82B1-CA50E24981C1}" xr6:coauthVersionLast="47" xr6:coauthVersionMax="47" xr10:uidLastSave="{F705E8F3-C4B6-4933-8E47-021BDFC86E66}"/>
  <bookViews>
    <workbookView xWindow="-120" yWindow="-120" windowWidth="20730" windowHeight="11040" firstSheet="12" activeTab="17" xr2:uid="{10066438-E032-4F5B-AADF-667E8051AF84}"/>
  </bookViews>
  <sheets>
    <sheet name="MEASURES OF DISPERSION" sheetId="1" r:id="rId1"/>
    <sheet name="RANDOM" sheetId="5" r:id="rId2"/>
    <sheet name="SYSTEMATIC" sheetId="3" r:id="rId3"/>
    <sheet name="STRATIFIED" sheetId="4" r:id="rId4"/>
    <sheet name="CLUSTER RANDOM" sheetId="2" r:id="rId5"/>
    <sheet name="PROBABALITY" sheetId="6" r:id="rId6"/>
    <sheet name="BAYES" sheetId="10" r:id="rId7"/>
    <sheet name="SKEWNESS" sheetId="7" r:id="rId8"/>
    <sheet name="KURTOSIS" sheetId="8" r:id="rId9"/>
    <sheet name="POISSON" sheetId="9" r:id="rId10"/>
    <sheet name="BINOMIAL" sheetId="11" r:id="rId11"/>
    <sheet name="UNIFORM " sheetId="13" r:id="rId12"/>
    <sheet name="CO-VARIANCE" sheetId="12" r:id="rId13"/>
    <sheet name="CORRELATION" sheetId="14" r:id="rId14"/>
    <sheet name="T-TEST" sheetId="16" r:id="rId15"/>
    <sheet name="Z-TEST" sheetId="17" r:id="rId16"/>
    <sheet name="ANOVA" sheetId="18" r:id="rId17"/>
    <sheet name="REGRESSION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8" l="1"/>
  <c r="AR11" i="6"/>
  <c r="AI21" i="6"/>
  <c r="B4" i="19"/>
  <c r="B4" i="18"/>
  <c r="D12" i="9"/>
  <c r="D6" i="9"/>
  <c r="C15" i="7"/>
  <c r="BJ20" i="6"/>
  <c r="AI19" i="6"/>
  <c r="AC17" i="6"/>
  <c r="L9" i="6"/>
  <c r="D7" i="6"/>
  <c r="D2" i="6"/>
  <c r="I11" i="2"/>
  <c r="I10" i="2"/>
  <c r="K2" i="2"/>
  <c r="J2" i="2"/>
  <c r="E6" i="3"/>
  <c r="G3" i="3"/>
  <c r="F5" i="3"/>
  <c r="L10" i="1"/>
  <c r="L6" i="1"/>
  <c r="S8" i="1"/>
  <c r="S9" i="1"/>
  <c r="D14" i="17"/>
  <c r="H11" i="14"/>
  <c r="E19" i="14"/>
  <c r="F18" i="14"/>
  <c r="F17" i="14"/>
  <c r="E18" i="14"/>
  <c r="E17" i="14"/>
  <c r="D17" i="14"/>
  <c r="D16" i="14"/>
  <c r="D15" i="14"/>
  <c r="D14" i="14"/>
  <c r="D13" i="14"/>
  <c r="D12" i="14"/>
  <c r="D11" i="14"/>
  <c r="F13" i="12"/>
  <c r="E13" i="12"/>
  <c r="D13" i="12"/>
  <c r="E14" i="17"/>
  <c r="B4" i="17"/>
  <c r="B4" i="16"/>
  <c r="F16" i="14"/>
  <c r="E16" i="14"/>
  <c r="F15" i="14"/>
  <c r="F14" i="14"/>
  <c r="F13" i="14"/>
  <c r="F12" i="14"/>
  <c r="F11" i="14"/>
  <c r="E15" i="14"/>
  <c r="E14" i="14"/>
  <c r="E13" i="14"/>
  <c r="E12" i="14"/>
  <c r="E11" i="14"/>
  <c r="C15" i="14"/>
  <c r="C14" i="14"/>
  <c r="C13" i="14"/>
  <c r="C12" i="14"/>
  <c r="C11" i="14"/>
  <c r="B15" i="14"/>
  <c r="B14" i="14"/>
  <c r="B13" i="14"/>
  <c r="B12" i="14"/>
  <c r="B11" i="14"/>
  <c r="E4" i="14"/>
  <c r="E3" i="14"/>
  <c r="T12" i="12"/>
  <c r="S5" i="12"/>
  <c r="R5" i="12"/>
  <c r="Q16" i="12"/>
  <c r="Q15" i="12"/>
  <c r="Q14" i="12"/>
  <c r="Q13" i="12"/>
  <c r="Q12" i="12"/>
  <c r="P16" i="12"/>
  <c r="P15" i="12"/>
  <c r="P14" i="12"/>
  <c r="P13" i="12"/>
  <c r="P12" i="12"/>
  <c r="P9" i="4"/>
  <c r="O9" i="4"/>
  <c r="N7" i="4"/>
  <c r="N6" i="4"/>
  <c r="N4" i="4"/>
  <c r="N5" i="4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2" i="10"/>
  <c r="F11" i="10"/>
  <c r="G5" i="13"/>
  <c r="G6" i="13"/>
  <c r="G7" i="13"/>
  <c r="G8" i="13"/>
  <c r="G9" i="13"/>
  <c r="G10" i="13"/>
  <c r="G11" i="13"/>
  <c r="G12" i="13"/>
  <c r="G13" i="13"/>
  <c r="G14" i="13"/>
  <c r="D4" i="13" a="1"/>
  <c r="G4" i="13"/>
  <c r="F5" i="13"/>
  <c r="F6" i="13"/>
  <c r="F7" i="13"/>
  <c r="F8" i="13"/>
  <c r="F9" i="13"/>
  <c r="F10" i="13"/>
  <c r="F11" i="13"/>
  <c r="F12" i="13"/>
  <c r="F13" i="13"/>
  <c r="F14" i="13"/>
  <c r="F4" i="13"/>
  <c r="D14" i="12"/>
  <c r="D15" i="12"/>
  <c r="D16" i="12"/>
  <c r="D17" i="12"/>
  <c r="D18" i="12"/>
  <c r="D19" i="12"/>
  <c r="C19" i="12"/>
  <c r="C18" i="12"/>
  <c r="C17" i="12"/>
  <c r="C16" i="12"/>
  <c r="C15" i="12"/>
  <c r="C14" i="12"/>
  <c r="C13" i="12"/>
  <c r="B19" i="12"/>
  <c r="B18" i="12"/>
  <c r="B17" i="12"/>
  <c r="B16" i="12"/>
  <c r="B15" i="12"/>
  <c r="B14" i="12"/>
  <c r="B13" i="12"/>
  <c r="E4" i="12"/>
  <c r="D4" i="12"/>
  <c r="D7" i="9"/>
  <c r="D8" i="9"/>
  <c r="D9" i="9"/>
  <c r="D10" i="9"/>
  <c r="D11" i="9"/>
  <c r="D13" i="9"/>
  <c r="D14" i="9"/>
  <c r="D15" i="9"/>
  <c r="I17" i="8"/>
  <c r="H17" i="8"/>
  <c r="G17" i="8"/>
  <c r="A15" i="7"/>
  <c r="B15" i="7"/>
  <c r="AY8" i="6"/>
  <c r="AY5" i="6"/>
  <c r="AV5" i="6" a="1"/>
  <c r="AR8" i="6"/>
  <c r="AR6" i="6"/>
  <c r="AI15" i="6"/>
  <c r="AI18" i="6"/>
  <c r="AI13" i="6"/>
  <c r="AI11" i="6"/>
  <c r="AC24" i="6"/>
  <c r="W26" i="6"/>
  <c r="X24" i="6"/>
  <c r="X20" i="6"/>
  <c r="X16" i="6"/>
  <c r="X12" i="6"/>
  <c r="W10" i="6"/>
  <c r="X8" i="6"/>
  <c r="W6" i="6"/>
  <c r="T3" i="6" a="1"/>
  <c r="F2" i="4"/>
  <c r="L29" i="6"/>
  <c r="L24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L4" i="6"/>
  <c r="L2" i="6"/>
  <c r="H2" i="6" a="1"/>
  <c r="D4" i="6"/>
  <c r="A2" i="6" a="1"/>
  <c r="H4" i="4"/>
  <c r="H9" i="4"/>
  <c r="H8" i="4"/>
  <c r="H7" i="4"/>
  <c r="H6" i="4"/>
  <c r="H5" i="4"/>
  <c r="J6" i="2"/>
  <c r="J5" i="2"/>
  <c r="J4" i="2"/>
  <c r="J3" i="2"/>
  <c r="E85" i="4"/>
  <c r="E69" i="4"/>
  <c r="E52" i="4"/>
  <c r="E18" i="4"/>
  <c r="E2" i="4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3" i="3"/>
  <c r="E4" i="3"/>
  <c r="E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" i="3"/>
  <c r="O18" i="1"/>
  <c r="U13" i="1"/>
  <c r="U12" i="1"/>
  <c r="U11" i="1"/>
  <c r="U10" i="1"/>
  <c r="U9" i="1"/>
  <c r="U8" i="1"/>
  <c r="S13" i="1"/>
  <c r="S12" i="1"/>
  <c r="S11" i="1"/>
  <c r="S10" i="1"/>
  <c r="Q13" i="1"/>
  <c r="Q12" i="1"/>
  <c r="Q11" i="1"/>
  <c r="Q10" i="1"/>
  <c r="Q9" i="1"/>
  <c r="Q8" i="1"/>
  <c r="L19" i="1"/>
  <c r="M17" i="1"/>
  <c r="M16" i="1"/>
  <c r="L15" i="1"/>
  <c r="M13" i="1"/>
  <c r="M12" i="1"/>
  <c r="L8" i="1"/>
  <c r="L17" i="6" l="1"/>
  <c r="L7" i="6"/>
  <c r="AY9" i="6"/>
  <c r="R16" i="12"/>
  <c r="R15" i="12"/>
  <c r="R14" i="12"/>
  <c r="R13" i="12"/>
  <c r="R12" i="12"/>
  <c r="S12" i="12" s="1"/>
  <c r="F13" i="10"/>
  <c r="F14" i="10"/>
  <c r="AS8" i="6"/>
  <c r="AS6" i="6"/>
  <c r="AC23" i="6"/>
  <c r="X26" i="6"/>
  <c r="W22" i="6"/>
  <c r="W18" i="6"/>
  <c r="W14" i="6"/>
  <c r="X14" i="6" s="1"/>
  <c r="X10" i="6"/>
  <c r="L27" i="6"/>
  <c r="L22" i="6"/>
  <c r="L12" i="6"/>
  <c r="L14" i="6" s="1"/>
  <c r="D9" i="6"/>
  <c r="W4" i="6"/>
  <c r="L19" i="6" l="1"/>
  <c r="F15" i="10"/>
  <c r="F16" i="1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<sst xmlns="http://schemas.openxmlformats.org/spreadsheetml/2006/main" count="22383" uniqueCount="420">
  <si>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</si>
  <si>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</si>
  <si>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</si>
  <si>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</si>
  <si>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</si>
  <si>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</si>
  <si>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</si>
  <si>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</si>
  <si>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</si>
  <si>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</si>
  <si>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</si>
  <si>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</si>
  <si>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</si>
  <si>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</si>
  <si>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</si>
  <si>
    <t>MAX:</t>
  </si>
  <si>
    <t>MIN:</t>
  </si>
  <si>
    <t>RANGE:</t>
  </si>
  <si>
    <t>IQR:</t>
  </si>
  <si>
    <t>Q1:</t>
  </si>
  <si>
    <t>Q3:</t>
  </si>
  <si>
    <t>IQR EXC:</t>
  </si>
  <si>
    <t>Q3-Q1</t>
  </si>
  <si>
    <t>IQR INC:</t>
  </si>
  <si>
    <t>MEAN DEVIATION:</t>
  </si>
  <si>
    <t>Xi</t>
  </si>
  <si>
    <t>(Xi-U)</t>
  </si>
  <si>
    <t>U</t>
  </si>
  <si>
    <r>
      <t>(Xi-U)</t>
    </r>
    <r>
      <rPr>
        <sz val="11"/>
        <color theme="1"/>
        <rFont val="Calibri"/>
        <family val="2"/>
      </rPr>
      <t>²</t>
    </r>
  </si>
  <si>
    <t>mean deviation</t>
  </si>
  <si>
    <t>sample(n-1)</t>
  </si>
  <si>
    <t>count</t>
  </si>
  <si>
    <t>Student_ID</t>
  </si>
  <si>
    <t>Student_Name</t>
  </si>
  <si>
    <t>Dept</t>
  </si>
  <si>
    <t>Aarav</t>
  </si>
  <si>
    <t>CSE</t>
  </si>
  <si>
    <t>Aditi</t>
  </si>
  <si>
    <t>ECE</t>
  </si>
  <si>
    <t>Rahul</t>
  </si>
  <si>
    <t>ME</t>
  </si>
  <si>
    <t>Sneha</t>
  </si>
  <si>
    <t>Vikram</t>
  </si>
  <si>
    <t>EEE</t>
  </si>
  <si>
    <t>Priya</t>
  </si>
  <si>
    <t>CIVIL</t>
  </si>
  <si>
    <t>Arjun</t>
  </si>
  <si>
    <t>Neha</t>
  </si>
  <si>
    <t>Kiran</t>
  </si>
  <si>
    <t>Pooja</t>
  </si>
  <si>
    <t>Rohit</t>
  </si>
  <si>
    <t>Divya</t>
  </si>
  <si>
    <t>Manish</t>
  </si>
  <si>
    <t>Anjali</t>
  </si>
  <si>
    <t>Suresh</t>
  </si>
  <si>
    <t>Kavya</t>
  </si>
  <si>
    <t>Harsha</t>
  </si>
  <si>
    <t>Nisha</t>
  </si>
  <si>
    <t>Tejas</t>
  </si>
  <si>
    <t>Bhavana</t>
  </si>
  <si>
    <t>Ajay</t>
  </si>
  <si>
    <t>Riya</t>
  </si>
  <si>
    <t>Akash</t>
  </si>
  <si>
    <t>Megha</t>
  </si>
  <si>
    <t>Naveen</t>
  </si>
  <si>
    <t>Shreya</t>
  </si>
  <si>
    <t>Vinay</t>
  </si>
  <si>
    <t>Deepika</t>
  </si>
  <si>
    <t>Karthik</t>
  </si>
  <si>
    <t>Aishwarya</t>
  </si>
  <si>
    <t>Charan</t>
  </si>
  <si>
    <t>Ananya</t>
  </si>
  <si>
    <t>Praveen</t>
  </si>
  <si>
    <t>Sahana</t>
  </si>
  <si>
    <t>Dinesh</t>
  </si>
  <si>
    <t>Raksha</t>
  </si>
  <si>
    <t>Lokesh</t>
  </si>
  <si>
    <t>Swathi</t>
  </si>
  <si>
    <t>Yash</t>
  </si>
  <si>
    <t>Keerthi</t>
  </si>
  <si>
    <t>Nikhil</t>
  </si>
  <si>
    <t>Lavanya</t>
  </si>
  <si>
    <t>Rakesh</t>
  </si>
  <si>
    <t>Nikita</t>
  </si>
  <si>
    <t>Tarun</t>
  </si>
  <si>
    <t>Pavan</t>
  </si>
  <si>
    <t>Shruthi</t>
  </si>
  <si>
    <t>Sonal</t>
  </si>
  <si>
    <t>Abhishek</t>
  </si>
  <si>
    <t>Pallavi</t>
  </si>
  <si>
    <t>Darshan</t>
  </si>
  <si>
    <t>Nandini</t>
  </si>
  <si>
    <t>Mohan</t>
  </si>
  <si>
    <t>Vaishnavi</t>
  </si>
  <si>
    <t>Gagan</t>
  </si>
  <si>
    <t>Sanjana</t>
  </si>
  <si>
    <t>Rohan</t>
  </si>
  <si>
    <t>Ishita</t>
  </si>
  <si>
    <t>Mahesh</t>
  </si>
  <si>
    <t>Preethi</t>
  </si>
  <si>
    <t>Ashwin</t>
  </si>
  <si>
    <t>Harini</t>
  </si>
  <si>
    <t>Suraj</t>
  </si>
  <si>
    <t>Akshara</t>
  </si>
  <si>
    <t>Chandan</t>
  </si>
  <si>
    <t>Tanvi</t>
  </si>
  <si>
    <t>Vikas</t>
  </si>
  <si>
    <t>Monika</t>
  </si>
  <si>
    <t>Bharat</t>
  </si>
  <si>
    <t>Reshma</t>
  </si>
  <si>
    <t>Uday</t>
  </si>
  <si>
    <t>Priti</t>
  </si>
  <si>
    <t>Siddharth</t>
  </si>
  <si>
    <t>Mansi</t>
  </si>
  <si>
    <t>Kunal</t>
  </si>
  <si>
    <t>Gayathri</t>
  </si>
  <si>
    <t>Jagadish</t>
  </si>
  <si>
    <t>Namrata</t>
  </si>
  <si>
    <t>Anand</t>
  </si>
  <si>
    <t>Roshni</t>
  </si>
  <si>
    <t>Prakash</t>
  </si>
  <si>
    <t>Sushmita</t>
  </si>
  <si>
    <t>Vijay</t>
  </si>
  <si>
    <t>Chandana</t>
  </si>
  <si>
    <t>Hemant</t>
  </si>
  <si>
    <t>Ritu</t>
  </si>
  <si>
    <t>Santosh</t>
  </si>
  <si>
    <t>Padmini</t>
  </si>
  <si>
    <t>Naveena</t>
  </si>
  <si>
    <t>Komal</t>
  </si>
  <si>
    <t>Ramesh</t>
  </si>
  <si>
    <t>Jyothi</t>
  </si>
  <si>
    <t>Shashank</t>
  </si>
  <si>
    <t>Apoorva</t>
  </si>
  <si>
    <t>Girish</t>
  </si>
  <si>
    <t>Amulya</t>
  </si>
  <si>
    <t>Vivek</t>
  </si>
  <si>
    <t>Krupa</t>
  </si>
  <si>
    <t>Nitin</t>
  </si>
  <si>
    <t>Bhavya</t>
  </si>
  <si>
    <t>Random</t>
  </si>
  <si>
    <t>SAMPLE:</t>
  </si>
  <si>
    <t>POPULATION = 100</t>
  </si>
  <si>
    <t>RANDOM START = 5</t>
  </si>
  <si>
    <t>SYSTEMATIC</t>
  </si>
  <si>
    <t xml:space="preserve">COUNT BY DEPT </t>
  </si>
  <si>
    <t>CLUSTER</t>
  </si>
  <si>
    <t>A</t>
  </si>
  <si>
    <t>D</t>
  </si>
  <si>
    <t>B</t>
  </si>
  <si>
    <t>C</t>
  </si>
  <si>
    <t>E</t>
  </si>
  <si>
    <t>RANDOM</t>
  </si>
  <si>
    <t>CRS</t>
  </si>
  <si>
    <t>CRS(CHAR)</t>
  </si>
  <si>
    <t>POPULATION= 100</t>
  </si>
  <si>
    <t>SAMPLE =15 RECORDS</t>
  </si>
  <si>
    <t>REQ SAMPLE for 20 values</t>
  </si>
  <si>
    <t>S.NO</t>
  </si>
  <si>
    <t>CHANCES</t>
  </si>
  <si>
    <t>HEAD</t>
  </si>
  <si>
    <t>TAIL</t>
  </si>
  <si>
    <t>COUNT OF HEAD</t>
  </si>
  <si>
    <t>COUNT OF TAIL</t>
  </si>
  <si>
    <t>PROBABILITY OF HEAD=COUNT OF HEADS/TOTAL</t>
  </si>
  <si>
    <t>PROBABILITY OF TAIL</t>
  </si>
  <si>
    <t>CHANCES-1</t>
  </si>
  <si>
    <t>CHANCES-2</t>
  </si>
  <si>
    <t>COUNT OF HEAD:</t>
  </si>
  <si>
    <t>COUNT OF TAIL:</t>
  </si>
  <si>
    <t>PROBABILITY OF HEAD:</t>
  </si>
  <si>
    <t>PROBABILITY OF TAIL:</t>
  </si>
  <si>
    <t>Outcomes</t>
  </si>
  <si>
    <t>count of head tail:</t>
  </si>
  <si>
    <t>COUNT OF TAIL HEAD:</t>
  </si>
  <si>
    <t>COUNT OF HEAD HEAD:</t>
  </si>
  <si>
    <t>PROBABILITY OF HEAD TAIL:</t>
  </si>
  <si>
    <t>PROBABILITY OF TAIL HEAD:</t>
  </si>
  <si>
    <t>PROBABILITY OF HEAD HEAD:</t>
  </si>
  <si>
    <t>PROBABILITY OF TAIL TAIL:</t>
  </si>
  <si>
    <t>COUNT OF TAIL TAIL:</t>
  </si>
  <si>
    <t>FOR DICE</t>
  </si>
  <si>
    <t>ROLLS OD DICE</t>
  </si>
  <si>
    <t>COUNT OF 6:</t>
  </si>
  <si>
    <t>PROBABILITY OF 6:</t>
  </si>
  <si>
    <t>COUNT OF 5:</t>
  </si>
  <si>
    <t>PROBABILITY OF 5:</t>
  </si>
  <si>
    <t>COUNT OF 4:</t>
  </si>
  <si>
    <t>PROBABILITY 0F 4:</t>
  </si>
  <si>
    <t>COUNT OF 3:</t>
  </si>
  <si>
    <t>PROBABILITY OF 3:</t>
  </si>
  <si>
    <t>COUNT OF 2:</t>
  </si>
  <si>
    <t>PROBABAILITY OF 2:</t>
  </si>
  <si>
    <t>COUNT OF 2=14</t>
  </si>
  <si>
    <t>COUNT OF 4=18</t>
  </si>
  <si>
    <t>EXPERIMENTAL PROBABILITY:</t>
  </si>
  <si>
    <t>P(AUB)=P(A)+P(B)</t>
  </si>
  <si>
    <t>COUNT OF 1:</t>
  </si>
  <si>
    <t>PROBABILITY OF 1:</t>
  </si>
  <si>
    <t>COUNT OF 1 = 13</t>
  </si>
  <si>
    <t xml:space="preserve">COUNT OF 5 = 20 </t>
  </si>
  <si>
    <t>EXPERIMENTAL PROB:</t>
  </si>
  <si>
    <t>RULE -1:</t>
  </si>
  <si>
    <t>RULE-2:</t>
  </si>
  <si>
    <t>GENDER</t>
  </si>
  <si>
    <t>MALE</t>
  </si>
  <si>
    <t>FEMALE</t>
  </si>
  <si>
    <t>PLAY</t>
  </si>
  <si>
    <t>YES</t>
  </si>
  <si>
    <t>NO</t>
  </si>
  <si>
    <t>COUNT OF MALES:</t>
  </si>
  <si>
    <t>COUNT OF YES:</t>
  </si>
  <si>
    <t>COUNT OF BOYS PLAYS CRICKET:</t>
  </si>
  <si>
    <t>PROBABILITY OF BOYS PLAYING CRICKET:</t>
  </si>
  <si>
    <t>P(AUB)=P(A)+P(B)-P(AnB)</t>
  </si>
  <si>
    <t>INDEPENDENT PROBABILITY</t>
  </si>
  <si>
    <t>BOYS PLAY CRICKET</t>
  </si>
  <si>
    <t>DICE</t>
  </si>
  <si>
    <t>PROBABILITY OF BOTH:</t>
  </si>
  <si>
    <t>CUMMULATIVE PROBABILITY</t>
  </si>
  <si>
    <t>STUDENT_MARKS</t>
  </si>
  <si>
    <t>PROBABILITY OF MARKS&gt;70</t>
  </si>
  <si>
    <t>COUNT MARKS &gt; 70</t>
  </si>
  <si>
    <t>SKEWNESS</t>
  </si>
  <si>
    <t xml:space="preserve">IF SKEWNESS IS &lt;0, THEN MEAN&lt;MEDIAN (LEFT SIDE AND NEGATIVELY SKEWED) OR IF SKEWNESS IS &gt;0, THEN MEAN&gt;MEDIAN(RIGHT SIDE AND POSITIVELY SKEWED) OR IF SKEWNESS IS =0, THEN IT IS SYMMETRIC. </t>
  </si>
  <si>
    <t>FORMULA: =SKEW(RANGE)</t>
  </si>
  <si>
    <t>KURTOSIS</t>
  </si>
  <si>
    <t>MARKS</t>
  </si>
  <si>
    <t>FORMULA: =KURT(VALUES)</t>
  </si>
  <si>
    <t xml:space="preserve">KURTOSIS MEASURES THE THICKNESS OF THE GRAPH. IT IS 3 TYPES:  IF IT IS &lt;0 THEN IT IS PLAY KURTIC(FLAT PEAK,LIGHT TAILS), IF IT IS &gt;0, THEN IT IS LEFTOKURTIC(HIGH PEAK, HEAVY TAIL). IF IT IS =O, THEN IT IS NORMAL  DISTRIBUTION. </t>
  </si>
  <si>
    <t>CONDITIONAL PROBABILITY</t>
  </si>
  <si>
    <t>BAYES THEOREM</t>
  </si>
  <si>
    <t>POISSON DISTRIBUTION</t>
  </si>
  <si>
    <t>No. of cells</t>
  </si>
  <si>
    <t>Mean</t>
  </si>
  <si>
    <t>Probability</t>
  </si>
  <si>
    <t>BIN</t>
  </si>
  <si>
    <t>FREQENCY</t>
  </si>
  <si>
    <t>BINOMIAL PROBABILITY</t>
  </si>
  <si>
    <t>BINOMIAL</t>
  </si>
  <si>
    <t>NO OF HEADS</t>
  </si>
  <si>
    <t>MEAN</t>
  </si>
  <si>
    <t>PROBABILITY</t>
  </si>
  <si>
    <t>CUMULATIVE</t>
  </si>
  <si>
    <t>X</t>
  </si>
  <si>
    <t>Y</t>
  </si>
  <si>
    <t>Yi</t>
  </si>
  <si>
    <t>n=7</t>
  </si>
  <si>
    <t>CO-VARIANCE</t>
  </si>
  <si>
    <t>AS IT IS SAMPLE VALUES, WE WILL TAKE N-1</t>
  </si>
  <si>
    <t>(Xi-X)</t>
  </si>
  <si>
    <t>(Yi-Y)</t>
  </si>
  <si>
    <t>PRODUCT</t>
  </si>
  <si>
    <t>SUMMATION</t>
  </si>
  <si>
    <t>CO-VARIANCE =SUMMATION ((Xi-X)(Yi-Y))/N</t>
  </si>
  <si>
    <t>UNIFORM DISTRIBUTION</t>
  </si>
  <si>
    <t>UNIFORM VALUES</t>
  </si>
  <si>
    <t>BETWEEN</t>
  </si>
  <si>
    <t>TOTAL POPULATION</t>
  </si>
  <si>
    <t>HEALTHY PEOPLE</t>
  </si>
  <si>
    <t>DISEASE PEOPLE</t>
  </si>
  <si>
    <t>TEST ACCURACY</t>
  </si>
  <si>
    <t>FALSE POSITIVE RATE</t>
  </si>
  <si>
    <t>PRIOR PROBABILITY</t>
  </si>
  <si>
    <t>HEALTHY</t>
  </si>
  <si>
    <t>ACCURACY OF DISEASED</t>
  </si>
  <si>
    <t>ACCURACY OF HEALTHY</t>
  </si>
  <si>
    <t>TOTAL</t>
  </si>
  <si>
    <t>Q.  IF A PERSON TEST RESULTS IS POSITIVE, WHAT IS THE PROBABILITY THAT THE PERSON ACTUALLY HAS THE DISEASE?</t>
  </si>
  <si>
    <t>Column1</t>
  </si>
  <si>
    <t>Column2</t>
  </si>
  <si>
    <t>Column3</t>
  </si>
  <si>
    <t>Column4</t>
  </si>
  <si>
    <t>TOTAL = 1000</t>
  </si>
  <si>
    <t>SAMPLE= 500</t>
  </si>
  <si>
    <t>CYBER</t>
  </si>
  <si>
    <t>DA</t>
  </si>
  <si>
    <t>JAVA</t>
  </si>
  <si>
    <t>PYTHON</t>
  </si>
  <si>
    <t>JOB</t>
  </si>
  <si>
    <t>DAY</t>
  </si>
  <si>
    <t>STOCK 1</t>
  </si>
  <si>
    <t>STOCK 2</t>
  </si>
  <si>
    <t>Xi-X</t>
  </si>
  <si>
    <t>Yi-Y</t>
  </si>
  <si>
    <t>CORRELATION</t>
  </si>
  <si>
    <t>MEAN(X)</t>
  </si>
  <si>
    <t>MEAN(Y)</t>
  </si>
  <si>
    <t>(Xi-X)^2</t>
  </si>
  <si>
    <t>(Yi-Y)^2</t>
  </si>
  <si>
    <t>CORRELATION =</t>
  </si>
  <si>
    <t>AGE-F</t>
  </si>
  <si>
    <t>AGE-M</t>
  </si>
  <si>
    <t>DUMMY</t>
  </si>
  <si>
    <t xml:space="preserve"> THE FEMALE POPULATION MEAN GE IS SIGNIFICANTLY &gt; 30</t>
  </si>
  <si>
    <t xml:space="preserve">TEST TO DETERMINE WHETHER </t>
  </si>
  <si>
    <t>t-Test: Paired Two Sample for Means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</si>
  <si>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</si>
  <si>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</si>
  <si>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</si>
  <si>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</si>
  <si>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</si>
  <si>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</si>
  <si>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</si>
  <si>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</si>
  <si>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</si>
  <si>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</si>
  <si>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Two-Sample Assuming Equal Variances</t>
  </si>
  <si>
    <t>Pooled Variance</t>
  </si>
  <si>
    <t>HYPOTHESIS:</t>
  </si>
  <si>
    <t>H0: MEAN&lt;=30</t>
  </si>
  <si>
    <t>H1: MEAN&gt;30</t>
  </si>
  <si>
    <t>SIGNIFICANT LEVEL:0.05</t>
  </si>
  <si>
    <t>IF P&gt;0.05, THEN ACCEPT NULL HYPOTHESIS OTHERWISE REJECT</t>
  </si>
  <si>
    <t>IF THE SAMPLE SPACE IS &lt; 30, WE DONOT USE Z-TEST</t>
  </si>
  <si>
    <t>A Z-TEST IS USED TO COMPARE THE MEAN OF TWO SAMPLES AND INFER WHETHER THEY ARE FROM SAME DISTRIBUTION OR NOT</t>
  </si>
  <si>
    <t>H0: THERE IS NO SIGNIFANCE DIFF BETWEEN THE MEAN AGE OF MALES AND FEMALES</t>
  </si>
  <si>
    <t>H1: THERE IS SIGNIFICANT DIFF BETWEEN MEAN AGE OF MALES &amp; FEMALES</t>
  </si>
  <si>
    <t>SIGNIFICANT LEVEL = 0.05</t>
  </si>
  <si>
    <t xml:space="preserve">IF P&gt;0.05..&gt; ACCEPT NULL HYP OTHERWISE REJECT NULL HYPO </t>
  </si>
  <si>
    <t>VAR 1</t>
  </si>
  <si>
    <t>VAR 2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</si>
  <si>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</si>
  <si>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</si>
  <si>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</si>
  <si>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</si>
  <si>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</si>
  <si>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</si>
  <si>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</si>
  <si>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SQRT</t>
  </si>
  <si>
    <t>SUM/N-1</t>
  </si>
  <si>
    <t>UN-EQUAL MEANS FROM DIFF LIKE SALRY OF IT AND ANOTHER FROM DIFF COMPANY</t>
  </si>
  <si>
    <t>EQUAL VARIANCES MEANS SAME LIKE GENDER IN SAME COMPANY</t>
  </si>
  <si>
    <t xml:space="preserve">SAMPLE INTERVAL = </t>
  </si>
  <si>
    <t xml:space="preserve">REQ SAMPLE = </t>
  </si>
  <si>
    <t>this above formula is suitable if we divide the groups equally.</t>
  </si>
  <si>
    <t>if we divide the groups unequally, i.e., if one group has 15, another has 30 like that, in this case we use if condition:</t>
  </si>
  <si>
    <t>Normal Probability</t>
  </si>
  <si>
    <t>Only 3</t>
  </si>
  <si>
    <t>1   2   3   4   5   6</t>
  </si>
  <si>
    <t xml:space="preserve">        ↑</t>
  </si>
  <si>
    <t>Cumulative Probability</t>
  </si>
  <si>
    <t>Everything up to 3</t>
  </si>
  <si>
    <t>↑   ↑   ↑</t>
  </si>
  <si>
    <r>
      <t xml:space="preserve">A </t>
    </r>
    <r>
      <rPr>
        <b/>
        <sz val="11"/>
        <color theme="1"/>
        <rFont val="Calibri"/>
        <family val="2"/>
        <scheme val="minor"/>
      </rPr>
      <t>conditional probability</t>
    </r>
    <r>
      <rPr>
        <sz val="11"/>
        <color theme="1"/>
        <rFont val="Calibri"/>
        <family val="2"/>
        <scheme val="minor"/>
      </rPr>
      <t xml:space="preserve"> is the probability of an event </t>
    </r>
    <r>
      <rPr>
        <b/>
        <sz val="11"/>
        <color theme="1"/>
        <rFont val="Calibri"/>
        <family val="2"/>
        <scheme val="minor"/>
      </rPr>
      <t>given that another event has already happened</t>
    </r>
    <r>
      <rPr>
        <sz val="11"/>
        <color theme="1"/>
        <rFont val="Calibri"/>
        <family val="2"/>
        <scheme val="minor"/>
      </rPr>
      <t>.</t>
    </r>
  </si>
  <si>
    <r>
      <t xml:space="preserve">The keyword is </t>
    </r>
    <r>
      <rPr>
        <b/>
        <sz val="11"/>
        <color theme="1"/>
        <rFont val="Calibri"/>
        <family val="2"/>
        <scheme val="minor"/>
      </rPr>
      <t>"given that"</t>
    </r>
    <r>
      <rPr>
        <sz val="11"/>
        <color theme="1"/>
        <rFont val="Calibri"/>
        <family val="2"/>
        <scheme val="minor"/>
      </rPr>
      <t>.</t>
    </r>
  </si>
  <si>
    <t>Formula</t>
  </si>
  <si>
    <t>P(A∣B)=P(A∩B)P(B)P(A|B)=\frac{P(A\cap B)}{P(B)}P(A∣B)=P(B)P(A∩B)​</t>
  </si>
  <si>
    <t>Read it as:</t>
  </si>
  <si>
    <t>Probability of A given B</t>
  </si>
  <si>
    <t>Symbol</t>
  </si>
  <si>
    <t>Meaning</t>
  </si>
  <si>
    <t>P</t>
  </si>
  <si>
    <t>First event</t>
  </si>
  <si>
    <t>Second event</t>
  </si>
  <si>
    <t>P(A|B)</t>
  </si>
  <si>
    <r>
      <t xml:space="preserve">Probability of A </t>
    </r>
    <r>
      <rPr>
        <b/>
        <sz val="11"/>
        <color theme="1"/>
        <rFont val="Calibri"/>
        <family val="2"/>
        <scheme val="minor"/>
      </rPr>
      <t>given that</t>
    </r>
    <r>
      <rPr>
        <sz val="11"/>
        <color theme="1"/>
        <rFont val="Calibri"/>
        <family val="2"/>
        <scheme val="minor"/>
      </rPr>
      <t xml:space="preserve"> B has already occurred</t>
    </r>
  </si>
  <si>
    <t>P(A ∩ B)</t>
  </si>
  <si>
    <t>Probability that both A and B occur together</t>
  </si>
  <si>
    <t>P(B)</t>
  </si>
  <si>
    <t>Probability of event B</t>
  </si>
  <si>
    <t>Gender</t>
  </si>
  <si>
    <t>Passed</t>
  </si>
  <si>
    <t>Number</t>
  </si>
  <si>
    <t>Male</t>
  </si>
  <si>
    <t>Yes</t>
  </si>
  <si>
    <t>No</t>
  </si>
  <si>
    <t>Female</t>
  </si>
  <si>
    <t>TOTAL = 100</t>
  </si>
  <si>
    <t>PROBABILITY OF GETTING A PASSED MALE STUDENT IS:</t>
  </si>
  <si>
    <t>TOTAL MALE=50</t>
  </si>
  <si>
    <t>PASSED MALE = 30</t>
  </si>
  <si>
    <t>PROBABILITY = 30/50</t>
  </si>
  <si>
    <r>
      <t xml:space="preserve">Conditional probability is the probability of an event occurring given that another event has already occurred. It is calculated using the formula P(A∥B)=P(A∩B)P(B)P(A\|B)=\frac{P(A\cap B)}{P(B)}P(A∥B)=P(B)P(A∩B)​. In Excel, it can be calculated using </t>
    </r>
    <r>
      <rPr>
        <sz val="10"/>
        <color theme="1"/>
        <rFont val="Arial Unicode MS"/>
      </rPr>
      <t>COUNTIFS</t>
    </r>
    <r>
      <rPr>
        <sz val="11"/>
        <color theme="1"/>
        <rFont val="Calibri"/>
        <family val="2"/>
        <scheme val="minor"/>
      </rPr>
      <t xml:space="preserve"> for the intersection of both conditions divided by </t>
    </r>
    <r>
      <rPr>
        <sz val="10"/>
        <color theme="1"/>
        <rFont val="Arial Unicode MS"/>
      </rPr>
      <t>COUNTIF</t>
    </r>
    <r>
      <rPr>
        <sz val="11"/>
        <color theme="1"/>
        <rFont val="Calibri"/>
        <family val="2"/>
        <scheme val="minor"/>
      </rPr>
      <t xml:space="preserve"> for the given condition.</t>
    </r>
  </si>
  <si>
    <t>.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</si>
  <si>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</si>
  <si>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</si>
  <si>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</si>
  <si>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</si>
  <si>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</si>
  <si>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</si>
  <si>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</si>
  <si>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</si>
  <si>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</si>
  <si>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</si>
  <si>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</si>
  <si>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</si>
  <si>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</si>
  <si>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</si>
  <si>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</si>
  <si>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</si>
  <si>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</si>
  <si>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</si>
  <si>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</si>
  <si>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</si>
  <si>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</si>
  <si>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</si>
  <si>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</si>
  <si>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</si>
  <si>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</si>
  <si>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</si>
  <si>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</si>
  <si>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</si>
  <si>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</si>
  <si>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</si>
  <si>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</si>
  <si>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DEPT</t>
  </si>
  <si>
    <t>EE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</si>
  <si>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</si>
  <si>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</si>
  <si>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</si>
  <si>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</si>
  <si>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</si>
  <si>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</si>
  <si>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</si>
  <si>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</si>
  <si>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P(A∣B)=(P(B∣A)×P(A)​)/P(B)</t>
  </si>
  <si>
    <t>What we want to find becomes a and what we have becomes b</t>
  </si>
  <si>
    <t>and easily, after given, we will have b.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</si>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</sst>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%"/>
    <numFmt numFmtId="165" formatCode="0.000%"/>
    <numFmt numFmtId="166" formatCode="0.0000%"/>
    <numFmt numFmtId="167" formatCode="0.0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9" fontId="2" fillId="0" borderId="0" xfId="0" applyNumberFormat="1" applyFon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0" fillId="0" borderId="3" xfId="0" applyBorder="1"/>
    <xf numFmtId="167" fontId="0" fillId="0" borderId="0" xfId="0" applyNumberForma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centerContinuous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9" fillId="0" borderId="4" xfId="0" applyFont="1" applyBorder="1" applyAlignment="1">
      <alignment horizontal="right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POISSON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POISSON!$B$5</c:f>
              <c:strCache>
                <c:ptCount val="1"/>
                <c:pt idx="0">
                  <c:v>No. of cells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POISSON!$B$6:$B$15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2-4512-B952-EB56607B07C0}"/>
            </c:ext>
          </c:extLst>
        </c:ser>
        <c:ser>
          <c:idx val="1"/>
          <c:order val="1"/>
          <c:tx>
            <c:strRef>
              <c:f>POISSON!$C$5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POISSON!$C$6:$C$15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2-4512-B952-EB56607B07C0}"/>
            </c:ext>
          </c:extLst>
        </c:ser>
        <c:ser>
          <c:idx val="2"/>
          <c:order val="2"/>
          <c:tx>
            <c:strRef>
              <c:f>POISSON!$D$5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POISSON!$D$6:$D$15</c:f>
              <c:numCache>
                <c:formatCode>General</c:formatCode>
                <c:ptCount val="10"/>
                <c:pt idx="0">
                  <c:v>7.3262555554936715E-2</c:v>
                </c:pt>
                <c:pt idx="1">
                  <c:v>0.14652511110987346</c:v>
                </c:pt>
                <c:pt idx="2">
                  <c:v>0.19536681481316462</c:v>
                </c:pt>
                <c:pt idx="3">
                  <c:v>0.19536681481316462</c:v>
                </c:pt>
                <c:pt idx="4">
                  <c:v>0.1562934518505317</c:v>
                </c:pt>
                <c:pt idx="5">
                  <c:v>0.10419563456702115</c:v>
                </c:pt>
                <c:pt idx="6">
                  <c:v>5.9540362609726373E-2</c:v>
                </c:pt>
                <c:pt idx="7">
                  <c:v>2.9770181304863183E-2</c:v>
                </c:pt>
                <c:pt idx="8">
                  <c:v>1.3231191691050297E-2</c:v>
                </c:pt>
                <c:pt idx="9">
                  <c:v>5.2924766764201169E-3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02-4512-B952-EB56607B0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336319"/>
        <c:axId val="326338239"/>
      </c:barChart>
      <c:catAx>
        <c:axId val="326336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38239"/>
        <c:crosses val="autoZero"/>
        <c:auto val="1"/>
        <c:lblAlgn val="ctr"/>
        <c:lblOffset val="100"/>
        <c:noMultiLvlLbl val="0"/>
      </c:catAx>
      <c:valAx>
        <c:axId val="3263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3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BINOMIAL!$D$3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BINOMIAL!$C$4:$C$14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BINOMIAL!$D$4:$D$14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6-45EF-B519-F27484F61847}"/>
            </c:ext>
          </c:extLst>
        </c:ser>
        <c:ser>
          <c:idx val="1"/>
          <c:order val="1"/>
          <c:tx>
            <c:strRef>
              <c:f>BINOMIAL!$E$3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BINOMIAL!$C$4:$C$14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BINOMIAL!$E$4:$E$14</c:f>
              <c:numCache>
                <c:formatCode>General</c:formatCode>
                <c:ptCount val="1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86-45EF-B519-F27484F61847}"/>
            </c:ext>
          </c:extLst>
        </c:ser>
        <c:ser>
          <c:idx val="2"/>
          <c:order val="2"/>
          <c:tx>
            <c:strRef>
              <c:f>BINOMIAL!$F$3</c:f>
              <c:strCache>
                <c:ptCount val="1"/>
                <c:pt idx="0">
                  <c:v>BINOMIAL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BINOMIAL!$C$4:$C$14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BINOMIAL!$F$4:$F$14</c:f>
              <c:numCache>
                <c:formatCode>General</c:formatCode>
                <c:ptCount val="11"/>
                <c:pt idx="0">
                  <c:v>9.765625E-4</c:v>
                </c:pt>
                <c:pt idx="1">
                  <c:v>9.7656250000000017E-3</c:v>
                </c:pt>
                <c:pt idx="2">
                  <c:v>4.3945312499999972E-2</c:v>
                </c:pt>
                <c:pt idx="3">
                  <c:v>0.11718750000000003</c:v>
                </c:pt>
                <c:pt idx="4">
                  <c:v>0.20507812500000006</c:v>
                </c:pt>
                <c:pt idx="5">
                  <c:v>0.24609375000000008</c:v>
                </c:pt>
                <c:pt idx="6">
                  <c:v>0.20507812500000006</c:v>
                </c:pt>
                <c:pt idx="7">
                  <c:v>0.11718750000000003</c:v>
                </c:pt>
                <c:pt idx="8">
                  <c:v>4.3945312499999986E-2</c:v>
                </c:pt>
                <c:pt idx="9">
                  <c:v>9.7656250000000017E-3</c:v>
                </c:pt>
                <c:pt idx="10">
                  <c:v>9.765625E-4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86-45EF-B519-F27484F61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298879"/>
        <c:axId val="326297439"/>
      </c:barChart>
      <c:catAx>
        <c:axId val="3262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97439"/>
        <c:crosses val="autoZero"/>
        <c:auto val="1"/>
        <c:lblAlgn val="ctr"/>
        <c:lblOffset val="100"/>
        <c:noMultiLvlLbl val="0"/>
      </c:catAx>
      <c:valAx>
        <c:axId val="32629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 '!$D$3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'UNIFORM '!$D$4:$D$14</c:f>
              <c:numCache>
                <c:formatCode>General</c:formatCode>
                <c:ptCount val="1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5-4AFA-8EE4-528A66131AF1}"/>
            </c:ext>
          </c:extLst>
        </c:ser>
        <c:ser>
          <c:idx val="1"/>
          <c:order val="1"/>
          <c:tx>
            <c:strRef>
              <c:f>'UNIFORM '!$E$3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'UNIFORM '!$E$4:$E$14</c:f>
              <c:numCache>
                <c:formatCode>General</c:formatCode>
                <c:ptCount val="1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5-4AFA-8EE4-528A66131AF1}"/>
            </c:ext>
          </c:extLst>
        </c:ser>
        <c:ser>
          <c:idx val="2"/>
          <c:order val="2"/>
          <c:tx>
            <c:strRef>
              <c:f>'UNIFORM '!$F$3</c:f>
              <c:strCache>
                <c:ptCount val="1"/>
                <c:pt idx="0">
                  <c:v>UNIFORM VALUES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'UNIFORM '!$F$4:$F$14</c:f>
              <c:numCache>
                <c:formatCode>General</c:formatCode>
                <c:ptCount val="11"/>
                <c:pt idx="0">
                  <c:v>60.961798914382456</c:v>
                </c:pt>
                <c:pt idx="1">
                  <c:v>60.923759906060212</c:v>
                </c:pt>
                <c:pt idx="2">
                  <c:v>19.770558693048052</c:v>
                </c:pt>
                <c:pt idx="3">
                  <c:v>72.995712510003472</c:v>
                </c:pt>
                <c:pt idx="4">
                  <c:v>86.271157481211389</c:v>
                </c:pt>
                <c:pt idx="5">
                  <c:v>92.974267312843438</c:v>
                </c:pt>
                <c:pt idx="6">
                  <c:v>12.95656979239293</c:v>
                </c:pt>
                <c:pt idx="7">
                  <c:v>42.219859856765375</c:v>
                </c:pt>
                <c:pt idx="8">
                  <c:v>21.301048165957027</c:v>
                </c:pt>
                <c:pt idx="9">
                  <c:v>68.169936232361877</c:v>
                </c:pt>
                <c:pt idx="10">
                  <c:v>42.778540054659757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5-4AFA-8EE4-528A66131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234559"/>
        <c:axId val="326235519"/>
      </c:barChart>
      <c:catAx>
        <c:axId val="326234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35519"/>
        <c:crosses val="autoZero"/>
        <c:auto val="1"/>
        <c:lblAlgn val="ctr"/>
        <c:lblOffset val="100"/>
        <c:noMultiLvlLbl val="0"/>
      </c:catAx>
      <c:valAx>
        <c:axId val="3262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3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5</xdr:row>
      <xdr:rowOff>85725</xdr:rowOff>
    </xdr:from>
    <xdr:to>
      <xdr:col>10</xdr:col>
      <xdr:colOff>371475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EEC11-63BB-3895-3010-C9E8B0C34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2</xdr:row>
      <xdr:rowOff>161925</xdr:rowOff>
    </xdr:from>
    <xdr:to>
      <xdr:col>13</xdr:col>
      <xdr:colOff>314325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6744D-53E4-B8C5-F1A3-98D0138FA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2</xdr:row>
      <xdr:rowOff>104775</xdr:rowOff>
    </xdr:from>
    <xdr:to>
      <xdr:col>13</xdr:col>
      <xdr:colOff>180975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4117E-38AB-42FE-136A-3EF0C4993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0EB11-2E21-4C75-A89B-27E7F90B8988}" name="Table1" displayName="Table1" ref="E5:F16" totalsRowShown="0">
  <autoFilter ref="E5:F16" xr:uid="{38C0EB11-2E21-4C75-A89B-27E7F90B8988}"/>
  <tableColumns count="2">
    <tableColumn id="1" xr3:uid="{0E9FC71E-A793-4174-8E16-306E820E826E}" name="TOTAL POPULATION"/>
    <tableColumn id="2" xr3:uid="{2189A23B-464D-4A1B-AA56-126E868D120A}" name="1000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2BEAD5-2ADE-432A-BADB-10B903543BB7}" name="Table5" displayName="Table5" ref="B5:D15" totalsRowShown="0">
  <autoFilter ref="B5:D15" xr:uid="{F02BEAD5-2ADE-432A-BADB-10B903543BB7}"/>
  <tableColumns count="3">
    <tableColumn id="1" xr3:uid="{9F4BE5BA-123F-46C1-B0D9-13B8A9AAC9CF}" name="No. of cells"/>
    <tableColumn id="2" xr3:uid="{EDFF0FFC-72F0-4F68-B625-8439A316E535}" name="Mean"/>
    <tableColumn id="3" xr3:uid="{C30767B4-694A-4C6F-9D41-0F40109242C3}" name="Probability">
      <calculatedColumnFormula>_xlfn.POISSON.DIST(B6,C6,FALSE)</calculatedColumnFormula>
    </tableColumn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6C1A52-2DD6-400A-95C3-BA9FB5EF6775}" name="Table4" displayName="Table4" ref="C3:G14" totalsRowShown="0">
  <autoFilter ref="C3:G14" xr:uid="{026C1A52-2DD6-400A-95C3-BA9FB5EF6775}"/>
  <tableColumns count="5">
    <tableColumn id="1" xr3:uid="{1ED68A49-1E23-45FA-A7BE-96861AEDB481}" name="NO OF HEADS"/>
    <tableColumn id="2" xr3:uid="{C0AB581E-94F4-44D6-9983-EC8059C3D3CB}" name="MEAN"/>
    <tableColumn id="3" xr3:uid="{D4F1ACFE-882C-4913-BD2C-5AD00E50C2B9}" name="PROBABILITY"/>
    <tableColumn id="4" xr3:uid="{067EDFDC-C379-4A33-A314-B59AE63A0BEA}" name="BINOMIAL">
      <calculatedColumnFormula>_xlfn.BINOM.DIST(C4,D4,E4,FALSE)</calculatedColumnFormula>
    </tableColumn>
    <tableColumn id="5" xr3:uid="{C2BAF25E-AF57-407A-83DD-DC2F243E180D}" name="CUMULATIVE">
      <calculatedColumnFormula>_xlfn.BINOM.DIST(C4,D4,E4,TRUE)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1CEC94-27CB-487B-B32A-3F5DBA22D505}" name="Table3" displayName="Table3" ref="D2:G14" totalsRowShown="0">
  <autoFilter ref="D2:G14" xr:uid="{991CEC94-27CB-487B-B32A-3F5DBA22D505}"/>
  <tableColumns count="4">
    <tableColumn id="1" xr3:uid="{7B15D346-8339-40F9-9358-10F4A4E6AF27}" name="Column1"/>
    <tableColumn id="2" xr3:uid="{3F657CBE-DAD6-4DC2-8B4E-924696A13519}" name="Column2"/>
    <tableColumn id="3" xr3:uid="{E7B14A46-F185-49FD-9C44-24D4F5404412}" name="Column3">
      <calculatedColumnFormula>RAND()*(100-10)+10</calculatedColumnFormula>
    </tableColumn>
    <tableColumn id="4" xr3:uid="{23A9EE9D-89B7-4788-99B7-9DE0C156C1BE}" name="Column4">
      <calculatedColumnFormula>RANDBETWEEN(0,10)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B6F17-BE9C-40DD-8D0D-BFE3920EDF57}" name="Table2" displayName="Table2" ref="B3:E10" totalsRowShown="0" headerRowDxfId="0">
  <autoFilter ref="B3:E10" xr:uid="{F1CB6F17-BE9C-40DD-8D0D-BFE3920EDF57}"/>
  <tableColumns count="4">
    <tableColumn id="1" xr3:uid="{12D241B0-4EB7-4E6E-B95A-35BC9FFA60CA}" name="Xi"/>
    <tableColumn id="2" xr3:uid="{3A26D2AA-08F8-4C05-9C6D-4C0B122ED5A4}" name="Yi"/>
    <tableColumn id="3" xr3:uid="{CF217F6B-2658-49CD-9A04-05D515A04F15}" name="X"/>
    <tableColumn id="4" xr3:uid="{11E458C6-7474-4309-ABDA-ACF28A0B8646}" name="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CB35-4228-400C-A34A-316A2C97C311}">
  <dimension ref="A1:U20641"/>
  <sheetViews>
    <sheetView topLeftCell="J1" workbookViewId="0">
      <selection activeCell="R16" sqref="R16"/>
    </sheetView>
  </sheetViews>
  <sheetFormatPr defaultRowHeight="15"/>
  <cols>
    <col min="1" max="1" width="11.28515625" customWidth="1"/>
    <col min="2" max="2" width="11.7109375" customWidth="1"/>
    <col min="3" max="3" width="20.85546875" customWidth="1"/>
    <col min="4" max="4" width="13" customWidth="1"/>
    <col min="5" max="5" width="15" customWidth="1"/>
    <col min="6" max="6" width="10.42578125" customWidth="1"/>
    <col min="7" max="7" width="11.28515625" customWidth="1"/>
    <col min="8" max="8" width="15.5703125" customWidth="1"/>
    <col min="9" max="9" width="20.7109375" customWidth="1"/>
    <col min="10" max="10" width="16.140625" customWidth="1"/>
    <col min="15" max="15" width="17.28515625" customWidth="1"/>
    <col min="24" max="24" width="9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1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21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21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21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  <c r="L5" t="s">
        <v>15</v>
      </c>
      <c r="O5" t="s">
        <v>24</v>
      </c>
    </row>
    <row r="6" spans="1:21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  <c r="L6">
        <f>MAX(F:F)</f>
        <v>35682</v>
      </c>
    </row>
    <row r="7" spans="1:21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  <c r="L7" t="s">
        <v>16</v>
      </c>
      <c r="O7" t="s">
        <v>25</v>
      </c>
      <c r="P7" t="s">
        <v>27</v>
      </c>
      <c r="Q7" t="s">
        <v>26</v>
      </c>
      <c r="R7" t="s">
        <v>28</v>
      </c>
      <c r="S7" t="s">
        <v>29</v>
      </c>
      <c r="U7" t="s">
        <v>30</v>
      </c>
    </row>
    <row r="8" spans="1:21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  <c r="L8">
        <f>MIN(F:F)</f>
        <v>3</v>
      </c>
      <c r="O8">
        <v>30</v>
      </c>
      <c r="P8">
        <v>40</v>
      </c>
      <c r="Q8">
        <f>(O8-P8)</f>
        <v>-10</v>
      </c>
      <c r="R8">
        <v>100</v>
      </c>
      <c r="S8">
        <f>100/6</f>
        <v>16.666666666666668</v>
      </c>
      <c r="U8">
        <f>R8/5</f>
        <v>20</v>
      </c>
    </row>
    <row r="9" spans="1:21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  <c r="L9" t="s">
        <v>17</v>
      </c>
      <c r="O9">
        <v>25</v>
      </c>
      <c r="Q9">
        <f>O9-P8</f>
        <v>-15</v>
      </c>
      <c r="R9">
        <v>225</v>
      </c>
      <c r="S9">
        <f>225/6</f>
        <v>37.5</v>
      </c>
      <c r="U9">
        <f>225/5</f>
        <v>45</v>
      </c>
    </row>
    <row r="10" spans="1:21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  <c r="L10">
        <f>MAX(F:F)-MIN(F:F)</f>
        <v>35679</v>
      </c>
      <c r="O10">
        <v>38</v>
      </c>
      <c r="Q10">
        <f>O10-P8</f>
        <v>-2</v>
      </c>
      <c r="R10">
        <v>4</v>
      </c>
      <c r="S10">
        <f>4/6</f>
        <v>0.66666666666666663</v>
      </c>
      <c r="U10">
        <f>4/5</f>
        <v>0.8</v>
      </c>
    </row>
    <row r="11" spans="1:21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  <c r="L11" t="s">
        <v>18</v>
      </c>
      <c r="O11">
        <v>56</v>
      </c>
      <c r="Q11">
        <f>O12-P8</f>
        <v>5</v>
      </c>
      <c r="R11">
        <v>25</v>
      </c>
      <c r="S11">
        <f>25/6</f>
        <v>4.166666666666667</v>
      </c>
      <c r="U11">
        <f>5/5</f>
        <v>1</v>
      </c>
    </row>
    <row r="12" spans="1:21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  <c r="L12" t="s">
        <v>19</v>
      </c>
      <c r="M12">
        <f>_xlfn.QUARTILE.EXC(F:F,3)</f>
        <v>1725</v>
      </c>
      <c r="O12">
        <v>45</v>
      </c>
      <c r="Q12">
        <f>O12-P8</f>
        <v>5</v>
      </c>
      <c r="R12">
        <v>25</v>
      </c>
      <c r="S12">
        <f>25/6</f>
        <v>4.166666666666667</v>
      </c>
      <c r="U12">
        <f>5/5</f>
        <v>1</v>
      </c>
    </row>
    <row r="13" spans="1:21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  <c r="L13" t="s">
        <v>20</v>
      </c>
      <c r="M13">
        <f>_xlfn.QUARTILE.EXC(F:F,1)</f>
        <v>787</v>
      </c>
      <c r="O13">
        <v>50</v>
      </c>
      <c r="Q13">
        <f>O13-P8</f>
        <v>10</v>
      </c>
      <c r="R13">
        <v>100</v>
      </c>
      <c r="S13">
        <f>100/6</f>
        <v>16.666666666666668</v>
      </c>
      <c r="U13">
        <f>Q13/5</f>
        <v>2</v>
      </c>
    </row>
    <row r="14" spans="1:21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  <c r="L14" t="s">
        <v>21</v>
      </c>
      <c r="M14" t="s">
        <v>22</v>
      </c>
    </row>
    <row r="15" spans="1:21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  <c r="L15">
        <f>M12-M13</f>
        <v>938</v>
      </c>
    </row>
    <row r="16" spans="1:21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  <c r="L16" t="s">
        <v>19</v>
      </c>
      <c r="M16">
        <f>_xlfn.QUARTILE.INC(F:F,3)</f>
        <v>1725</v>
      </c>
    </row>
    <row r="17" spans="1:15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  <c r="L17" t="s">
        <v>20</v>
      </c>
      <c r="M17">
        <f>_xlfn.QUARTILE.INC(F:F,1)</f>
        <v>787</v>
      </c>
      <c r="O17" t="s">
        <v>31</v>
      </c>
    </row>
    <row r="18" spans="1:15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  <c r="L18" t="s">
        <v>23</v>
      </c>
      <c r="O18">
        <f>COUNT(H:H)</f>
        <v>20640</v>
      </c>
    </row>
    <row r="19" spans="1:15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  <c r="L19">
        <f>M16-M17</f>
        <v>938</v>
      </c>
    </row>
    <row r="20" spans="1:15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5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5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5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5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5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5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5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5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5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5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5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5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7CAE-506C-4E60-BB6D-A5DEDCEBD40E}">
  <dimension ref="A1:F101"/>
  <sheetViews>
    <sheetView workbookViewId="0">
      <selection activeCell="D1" sqref="D1"/>
    </sheetView>
  </sheetViews>
  <sheetFormatPr defaultRowHeight="15"/>
  <cols>
    <col min="1" max="1" width="11.42578125" customWidth="1"/>
    <col min="2" max="2" width="15.28515625" customWidth="1"/>
    <col min="5" max="5" width="12.28515625" customWidth="1"/>
  </cols>
  <sheetData>
    <row r="1" spans="1:6" ht="25.5" customHeight="1">
      <c r="A1" s="1" t="s">
        <v>32</v>
      </c>
      <c r="B1" s="1" t="s">
        <v>33</v>
      </c>
      <c r="C1" s="1" t="s">
        <v>34</v>
      </c>
      <c r="D1" s="1" t="s">
        <v>140</v>
      </c>
      <c r="F1" s="1"/>
    </row>
    <row r="2" spans="1:6">
      <c r="A2" s="2">
        <v>1</v>
      </c>
      <c r="B2" s="2" t="s">
        <v>35</v>
      </c>
      <c r="C2" s="2" t="s">
        <v>36</v>
      </c>
      <c r="D2">
        <v>2.3669340847003451E-3</v>
      </c>
    </row>
    <row r="3" spans="1:6">
      <c r="A3" s="2">
        <v>2</v>
      </c>
      <c r="B3" s="2" t="s">
        <v>37</v>
      </c>
      <c r="C3" s="2" t="s">
        <v>38</v>
      </c>
      <c r="D3">
        <v>2.0112734006618949E-2</v>
      </c>
    </row>
    <row r="4" spans="1:6">
      <c r="A4" s="2">
        <v>3</v>
      </c>
      <c r="B4" s="2" t="s">
        <v>39</v>
      </c>
      <c r="C4" s="2" t="s">
        <v>40</v>
      </c>
      <c r="D4">
        <v>2.1219731810150133E-2</v>
      </c>
    </row>
    <row r="5" spans="1:6">
      <c r="A5" s="2">
        <v>4</v>
      </c>
      <c r="B5" s="2" t="s">
        <v>41</v>
      </c>
      <c r="C5" s="2" t="s">
        <v>36</v>
      </c>
      <c r="D5">
        <v>2.888208244445345E-2</v>
      </c>
    </row>
    <row r="6" spans="1:6">
      <c r="A6" s="2">
        <v>5</v>
      </c>
      <c r="B6" s="2" t="s">
        <v>42</v>
      </c>
      <c r="C6" s="2" t="s">
        <v>43</v>
      </c>
      <c r="D6">
        <v>3.8218925639239121E-2</v>
      </c>
    </row>
    <row r="7" spans="1:6">
      <c r="A7" s="2">
        <v>6</v>
      </c>
      <c r="B7" s="2" t="s">
        <v>44</v>
      </c>
      <c r="C7" s="2" t="s">
        <v>45</v>
      </c>
      <c r="D7">
        <v>3.9731652082436897E-2</v>
      </c>
    </row>
    <row r="8" spans="1:6">
      <c r="A8" s="2">
        <v>7</v>
      </c>
      <c r="B8" s="2" t="s">
        <v>46</v>
      </c>
      <c r="C8" s="2" t="s">
        <v>36</v>
      </c>
      <c r="D8">
        <v>6.9692215444988395E-2</v>
      </c>
    </row>
    <row r="9" spans="1:6">
      <c r="A9" s="2">
        <v>8</v>
      </c>
      <c r="B9" s="2" t="s">
        <v>47</v>
      </c>
      <c r="C9" s="2" t="s">
        <v>38</v>
      </c>
      <c r="D9">
        <v>7.0031990890389251E-2</v>
      </c>
    </row>
    <row r="10" spans="1:6">
      <c r="A10" s="2">
        <v>9</v>
      </c>
      <c r="B10" s="2" t="s">
        <v>48</v>
      </c>
      <c r="C10" s="2" t="s">
        <v>40</v>
      </c>
      <c r="D10">
        <v>7.6922154449883998E-2</v>
      </c>
    </row>
    <row r="11" spans="1:6">
      <c r="A11" s="2">
        <v>10</v>
      </c>
      <c r="B11" s="2" t="s">
        <v>49</v>
      </c>
      <c r="C11" s="2" t="s">
        <v>36</v>
      </c>
      <c r="D11">
        <v>8.8056219683956716E-2</v>
      </c>
    </row>
    <row r="12" spans="1:6">
      <c r="A12" s="2">
        <v>11</v>
      </c>
      <c r="B12" s="2" t="s">
        <v>50</v>
      </c>
      <c r="C12" s="2" t="s">
        <v>43</v>
      </c>
      <c r="D12">
        <v>9.5743527567657249E-2</v>
      </c>
    </row>
    <row r="13" spans="1:6">
      <c r="A13" s="2">
        <v>12</v>
      </c>
      <c r="B13" s="2" t="s">
        <v>51</v>
      </c>
      <c r="C13" s="2" t="s">
        <v>45</v>
      </c>
      <c r="D13">
        <v>0.11154525380994618</v>
      </c>
    </row>
    <row r="14" spans="1:6">
      <c r="A14" s="2">
        <v>13</v>
      </c>
      <c r="B14" s="2" t="s">
        <v>52</v>
      </c>
      <c r="C14" s="2" t="s">
        <v>36</v>
      </c>
      <c r="D14">
        <v>0.11560590571971585</v>
      </c>
    </row>
    <row r="15" spans="1:6">
      <c r="A15" s="2">
        <v>14</v>
      </c>
      <c r="B15" s="2" t="s">
        <v>53</v>
      </c>
      <c r="C15" s="2" t="s">
        <v>38</v>
      </c>
      <c r="D15">
        <v>0.12779656436951636</v>
      </c>
    </row>
    <row r="16" spans="1:6">
      <c r="A16" s="2">
        <v>15</v>
      </c>
      <c r="B16" s="2" t="s">
        <v>54</v>
      </c>
      <c r="C16" s="2" t="s">
        <v>40</v>
      </c>
      <c r="D16">
        <v>0.12973804768360664</v>
      </c>
    </row>
    <row r="17" spans="1:4">
      <c r="A17" s="2">
        <v>16</v>
      </c>
      <c r="B17" s="2" t="s">
        <v>55</v>
      </c>
      <c r="C17" s="2" t="s">
        <v>36</v>
      </c>
      <c r="D17">
        <v>0.13261842794181855</v>
      </c>
    </row>
    <row r="18" spans="1:4">
      <c r="A18" s="2">
        <v>17</v>
      </c>
      <c r="B18" s="2" t="s">
        <v>56</v>
      </c>
      <c r="C18" s="2" t="s">
        <v>43</v>
      </c>
      <c r="D18">
        <v>0.13263335650994024</v>
      </c>
    </row>
    <row r="19" spans="1:4">
      <c r="A19" s="2">
        <v>18</v>
      </c>
      <c r="B19" s="2" t="s">
        <v>57</v>
      </c>
      <c r="C19" s="2" t="s">
        <v>45</v>
      </c>
      <c r="D19">
        <v>0.16324982940143673</v>
      </c>
    </row>
    <row r="20" spans="1:4">
      <c r="A20" s="2">
        <v>19</v>
      </c>
      <c r="B20" s="2" t="s">
        <v>58</v>
      </c>
      <c r="C20" s="2" t="s">
        <v>36</v>
      </c>
      <c r="D20">
        <v>0.18460737227520818</v>
      </c>
    </row>
    <row r="21" spans="1:4">
      <c r="A21" s="2">
        <v>20</v>
      </c>
      <c r="B21" s="2" t="s">
        <v>59</v>
      </c>
      <c r="C21" s="2" t="s">
        <v>38</v>
      </c>
      <c r="D21">
        <v>0.18587129329036178</v>
      </c>
    </row>
    <row r="22" spans="1:4">
      <c r="A22" s="2">
        <v>21</v>
      </c>
      <c r="B22" s="2" t="s">
        <v>60</v>
      </c>
      <c r="C22" s="2" t="s">
        <v>40</v>
      </c>
      <c r="D22">
        <v>0.19037269472301155</v>
      </c>
    </row>
    <row r="23" spans="1:4">
      <c r="A23" s="2">
        <v>22</v>
      </c>
      <c r="B23" s="2" t="s">
        <v>61</v>
      </c>
      <c r="C23" s="2" t="s">
        <v>36</v>
      </c>
      <c r="D23">
        <v>0.19082183516754792</v>
      </c>
    </row>
    <row r="24" spans="1:4">
      <c r="A24" s="2">
        <v>23</v>
      </c>
      <c r="B24" s="2" t="s">
        <v>62</v>
      </c>
      <c r="C24" s="2" t="s">
        <v>43</v>
      </c>
      <c r="D24">
        <v>0.2009728648394189</v>
      </c>
    </row>
    <row r="25" spans="1:4">
      <c r="A25" s="2">
        <v>24</v>
      </c>
      <c r="B25" s="2" t="s">
        <v>63</v>
      </c>
      <c r="C25" s="2" t="s">
        <v>45</v>
      </c>
      <c r="D25">
        <v>0.20907126906540285</v>
      </c>
    </row>
    <row r="26" spans="1:4">
      <c r="A26" s="2">
        <v>25</v>
      </c>
      <c r="B26" s="2" t="s">
        <v>64</v>
      </c>
      <c r="C26" s="2" t="s">
        <v>36</v>
      </c>
      <c r="D26">
        <v>0.21874489113004258</v>
      </c>
    </row>
    <row r="27" spans="1:4">
      <c r="A27" s="2">
        <v>26</v>
      </c>
      <c r="B27" s="2" t="s">
        <v>65</v>
      </c>
      <c r="C27" s="2" t="s">
        <v>38</v>
      </c>
      <c r="D27">
        <v>0.22506054837482159</v>
      </c>
    </row>
    <row r="28" spans="1:4">
      <c r="A28" s="2">
        <v>27</v>
      </c>
      <c r="B28" s="2" t="s">
        <v>66</v>
      </c>
      <c r="C28" s="2" t="s">
        <v>40</v>
      </c>
      <c r="D28">
        <v>0.22516103301028068</v>
      </c>
    </row>
    <row r="29" spans="1:4">
      <c r="A29" s="2">
        <v>28</v>
      </c>
      <c r="B29" s="2" t="s">
        <v>67</v>
      </c>
      <c r="C29" s="2" t="s">
        <v>36</v>
      </c>
      <c r="D29">
        <v>0.23904471311343556</v>
      </c>
    </row>
    <row r="30" spans="1:4">
      <c r="A30" s="2">
        <v>29</v>
      </c>
      <c r="B30" s="2" t="s">
        <v>68</v>
      </c>
      <c r="C30" s="2" t="s">
        <v>43</v>
      </c>
      <c r="D30">
        <v>0.2494971850286487</v>
      </c>
    </row>
    <row r="31" spans="1:4">
      <c r="A31" s="2">
        <v>30</v>
      </c>
      <c r="B31" s="2" t="s">
        <v>69</v>
      </c>
      <c r="C31" s="2" t="s">
        <v>45</v>
      </c>
      <c r="D31">
        <v>0.25395466047208015</v>
      </c>
    </row>
    <row r="32" spans="1:4">
      <c r="A32" s="2">
        <v>31</v>
      </c>
      <c r="B32" s="2" t="s">
        <v>70</v>
      </c>
      <c r="C32" s="2" t="s">
        <v>36</v>
      </c>
      <c r="D32">
        <v>0.26160017081613463</v>
      </c>
    </row>
    <row r="33" spans="1:4">
      <c r="A33" s="2">
        <v>32</v>
      </c>
      <c r="B33" s="2" t="s">
        <v>71</v>
      </c>
      <c r="C33" s="2" t="s">
        <v>38</v>
      </c>
      <c r="D33">
        <v>0.27762427158349257</v>
      </c>
    </row>
    <row r="34" spans="1:4">
      <c r="A34" s="2">
        <v>33</v>
      </c>
      <c r="B34" s="2" t="s">
        <v>72</v>
      </c>
      <c r="C34" s="2" t="s">
        <v>40</v>
      </c>
      <c r="D34">
        <v>0.29077350462420004</v>
      </c>
    </row>
    <row r="35" spans="1:4">
      <c r="A35" s="2">
        <v>34</v>
      </c>
      <c r="B35" s="2" t="s">
        <v>73</v>
      </c>
      <c r="C35" s="2" t="s">
        <v>36</v>
      </c>
      <c r="D35">
        <v>0.29082010298824645</v>
      </c>
    </row>
    <row r="36" spans="1:4">
      <c r="A36" s="2">
        <v>35</v>
      </c>
      <c r="B36" s="2" t="s">
        <v>74</v>
      </c>
      <c r="C36" s="2" t="s">
        <v>43</v>
      </c>
      <c r="D36">
        <v>0.29793573237828352</v>
      </c>
    </row>
    <row r="37" spans="1:4">
      <c r="A37" s="2">
        <v>36</v>
      </c>
      <c r="B37" s="2" t="s">
        <v>75</v>
      </c>
      <c r="C37" s="2" t="s">
        <v>45</v>
      </c>
      <c r="D37">
        <v>0.31723444721491678</v>
      </c>
    </row>
    <row r="38" spans="1:4">
      <c r="A38" s="2">
        <v>37</v>
      </c>
      <c r="B38" s="2" t="s">
        <v>76</v>
      </c>
      <c r="C38" s="2" t="s">
        <v>36</v>
      </c>
      <c r="D38">
        <v>0.32334190991373946</v>
      </c>
    </row>
    <row r="39" spans="1:4">
      <c r="A39" s="2">
        <v>38</v>
      </c>
      <c r="B39" s="2" t="s">
        <v>77</v>
      </c>
      <c r="C39" s="2" t="s">
        <v>38</v>
      </c>
      <c r="D39">
        <v>0.3353328192588968</v>
      </c>
    </row>
    <row r="40" spans="1:4">
      <c r="A40" s="2">
        <v>39</v>
      </c>
      <c r="B40" s="2" t="s">
        <v>78</v>
      </c>
      <c r="C40" s="2" t="s">
        <v>40</v>
      </c>
      <c r="D40">
        <v>0.34339657123128153</v>
      </c>
    </row>
    <row r="41" spans="1:4">
      <c r="A41" s="2">
        <v>40</v>
      </c>
      <c r="B41" s="2" t="s">
        <v>79</v>
      </c>
      <c r="C41" s="2" t="s">
        <v>36</v>
      </c>
      <c r="D41">
        <v>0.35041690148413007</v>
      </c>
    </row>
    <row r="42" spans="1:4">
      <c r="A42" s="2">
        <v>41</v>
      </c>
      <c r="B42" s="2" t="s">
        <v>80</v>
      </c>
      <c r="C42" s="2" t="s">
        <v>43</v>
      </c>
      <c r="D42">
        <v>0.35149383046358085</v>
      </c>
    </row>
    <row r="43" spans="1:4">
      <c r="A43" s="2">
        <v>42</v>
      </c>
      <c r="B43" s="2" t="s">
        <v>81</v>
      </c>
      <c r="C43" s="2" t="s">
        <v>45</v>
      </c>
      <c r="D43">
        <v>0.35238015449587656</v>
      </c>
    </row>
    <row r="44" spans="1:4">
      <c r="A44" s="2">
        <v>43</v>
      </c>
      <c r="B44" s="2" t="s">
        <v>82</v>
      </c>
      <c r="C44" s="2" t="s">
        <v>36</v>
      </c>
      <c r="D44">
        <v>0.37038126671210592</v>
      </c>
    </row>
    <row r="45" spans="1:4">
      <c r="A45" s="2">
        <v>44</v>
      </c>
      <c r="B45" s="2" t="s">
        <v>83</v>
      </c>
      <c r="C45" s="2" t="s">
        <v>38</v>
      </c>
      <c r="D45">
        <v>0.37058274335836561</v>
      </c>
    </row>
    <row r="46" spans="1:4">
      <c r="A46" s="2">
        <v>45</v>
      </c>
      <c r="B46" s="2" t="s">
        <v>84</v>
      </c>
      <c r="C46" s="2" t="s">
        <v>40</v>
      </c>
      <c r="D46">
        <v>0.37694360776954172</v>
      </c>
    </row>
    <row r="47" spans="1:4">
      <c r="A47" s="2">
        <v>46</v>
      </c>
      <c r="B47" s="2" t="s">
        <v>85</v>
      </c>
      <c r="C47" s="2" t="s">
        <v>36</v>
      </c>
      <c r="D47">
        <v>0.42332669052057659</v>
      </c>
    </row>
    <row r="48" spans="1:4">
      <c r="A48" s="2">
        <v>47</v>
      </c>
      <c r="B48" s="2" t="s">
        <v>86</v>
      </c>
      <c r="C48" s="2" t="s">
        <v>43</v>
      </c>
      <c r="D48">
        <v>0.42979516208659263</v>
      </c>
    </row>
    <row r="49" spans="1:4">
      <c r="A49" s="2">
        <v>48</v>
      </c>
      <c r="B49" s="2" t="s">
        <v>87</v>
      </c>
      <c r="C49" s="2" t="s">
        <v>45</v>
      </c>
      <c r="D49">
        <v>0.43118407833781969</v>
      </c>
    </row>
    <row r="50" spans="1:4">
      <c r="A50" s="2">
        <v>49</v>
      </c>
      <c r="B50" s="2" t="s">
        <v>88</v>
      </c>
      <c r="C50" s="2" t="s">
        <v>36</v>
      </c>
      <c r="D50">
        <v>0.43227780814696093</v>
      </c>
    </row>
    <row r="51" spans="1:4">
      <c r="A51" s="2">
        <v>50</v>
      </c>
      <c r="B51" s="2" t="s">
        <v>89</v>
      </c>
      <c r="C51" s="2" t="s">
        <v>38</v>
      </c>
      <c r="D51">
        <v>0.44826608955643443</v>
      </c>
    </row>
    <row r="52" spans="1:4">
      <c r="A52" s="2">
        <v>51</v>
      </c>
      <c r="B52" s="2" t="s">
        <v>90</v>
      </c>
      <c r="C52" s="2" t="s">
        <v>40</v>
      </c>
      <c r="D52">
        <v>0.47177450537476628</v>
      </c>
    </row>
    <row r="53" spans="1:4">
      <c r="A53" s="2">
        <v>52</v>
      </c>
      <c r="B53" s="2" t="s">
        <v>91</v>
      </c>
      <c r="C53" s="2" t="s">
        <v>36</v>
      </c>
      <c r="D53">
        <v>0.49378847358204792</v>
      </c>
    </row>
    <row r="54" spans="1:4">
      <c r="A54" s="2">
        <v>53</v>
      </c>
      <c r="B54" s="2" t="s">
        <v>92</v>
      </c>
      <c r="C54" s="2" t="s">
        <v>43</v>
      </c>
      <c r="D54">
        <v>0.51662104933690889</v>
      </c>
    </row>
    <row r="55" spans="1:4">
      <c r="A55" s="2">
        <v>54</v>
      </c>
      <c r="B55" s="2" t="s">
        <v>93</v>
      </c>
      <c r="C55" s="2" t="s">
        <v>45</v>
      </c>
      <c r="D55">
        <v>0.5383695459763651</v>
      </c>
    </row>
    <row r="56" spans="1:4">
      <c r="A56" s="2">
        <v>55</v>
      </c>
      <c r="B56" s="2" t="s">
        <v>94</v>
      </c>
      <c r="C56" s="2" t="s">
        <v>36</v>
      </c>
      <c r="D56">
        <v>0.5610136306637612</v>
      </c>
    </row>
    <row r="57" spans="1:4">
      <c r="A57" s="2">
        <v>56</v>
      </c>
      <c r="B57" s="2" t="s">
        <v>95</v>
      </c>
      <c r="C57" s="2" t="s">
        <v>38</v>
      </c>
      <c r="D57">
        <v>0.5648185056452909</v>
      </c>
    </row>
    <row r="58" spans="1:4">
      <c r="A58" s="2">
        <v>57</v>
      </c>
      <c r="B58" s="2" t="s">
        <v>96</v>
      </c>
      <c r="C58" s="2" t="s">
        <v>40</v>
      </c>
      <c r="D58">
        <v>0.57658724545300377</v>
      </c>
    </row>
    <row r="59" spans="1:4">
      <c r="A59" s="2">
        <v>58</v>
      </c>
      <c r="B59" s="2" t="s">
        <v>97</v>
      </c>
      <c r="C59" s="2" t="s">
        <v>36</v>
      </c>
      <c r="D59">
        <v>0.57934224998373363</v>
      </c>
    </row>
    <row r="60" spans="1:4">
      <c r="A60" s="2">
        <v>59</v>
      </c>
      <c r="B60" s="2" t="s">
        <v>98</v>
      </c>
      <c r="C60" s="2" t="s">
        <v>43</v>
      </c>
      <c r="D60">
        <v>0.59281725499788196</v>
      </c>
    </row>
    <row r="61" spans="1:4">
      <c r="A61" s="2">
        <v>60</v>
      </c>
      <c r="B61" s="2" t="s">
        <v>99</v>
      </c>
      <c r="C61" s="2" t="s">
        <v>45</v>
      </c>
      <c r="D61">
        <v>0.59491499316769381</v>
      </c>
    </row>
    <row r="62" spans="1:4">
      <c r="A62" s="2">
        <v>61</v>
      </c>
      <c r="B62" s="2" t="s">
        <v>100</v>
      </c>
      <c r="C62" s="2" t="s">
        <v>36</v>
      </c>
      <c r="D62">
        <v>0.60283685469281678</v>
      </c>
    </row>
    <row r="63" spans="1:4">
      <c r="A63" s="2">
        <v>62</v>
      </c>
      <c r="B63" s="2" t="s">
        <v>101</v>
      </c>
      <c r="C63" s="2" t="s">
        <v>38</v>
      </c>
      <c r="D63">
        <v>0.62765393715686923</v>
      </c>
    </row>
    <row r="64" spans="1:4">
      <c r="A64" s="2">
        <v>63</v>
      </c>
      <c r="B64" s="2" t="s">
        <v>102</v>
      </c>
      <c r="C64" s="2" t="s">
        <v>40</v>
      </c>
      <c r="D64">
        <v>0.64768523755648766</v>
      </c>
    </row>
    <row r="65" spans="1:4">
      <c r="A65" s="2">
        <v>64</v>
      </c>
      <c r="B65" s="2" t="s">
        <v>103</v>
      </c>
      <c r="C65" s="2" t="s">
        <v>36</v>
      </c>
      <c r="D65">
        <v>0.65286145486990765</v>
      </c>
    </row>
    <row r="66" spans="1:4">
      <c r="A66" s="2">
        <v>65</v>
      </c>
      <c r="B66" s="2" t="s">
        <v>104</v>
      </c>
      <c r="C66" s="2" t="s">
        <v>43</v>
      </c>
      <c r="D66">
        <v>0.67918870473101844</v>
      </c>
    </row>
    <row r="67" spans="1:4">
      <c r="A67" s="2">
        <v>66</v>
      </c>
      <c r="B67" s="2" t="s">
        <v>105</v>
      </c>
      <c r="C67" s="2" t="s">
        <v>45</v>
      </c>
      <c r="D67">
        <v>0.67970141652641169</v>
      </c>
    </row>
    <row r="68" spans="1:4">
      <c r="A68" s="2">
        <v>67</v>
      </c>
      <c r="B68" s="2" t="s">
        <v>106</v>
      </c>
      <c r="C68" s="2" t="s">
        <v>36</v>
      </c>
      <c r="D68">
        <v>0.69826785529696234</v>
      </c>
    </row>
    <row r="69" spans="1:4">
      <c r="A69" s="2">
        <v>68</v>
      </c>
      <c r="B69" s="2" t="s">
        <v>107</v>
      </c>
      <c r="C69" s="2" t="s">
        <v>38</v>
      </c>
      <c r="D69">
        <v>0.70687874055113153</v>
      </c>
    </row>
    <row r="70" spans="1:4">
      <c r="A70" s="2">
        <v>69</v>
      </c>
      <c r="B70" s="2" t="s">
        <v>108</v>
      </c>
      <c r="C70" s="2" t="s">
        <v>40</v>
      </c>
      <c r="D70">
        <v>0.71399357663877427</v>
      </c>
    </row>
    <row r="71" spans="1:4">
      <c r="A71" s="2">
        <v>70</v>
      </c>
      <c r="B71" s="2" t="s">
        <v>109</v>
      </c>
      <c r="C71" s="2" t="s">
        <v>36</v>
      </c>
      <c r="D71">
        <v>0.73097545446013001</v>
      </c>
    </row>
    <row r="72" spans="1:4">
      <c r="A72" s="2">
        <v>71</v>
      </c>
      <c r="B72" s="2" t="s">
        <v>110</v>
      </c>
      <c r="C72" s="2" t="s">
        <v>43</v>
      </c>
      <c r="D72">
        <v>0.74695462914547195</v>
      </c>
    </row>
    <row r="73" spans="1:4">
      <c r="A73" s="2">
        <v>72</v>
      </c>
      <c r="B73" s="2" t="s">
        <v>111</v>
      </c>
      <c r="C73" s="2" t="s">
        <v>45</v>
      </c>
      <c r="D73">
        <v>0.74701645726480637</v>
      </c>
    </row>
    <row r="74" spans="1:4">
      <c r="A74" s="2">
        <v>73</v>
      </c>
      <c r="B74" s="2" t="s">
        <v>112</v>
      </c>
      <c r="C74" s="2" t="s">
        <v>36</v>
      </c>
      <c r="D74">
        <v>0.75172934950844938</v>
      </c>
    </row>
    <row r="75" spans="1:4">
      <c r="A75" s="2">
        <v>74</v>
      </c>
      <c r="B75" s="2" t="s">
        <v>113</v>
      </c>
      <c r="C75" s="2" t="s">
        <v>38</v>
      </c>
      <c r="D75">
        <v>0.76257888859405376</v>
      </c>
    </row>
    <row r="76" spans="1:4">
      <c r="A76" s="2">
        <v>75</v>
      </c>
      <c r="B76" s="2" t="s">
        <v>114</v>
      </c>
      <c r="C76" s="2" t="s">
        <v>40</v>
      </c>
      <c r="D76">
        <v>0.76278966088133737</v>
      </c>
    </row>
    <row r="77" spans="1:4">
      <c r="A77" s="2">
        <v>76</v>
      </c>
      <c r="B77" s="2" t="s">
        <v>115</v>
      </c>
      <c r="C77" s="2" t="s">
        <v>36</v>
      </c>
      <c r="D77">
        <v>0.76739937530680435</v>
      </c>
    </row>
    <row r="78" spans="1:4">
      <c r="A78" s="2">
        <v>77</v>
      </c>
      <c r="B78" s="2" t="s">
        <v>116</v>
      </c>
      <c r="C78" s="2" t="s">
        <v>43</v>
      </c>
      <c r="D78">
        <v>0.76877359328619832</v>
      </c>
    </row>
    <row r="79" spans="1:4">
      <c r="A79" s="2">
        <v>78</v>
      </c>
      <c r="B79" s="2" t="s">
        <v>117</v>
      </c>
      <c r="C79" s="2" t="s">
        <v>45</v>
      </c>
      <c r="D79">
        <v>0.78001636930477525</v>
      </c>
    </row>
    <row r="80" spans="1:4">
      <c r="A80" s="2">
        <v>79</v>
      </c>
      <c r="B80" s="2" t="s">
        <v>118</v>
      </c>
      <c r="C80" s="2" t="s">
        <v>36</v>
      </c>
      <c r="D80">
        <v>0.78362332420242475</v>
      </c>
    </row>
    <row r="81" spans="1:4">
      <c r="A81" s="2">
        <v>80</v>
      </c>
      <c r="B81" s="2" t="s">
        <v>119</v>
      </c>
      <c r="C81" s="2" t="s">
        <v>38</v>
      </c>
      <c r="D81">
        <v>0.78518075184259828</v>
      </c>
    </row>
    <row r="82" spans="1:4">
      <c r="A82" s="2">
        <v>81</v>
      </c>
      <c r="B82" s="2" t="s">
        <v>120</v>
      </c>
      <c r="C82" s="2" t="s">
        <v>40</v>
      </c>
      <c r="D82">
        <v>0.78665619721756219</v>
      </c>
    </row>
    <row r="83" spans="1:4">
      <c r="A83" s="2">
        <v>82</v>
      </c>
      <c r="B83" s="2" t="s">
        <v>121</v>
      </c>
      <c r="C83" s="2" t="s">
        <v>36</v>
      </c>
      <c r="D83">
        <v>0.79592336343843317</v>
      </c>
    </row>
    <row r="84" spans="1:4">
      <c r="A84" s="2">
        <v>83</v>
      </c>
      <c r="B84" s="2" t="s">
        <v>122</v>
      </c>
      <c r="C84" s="2" t="s">
        <v>43</v>
      </c>
      <c r="D84">
        <v>0.8065379984969997</v>
      </c>
    </row>
    <row r="85" spans="1:4">
      <c r="A85" s="2">
        <v>84</v>
      </c>
      <c r="B85" s="2" t="s">
        <v>123</v>
      </c>
      <c r="C85" s="2" t="s">
        <v>45</v>
      </c>
      <c r="D85">
        <v>0.81109795473381219</v>
      </c>
    </row>
    <row r="86" spans="1:4">
      <c r="A86" s="2">
        <v>85</v>
      </c>
      <c r="B86" s="2" t="s">
        <v>124</v>
      </c>
      <c r="C86" s="2" t="s">
        <v>36</v>
      </c>
      <c r="D86">
        <v>0.83074658845358029</v>
      </c>
    </row>
    <row r="87" spans="1:4">
      <c r="A87" s="2">
        <v>86</v>
      </c>
      <c r="B87" s="2" t="s">
        <v>125</v>
      </c>
      <c r="C87" s="2" t="s">
        <v>38</v>
      </c>
      <c r="D87">
        <v>0.83394819388223651</v>
      </c>
    </row>
    <row r="88" spans="1:4">
      <c r="A88" s="2">
        <v>87</v>
      </c>
      <c r="B88" s="2" t="s">
        <v>126</v>
      </c>
      <c r="C88" s="2" t="s">
        <v>40</v>
      </c>
      <c r="D88">
        <v>0.8434425551808481</v>
      </c>
    </row>
    <row r="89" spans="1:4">
      <c r="A89" s="2">
        <v>88</v>
      </c>
      <c r="B89" s="2" t="s">
        <v>127</v>
      </c>
      <c r="C89" s="2" t="s">
        <v>36</v>
      </c>
      <c r="D89">
        <v>0.86521415357746612</v>
      </c>
    </row>
    <row r="90" spans="1:4">
      <c r="A90" s="2">
        <v>89</v>
      </c>
      <c r="B90" s="2" t="s">
        <v>128</v>
      </c>
      <c r="C90" s="2" t="s">
        <v>43</v>
      </c>
      <c r="D90">
        <v>0.86539684442265452</v>
      </c>
    </row>
    <row r="91" spans="1:4">
      <c r="A91" s="2">
        <v>90</v>
      </c>
      <c r="B91" s="2" t="s">
        <v>129</v>
      </c>
      <c r="C91" s="2" t="s">
        <v>45</v>
      </c>
      <c r="D91">
        <v>0.9000894462342407</v>
      </c>
    </row>
    <row r="92" spans="1:4">
      <c r="A92" s="2">
        <v>91</v>
      </c>
      <c r="B92" s="2" t="s">
        <v>130</v>
      </c>
      <c r="C92" s="2" t="s">
        <v>36</v>
      </c>
      <c r="D92">
        <v>0.90542348719590682</v>
      </c>
    </row>
    <row r="93" spans="1:4">
      <c r="A93" s="2">
        <v>92</v>
      </c>
      <c r="B93" s="2" t="s">
        <v>131</v>
      </c>
      <c r="C93" s="2" t="s">
        <v>38</v>
      </c>
      <c r="D93">
        <v>0.91254006532632115</v>
      </c>
    </row>
    <row r="94" spans="1:4">
      <c r="A94" s="2">
        <v>93</v>
      </c>
      <c r="B94" s="2" t="s">
        <v>132</v>
      </c>
      <c r="C94" s="2" t="s">
        <v>40</v>
      </c>
      <c r="D94">
        <v>0.92602648559943324</v>
      </c>
    </row>
    <row r="95" spans="1:4">
      <c r="A95" s="2">
        <v>94</v>
      </c>
      <c r="B95" s="2" t="s">
        <v>133</v>
      </c>
      <c r="C95" s="2" t="s">
        <v>36</v>
      </c>
      <c r="D95">
        <v>0.93123344279743681</v>
      </c>
    </row>
    <row r="96" spans="1:4">
      <c r="A96" s="2">
        <v>95</v>
      </c>
      <c r="B96" s="2" t="s">
        <v>134</v>
      </c>
      <c r="C96" s="2" t="s">
        <v>43</v>
      </c>
      <c r="D96">
        <v>0.94178102702023969</v>
      </c>
    </row>
    <row r="97" spans="1:4">
      <c r="A97" s="2">
        <v>96</v>
      </c>
      <c r="B97" s="2" t="s">
        <v>135</v>
      </c>
      <c r="C97" s="2" t="s">
        <v>45</v>
      </c>
      <c r="D97">
        <v>0.94670920373502732</v>
      </c>
    </row>
    <row r="98" spans="1:4">
      <c r="A98" s="2">
        <v>97</v>
      </c>
      <c r="B98" s="2" t="s">
        <v>136</v>
      </c>
      <c r="C98" s="2" t="s">
        <v>36</v>
      </c>
      <c r="D98">
        <v>0.94825402028722838</v>
      </c>
    </row>
    <row r="99" spans="1:4">
      <c r="A99" s="2">
        <v>98</v>
      </c>
      <c r="B99" s="2" t="s">
        <v>137</v>
      </c>
      <c r="C99" s="2" t="s">
        <v>38</v>
      </c>
      <c r="D99">
        <v>0.96755646811601803</v>
      </c>
    </row>
    <row r="100" spans="1:4">
      <c r="A100" s="2">
        <v>99</v>
      </c>
      <c r="B100" s="2" t="s">
        <v>138</v>
      </c>
      <c r="C100" s="2" t="s">
        <v>40</v>
      </c>
      <c r="D100">
        <v>0.98171189255930935</v>
      </c>
    </row>
    <row r="101" spans="1:4">
      <c r="A101" s="2">
        <v>100</v>
      </c>
      <c r="B101" s="2" t="s">
        <v>139</v>
      </c>
      <c r="C101" s="2" t="s">
        <v>36</v>
      </c>
      <c r="D101">
        <v>0.99079852203160257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B648-9EE1-4CDD-9901-8788A5377F76}">
  <dimension ref="A1:H101"/>
  <sheetViews>
    <sheetView topLeftCell="B1" workbookViewId="0">
      <selection activeCell="H19" sqref="H19"/>
    </sheetView>
  </sheetViews>
  <sheetFormatPr defaultRowHeight="15"/>
  <cols>
    <col min="1" max="1" width="11.42578125" customWidth="1"/>
    <col min="2" max="2" width="15.28515625" customWidth="1"/>
    <col min="5" max="5" width="12.28515625" customWidth="1"/>
    <col min="6" max="6" width="13.42578125" customWidth="1"/>
  </cols>
  <sheetData>
    <row r="1" spans="1:8" ht="25.5" customHeight="1">
      <c r="A1" s="1" t="s">
        <v>32</v>
      </c>
      <c r="B1" s="1" t="s">
        <v>33</v>
      </c>
      <c r="C1" s="1" t="s">
        <v>34</v>
      </c>
      <c r="D1" s="1" t="s">
        <v>140</v>
      </c>
      <c r="E1" t="s">
        <v>144</v>
      </c>
      <c r="F1" s="1" t="s">
        <v>141</v>
      </c>
    </row>
    <row r="2" spans="1:8">
      <c r="A2" s="2">
        <v>1</v>
      </c>
      <c r="B2" s="2" t="s">
        <v>35</v>
      </c>
      <c r="C2" s="2" t="s">
        <v>36</v>
      </c>
      <c r="D2">
        <v>2.3669340847003451E-3</v>
      </c>
      <c r="E2" t="str">
        <f>IF(MOD(A2-5,8)=0,"SELECTED","")</f>
        <v/>
      </c>
      <c r="F2" t="s">
        <v>142</v>
      </c>
    </row>
    <row r="3" spans="1:8">
      <c r="A3" s="2">
        <v>2</v>
      </c>
      <c r="B3" s="2" t="s">
        <v>37</v>
      </c>
      <c r="C3" s="2" t="s">
        <v>38</v>
      </c>
      <c r="D3">
        <v>2.0112734006618949E-2</v>
      </c>
      <c r="E3" t="str">
        <f t="shared" ref="E3:E66" si="0">IF(MOD(A3-5,8)=0,"SELECTED","")</f>
        <v/>
      </c>
      <c r="F3" t="s">
        <v>334</v>
      </c>
      <c r="G3">
        <f>100/8</f>
        <v>12.5</v>
      </c>
    </row>
    <row r="4" spans="1:8">
      <c r="A4" s="2">
        <v>3</v>
      </c>
      <c r="B4" s="2" t="s">
        <v>39</v>
      </c>
      <c r="C4" s="2" t="s">
        <v>40</v>
      </c>
      <c r="D4">
        <v>2.1219731810150133E-2</v>
      </c>
      <c r="E4" t="str">
        <f t="shared" si="0"/>
        <v/>
      </c>
      <c r="F4" t="s">
        <v>333</v>
      </c>
      <c r="H4">
        <v>8</v>
      </c>
    </row>
    <row r="5" spans="1:8">
      <c r="A5" s="2">
        <v>4</v>
      </c>
      <c r="B5" s="2" t="s">
        <v>41</v>
      </c>
      <c r="C5" s="2" t="s">
        <v>36</v>
      </c>
      <c r="D5">
        <v>2.888208244445345E-2</v>
      </c>
      <c r="E5" t="str">
        <f t="shared" si="0"/>
        <v/>
      </c>
      <c r="F5">
        <f>100/8</f>
        <v>12.5</v>
      </c>
    </row>
    <row r="6" spans="1:8">
      <c r="A6" s="2">
        <v>5</v>
      </c>
      <c r="B6" s="2" t="s">
        <v>42</v>
      </c>
      <c r="C6" s="2" t="s">
        <v>43</v>
      </c>
      <c r="D6">
        <v>3.8218925639239121E-2</v>
      </c>
      <c r="E6" t="str">
        <f>IF(MOD(A6-5,8)=0,"SELECTED","")</f>
        <v>SELECTED</v>
      </c>
      <c r="F6" t="s">
        <v>143</v>
      </c>
    </row>
    <row r="7" spans="1:8">
      <c r="A7" s="2">
        <v>6</v>
      </c>
      <c r="B7" s="2" t="s">
        <v>44</v>
      </c>
      <c r="C7" s="2" t="s">
        <v>45</v>
      </c>
      <c r="D7">
        <v>3.9731652082436897E-2</v>
      </c>
      <c r="E7" t="str">
        <f t="shared" si="0"/>
        <v/>
      </c>
    </row>
    <row r="8" spans="1:8">
      <c r="A8" s="2">
        <v>7</v>
      </c>
      <c r="B8" s="2" t="s">
        <v>46</v>
      </c>
      <c r="C8" s="2" t="s">
        <v>36</v>
      </c>
      <c r="D8">
        <v>6.9692215444988395E-2</v>
      </c>
      <c r="E8" t="str">
        <f t="shared" si="0"/>
        <v/>
      </c>
    </row>
    <row r="9" spans="1:8">
      <c r="A9" s="2">
        <v>8</v>
      </c>
      <c r="B9" s="2" t="s">
        <v>47</v>
      </c>
      <c r="C9" s="2" t="s">
        <v>38</v>
      </c>
      <c r="D9">
        <v>7.0031990890389251E-2</v>
      </c>
      <c r="E9" t="str">
        <f t="shared" si="0"/>
        <v/>
      </c>
    </row>
    <row r="10" spans="1:8">
      <c r="A10" s="2">
        <v>9</v>
      </c>
      <c r="B10" s="2" t="s">
        <v>48</v>
      </c>
      <c r="C10" s="2" t="s">
        <v>40</v>
      </c>
      <c r="D10">
        <v>7.6922154449883998E-2</v>
      </c>
      <c r="E10" t="str">
        <f t="shared" si="0"/>
        <v/>
      </c>
    </row>
    <row r="11" spans="1:8">
      <c r="A11" s="2">
        <v>10</v>
      </c>
      <c r="B11" s="2" t="s">
        <v>49</v>
      </c>
      <c r="C11" s="2" t="s">
        <v>36</v>
      </c>
      <c r="D11">
        <v>8.8056219683956716E-2</v>
      </c>
      <c r="E11" t="str">
        <f t="shared" si="0"/>
        <v/>
      </c>
    </row>
    <row r="12" spans="1:8">
      <c r="A12" s="2">
        <v>11</v>
      </c>
      <c r="B12" s="2" t="s">
        <v>50</v>
      </c>
      <c r="C12" s="2" t="s">
        <v>43</v>
      </c>
      <c r="D12">
        <v>9.5743527567657249E-2</v>
      </c>
      <c r="E12" t="str">
        <f t="shared" si="0"/>
        <v/>
      </c>
    </row>
    <row r="13" spans="1:8">
      <c r="A13" s="2">
        <v>12</v>
      </c>
      <c r="B13" s="2" t="s">
        <v>51</v>
      </c>
      <c r="C13" s="2" t="s">
        <v>45</v>
      </c>
      <c r="D13">
        <v>0.11154525380994618</v>
      </c>
      <c r="E13" t="str">
        <f t="shared" si="0"/>
        <v/>
      </c>
    </row>
    <row r="14" spans="1:8">
      <c r="A14" s="2">
        <v>13</v>
      </c>
      <c r="B14" s="2" t="s">
        <v>52</v>
      </c>
      <c r="C14" s="2" t="s">
        <v>36</v>
      </c>
      <c r="D14">
        <v>0.11560590571971585</v>
      </c>
      <c r="E14" t="str">
        <f t="shared" si="0"/>
        <v>SELECTED</v>
      </c>
    </row>
    <row r="15" spans="1:8">
      <c r="A15" s="2">
        <v>14</v>
      </c>
      <c r="B15" s="2" t="s">
        <v>53</v>
      </c>
      <c r="C15" s="2" t="s">
        <v>38</v>
      </c>
      <c r="D15">
        <v>0.12779656436951636</v>
      </c>
      <c r="E15" t="str">
        <f t="shared" si="0"/>
        <v/>
      </c>
    </row>
    <row r="16" spans="1:8">
      <c r="A16" s="2">
        <v>15</v>
      </c>
      <c r="B16" s="2" t="s">
        <v>54</v>
      </c>
      <c r="C16" s="2" t="s">
        <v>40</v>
      </c>
      <c r="D16">
        <v>0.12973804768360664</v>
      </c>
      <c r="E16" t="str">
        <f t="shared" si="0"/>
        <v/>
      </c>
    </row>
    <row r="17" spans="1:5">
      <c r="A17" s="2">
        <v>16</v>
      </c>
      <c r="B17" s="2" t="s">
        <v>55</v>
      </c>
      <c r="C17" s="2" t="s">
        <v>36</v>
      </c>
      <c r="D17">
        <v>0.13261842794181855</v>
      </c>
      <c r="E17" t="str">
        <f t="shared" si="0"/>
        <v/>
      </c>
    </row>
    <row r="18" spans="1:5">
      <c r="A18" s="2">
        <v>17</v>
      </c>
      <c r="B18" s="2" t="s">
        <v>56</v>
      </c>
      <c r="C18" s="2" t="s">
        <v>43</v>
      </c>
      <c r="D18">
        <v>0.13263335650994024</v>
      </c>
      <c r="E18" t="str">
        <f t="shared" si="0"/>
        <v/>
      </c>
    </row>
    <row r="19" spans="1:5">
      <c r="A19" s="2">
        <v>18</v>
      </c>
      <c r="B19" s="2" t="s">
        <v>57</v>
      </c>
      <c r="C19" s="2" t="s">
        <v>45</v>
      </c>
      <c r="D19">
        <v>0.16324982940143673</v>
      </c>
      <c r="E19" t="str">
        <f t="shared" si="0"/>
        <v/>
      </c>
    </row>
    <row r="20" spans="1:5">
      <c r="A20" s="2">
        <v>19</v>
      </c>
      <c r="B20" s="2" t="s">
        <v>58</v>
      </c>
      <c r="C20" s="2" t="s">
        <v>36</v>
      </c>
      <c r="D20">
        <v>0.18460737227520818</v>
      </c>
      <c r="E20" t="str">
        <f t="shared" si="0"/>
        <v/>
      </c>
    </row>
    <row r="21" spans="1:5">
      <c r="A21" s="2">
        <v>20</v>
      </c>
      <c r="B21" s="2" t="s">
        <v>59</v>
      </c>
      <c r="C21" s="2" t="s">
        <v>38</v>
      </c>
      <c r="D21">
        <v>0.18587129329036178</v>
      </c>
      <c r="E21" t="str">
        <f t="shared" si="0"/>
        <v/>
      </c>
    </row>
    <row r="22" spans="1:5">
      <c r="A22" s="2">
        <v>21</v>
      </c>
      <c r="B22" s="2" t="s">
        <v>60</v>
      </c>
      <c r="C22" s="2" t="s">
        <v>40</v>
      </c>
      <c r="D22">
        <v>0.19037269472301155</v>
      </c>
      <c r="E22" t="str">
        <f t="shared" si="0"/>
        <v>SELECTED</v>
      </c>
    </row>
    <row r="23" spans="1:5">
      <c r="A23" s="2">
        <v>22</v>
      </c>
      <c r="B23" s="2" t="s">
        <v>61</v>
      </c>
      <c r="C23" s="2" t="s">
        <v>36</v>
      </c>
      <c r="D23">
        <v>0.19082183516754792</v>
      </c>
      <c r="E23" t="str">
        <f t="shared" si="0"/>
        <v/>
      </c>
    </row>
    <row r="24" spans="1:5">
      <c r="A24" s="2">
        <v>23</v>
      </c>
      <c r="B24" s="2" t="s">
        <v>62</v>
      </c>
      <c r="C24" s="2" t="s">
        <v>43</v>
      </c>
      <c r="D24">
        <v>0.2009728648394189</v>
      </c>
      <c r="E24" t="str">
        <f t="shared" si="0"/>
        <v/>
      </c>
    </row>
    <row r="25" spans="1:5">
      <c r="A25" s="2">
        <v>24</v>
      </c>
      <c r="B25" s="2" t="s">
        <v>63</v>
      </c>
      <c r="C25" s="2" t="s">
        <v>45</v>
      </c>
      <c r="D25">
        <v>0.20907126906540285</v>
      </c>
      <c r="E25" t="str">
        <f t="shared" si="0"/>
        <v/>
      </c>
    </row>
    <row r="26" spans="1:5">
      <c r="A26" s="2">
        <v>25</v>
      </c>
      <c r="B26" s="2" t="s">
        <v>64</v>
      </c>
      <c r="C26" s="2" t="s">
        <v>36</v>
      </c>
      <c r="D26">
        <v>0.21874489113004258</v>
      </c>
      <c r="E26" t="str">
        <f t="shared" si="0"/>
        <v/>
      </c>
    </row>
    <row r="27" spans="1:5">
      <c r="A27" s="2">
        <v>26</v>
      </c>
      <c r="B27" s="2" t="s">
        <v>65</v>
      </c>
      <c r="C27" s="2" t="s">
        <v>38</v>
      </c>
      <c r="D27">
        <v>0.22506054837482159</v>
      </c>
      <c r="E27" t="str">
        <f t="shared" si="0"/>
        <v/>
      </c>
    </row>
    <row r="28" spans="1:5">
      <c r="A28" s="2">
        <v>27</v>
      </c>
      <c r="B28" s="2" t="s">
        <v>66</v>
      </c>
      <c r="C28" s="2" t="s">
        <v>40</v>
      </c>
      <c r="D28">
        <v>0.22516103301028068</v>
      </c>
      <c r="E28" t="str">
        <f t="shared" si="0"/>
        <v/>
      </c>
    </row>
    <row r="29" spans="1:5">
      <c r="A29" s="2">
        <v>28</v>
      </c>
      <c r="B29" s="2" t="s">
        <v>67</v>
      </c>
      <c r="C29" s="2" t="s">
        <v>36</v>
      </c>
      <c r="D29">
        <v>0.23904471311343556</v>
      </c>
      <c r="E29" t="str">
        <f t="shared" si="0"/>
        <v/>
      </c>
    </row>
    <row r="30" spans="1:5">
      <c r="A30" s="2">
        <v>29</v>
      </c>
      <c r="B30" s="2" t="s">
        <v>68</v>
      </c>
      <c r="C30" s="2" t="s">
        <v>43</v>
      </c>
      <c r="D30">
        <v>0.2494971850286487</v>
      </c>
      <c r="E30" t="str">
        <f t="shared" si="0"/>
        <v>SELECTED</v>
      </c>
    </row>
    <row r="31" spans="1:5">
      <c r="A31" s="2">
        <v>30</v>
      </c>
      <c r="B31" s="2" t="s">
        <v>69</v>
      </c>
      <c r="C31" s="2" t="s">
        <v>45</v>
      </c>
      <c r="D31">
        <v>0.25395466047208015</v>
      </c>
      <c r="E31" t="str">
        <f t="shared" si="0"/>
        <v/>
      </c>
    </row>
    <row r="32" spans="1:5">
      <c r="A32" s="2">
        <v>31</v>
      </c>
      <c r="B32" s="2" t="s">
        <v>70</v>
      </c>
      <c r="C32" s="2" t="s">
        <v>36</v>
      </c>
      <c r="D32">
        <v>0.26160017081613463</v>
      </c>
      <c r="E32" t="str">
        <f t="shared" si="0"/>
        <v/>
      </c>
    </row>
    <row r="33" spans="1:5">
      <c r="A33" s="2">
        <v>32</v>
      </c>
      <c r="B33" s="2" t="s">
        <v>71</v>
      </c>
      <c r="C33" s="2" t="s">
        <v>38</v>
      </c>
      <c r="D33">
        <v>0.27762427158349257</v>
      </c>
      <c r="E33" t="str">
        <f t="shared" si="0"/>
        <v/>
      </c>
    </row>
    <row r="34" spans="1:5">
      <c r="A34" s="2">
        <v>33</v>
      </c>
      <c r="B34" s="2" t="s">
        <v>72</v>
      </c>
      <c r="C34" s="2" t="s">
        <v>40</v>
      </c>
      <c r="D34">
        <v>0.29077350462420004</v>
      </c>
      <c r="E34" t="str">
        <f t="shared" si="0"/>
        <v/>
      </c>
    </row>
    <row r="35" spans="1:5">
      <c r="A35" s="2">
        <v>34</v>
      </c>
      <c r="B35" s="2" t="s">
        <v>73</v>
      </c>
      <c r="C35" s="2" t="s">
        <v>36</v>
      </c>
      <c r="D35">
        <v>0.29082010298824645</v>
      </c>
      <c r="E35" t="str">
        <f t="shared" si="0"/>
        <v/>
      </c>
    </row>
    <row r="36" spans="1:5">
      <c r="A36" s="2">
        <v>35</v>
      </c>
      <c r="B36" s="2" t="s">
        <v>74</v>
      </c>
      <c r="C36" s="2" t="s">
        <v>43</v>
      </c>
      <c r="D36">
        <v>0.29793573237828352</v>
      </c>
      <c r="E36" t="str">
        <f t="shared" si="0"/>
        <v/>
      </c>
    </row>
    <row r="37" spans="1:5">
      <c r="A37" s="2">
        <v>36</v>
      </c>
      <c r="B37" s="2" t="s">
        <v>75</v>
      </c>
      <c r="C37" s="2" t="s">
        <v>45</v>
      </c>
      <c r="D37">
        <v>0.31723444721491678</v>
      </c>
      <c r="E37" t="str">
        <f t="shared" si="0"/>
        <v/>
      </c>
    </row>
    <row r="38" spans="1:5">
      <c r="A38" s="2">
        <v>37</v>
      </c>
      <c r="B38" s="2" t="s">
        <v>76</v>
      </c>
      <c r="C38" s="2" t="s">
        <v>36</v>
      </c>
      <c r="D38">
        <v>0.32334190991373946</v>
      </c>
      <c r="E38" t="str">
        <f t="shared" si="0"/>
        <v>SELECTED</v>
      </c>
    </row>
    <row r="39" spans="1:5">
      <c r="A39" s="2">
        <v>38</v>
      </c>
      <c r="B39" s="2" t="s">
        <v>77</v>
      </c>
      <c r="C39" s="2" t="s">
        <v>38</v>
      </c>
      <c r="D39">
        <v>0.3353328192588968</v>
      </c>
      <c r="E39" t="str">
        <f t="shared" si="0"/>
        <v/>
      </c>
    </row>
    <row r="40" spans="1:5">
      <c r="A40" s="2">
        <v>39</v>
      </c>
      <c r="B40" s="2" t="s">
        <v>78</v>
      </c>
      <c r="C40" s="2" t="s">
        <v>40</v>
      </c>
      <c r="D40">
        <v>0.34339657123128153</v>
      </c>
      <c r="E40" t="str">
        <f t="shared" si="0"/>
        <v/>
      </c>
    </row>
    <row r="41" spans="1:5">
      <c r="A41" s="2">
        <v>40</v>
      </c>
      <c r="B41" s="2" t="s">
        <v>79</v>
      </c>
      <c r="C41" s="2" t="s">
        <v>36</v>
      </c>
      <c r="D41">
        <v>0.35041690148413007</v>
      </c>
      <c r="E41" t="str">
        <f t="shared" si="0"/>
        <v/>
      </c>
    </row>
    <row r="42" spans="1:5">
      <c r="A42" s="2">
        <v>41</v>
      </c>
      <c r="B42" s="2" t="s">
        <v>80</v>
      </c>
      <c r="C42" s="2" t="s">
        <v>43</v>
      </c>
      <c r="D42">
        <v>0.35149383046358085</v>
      </c>
      <c r="E42" t="str">
        <f t="shared" si="0"/>
        <v/>
      </c>
    </row>
    <row r="43" spans="1:5">
      <c r="A43" s="2">
        <v>42</v>
      </c>
      <c r="B43" s="2" t="s">
        <v>81</v>
      </c>
      <c r="C43" s="2" t="s">
        <v>45</v>
      </c>
      <c r="D43">
        <v>0.35238015449587656</v>
      </c>
      <c r="E43" t="str">
        <f t="shared" si="0"/>
        <v/>
      </c>
    </row>
    <row r="44" spans="1:5">
      <c r="A44" s="2">
        <v>43</v>
      </c>
      <c r="B44" s="2" t="s">
        <v>82</v>
      </c>
      <c r="C44" s="2" t="s">
        <v>36</v>
      </c>
      <c r="D44">
        <v>0.37038126671210592</v>
      </c>
      <c r="E44" t="str">
        <f t="shared" si="0"/>
        <v/>
      </c>
    </row>
    <row r="45" spans="1:5">
      <c r="A45" s="2">
        <v>44</v>
      </c>
      <c r="B45" s="2" t="s">
        <v>83</v>
      </c>
      <c r="C45" s="2" t="s">
        <v>38</v>
      </c>
      <c r="D45">
        <v>0.37058274335836561</v>
      </c>
      <c r="E45" t="str">
        <f t="shared" si="0"/>
        <v/>
      </c>
    </row>
    <row r="46" spans="1:5">
      <c r="A46" s="2">
        <v>45</v>
      </c>
      <c r="B46" s="2" t="s">
        <v>84</v>
      </c>
      <c r="C46" s="2" t="s">
        <v>40</v>
      </c>
      <c r="D46">
        <v>0.37694360776954172</v>
      </c>
      <c r="E46" t="str">
        <f t="shared" si="0"/>
        <v>SELECTED</v>
      </c>
    </row>
    <row r="47" spans="1:5">
      <c r="A47" s="2">
        <v>46</v>
      </c>
      <c r="B47" s="2" t="s">
        <v>85</v>
      </c>
      <c r="C47" s="2" t="s">
        <v>36</v>
      </c>
      <c r="D47">
        <v>0.42332669052057659</v>
      </c>
      <c r="E47" t="str">
        <f t="shared" si="0"/>
        <v/>
      </c>
    </row>
    <row r="48" spans="1:5">
      <c r="A48" s="2">
        <v>47</v>
      </c>
      <c r="B48" s="2" t="s">
        <v>86</v>
      </c>
      <c r="C48" s="2" t="s">
        <v>43</v>
      </c>
      <c r="D48">
        <v>0.42979516208659263</v>
      </c>
      <c r="E48" t="str">
        <f t="shared" si="0"/>
        <v/>
      </c>
    </row>
    <row r="49" spans="1:5">
      <c r="A49" s="2">
        <v>48</v>
      </c>
      <c r="B49" s="2" t="s">
        <v>87</v>
      </c>
      <c r="C49" s="2" t="s">
        <v>45</v>
      </c>
      <c r="D49">
        <v>0.43118407833781969</v>
      </c>
      <c r="E49" t="str">
        <f t="shared" si="0"/>
        <v/>
      </c>
    </row>
    <row r="50" spans="1:5">
      <c r="A50" s="2">
        <v>49</v>
      </c>
      <c r="B50" s="2" t="s">
        <v>88</v>
      </c>
      <c r="C50" s="2" t="s">
        <v>36</v>
      </c>
      <c r="D50">
        <v>0.43227780814696093</v>
      </c>
      <c r="E50" t="str">
        <f t="shared" si="0"/>
        <v/>
      </c>
    </row>
    <row r="51" spans="1:5">
      <c r="A51" s="2">
        <v>50</v>
      </c>
      <c r="B51" s="2" t="s">
        <v>89</v>
      </c>
      <c r="C51" s="2" t="s">
        <v>38</v>
      </c>
      <c r="D51">
        <v>0.44826608955643443</v>
      </c>
      <c r="E51" t="str">
        <f t="shared" si="0"/>
        <v/>
      </c>
    </row>
    <row r="52" spans="1:5">
      <c r="A52" s="2">
        <v>51</v>
      </c>
      <c r="B52" s="2" t="s">
        <v>90</v>
      </c>
      <c r="C52" s="2" t="s">
        <v>40</v>
      </c>
      <c r="D52">
        <v>0.47177450537476628</v>
      </c>
      <c r="E52" t="str">
        <f t="shared" si="0"/>
        <v/>
      </c>
    </row>
    <row r="53" spans="1:5">
      <c r="A53" s="2">
        <v>52</v>
      </c>
      <c r="B53" s="2" t="s">
        <v>91</v>
      </c>
      <c r="C53" s="2" t="s">
        <v>36</v>
      </c>
      <c r="D53">
        <v>0.49378847358204792</v>
      </c>
      <c r="E53" t="str">
        <f t="shared" si="0"/>
        <v/>
      </c>
    </row>
    <row r="54" spans="1:5">
      <c r="A54" s="2">
        <v>53</v>
      </c>
      <c r="B54" s="2" t="s">
        <v>92</v>
      </c>
      <c r="C54" s="2" t="s">
        <v>43</v>
      </c>
      <c r="D54">
        <v>0.51662104933690889</v>
      </c>
      <c r="E54" t="str">
        <f t="shared" si="0"/>
        <v>SELECTED</v>
      </c>
    </row>
    <row r="55" spans="1:5">
      <c r="A55" s="2">
        <v>54</v>
      </c>
      <c r="B55" s="2" t="s">
        <v>93</v>
      </c>
      <c r="C55" s="2" t="s">
        <v>45</v>
      </c>
      <c r="D55">
        <v>0.5383695459763651</v>
      </c>
      <c r="E55" t="str">
        <f t="shared" si="0"/>
        <v/>
      </c>
    </row>
    <row r="56" spans="1:5">
      <c r="A56" s="2">
        <v>55</v>
      </c>
      <c r="B56" s="2" t="s">
        <v>94</v>
      </c>
      <c r="C56" s="2" t="s">
        <v>36</v>
      </c>
      <c r="D56">
        <v>0.5610136306637612</v>
      </c>
      <c r="E56" t="str">
        <f t="shared" si="0"/>
        <v/>
      </c>
    </row>
    <row r="57" spans="1:5">
      <c r="A57" s="2">
        <v>56</v>
      </c>
      <c r="B57" s="2" t="s">
        <v>95</v>
      </c>
      <c r="C57" s="2" t="s">
        <v>38</v>
      </c>
      <c r="D57">
        <v>0.5648185056452909</v>
      </c>
      <c r="E57" t="str">
        <f t="shared" si="0"/>
        <v/>
      </c>
    </row>
    <row r="58" spans="1:5">
      <c r="A58" s="2">
        <v>57</v>
      </c>
      <c r="B58" s="2" t="s">
        <v>96</v>
      </c>
      <c r="C58" s="2" t="s">
        <v>40</v>
      </c>
      <c r="D58">
        <v>0.57658724545300377</v>
      </c>
      <c r="E58" t="str">
        <f t="shared" si="0"/>
        <v/>
      </c>
    </row>
    <row r="59" spans="1:5">
      <c r="A59" s="2">
        <v>58</v>
      </c>
      <c r="B59" s="2" t="s">
        <v>97</v>
      </c>
      <c r="C59" s="2" t="s">
        <v>36</v>
      </c>
      <c r="D59">
        <v>0.57934224998373363</v>
      </c>
      <c r="E59" t="str">
        <f t="shared" si="0"/>
        <v/>
      </c>
    </row>
    <row r="60" spans="1:5">
      <c r="A60" s="2">
        <v>59</v>
      </c>
      <c r="B60" s="2" t="s">
        <v>98</v>
      </c>
      <c r="C60" s="2" t="s">
        <v>43</v>
      </c>
      <c r="D60">
        <v>0.59281725499788196</v>
      </c>
      <c r="E60" t="str">
        <f t="shared" si="0"/>
        <v/>
      </c>
    </row>
    <row r="61" spans="1:5">
      <c r="A61" s="2">
        <v>60</v>
      </c>
      <c r="B61" s="2" t="s">
        <v>99</v>
      </c>
      <c r="C61" s="2" t="s">
        <v>45</v>
      </c>
      <c r="D61">
        <v>0.59491499316769381</v>
      </c>
      <c r="E61" t="str">
        <f t="shared" si="0"/>
        <v/>
      </c>
    </row>
    <row r="62" spans="1:5">
      <c r="A62" s="2">
        <v>61</v>
      </c>
      <c r="B62" s="2" t="s">
        <v>100</v>
      </c>
      <c r="C62" s="2" t="s">
        <v>36</v>
      </c>
      <c r="D62">
        <v>0.60283685469281678</v>
      </c>
      <c r="E62" t="str">
        <f t="shared" si="0"/>
        <v>SELECTED</v>
      </c>
    </row>
    <row r="63" spans="1:5">
      <c r="A63" s="2">
        <v>62</v>
      </c>
      <c r="B63" s="2" t="s">
        <v>101</v>
      </c>
      <c r="C63" s="2" t="s">
        <v>38</v>
      </c>
      <c r="D63">
        <v>0.62765393715686923</v>
      </c>
      <c r="E63" t="str">
        <f t="shared" si="0"/>
        <v/>
      </c>
    </row>
    <row r="64" spans="1:5">
      <c r="A64" s="2">
        <v>63</v>
      </c>
      <c r="B64" s="2" t="s">
        <v>102</v>
      </c>
      <c r="C64" s="2" t="s">
        <v>40</v>
      </c>
      <c r="D64">
        <v>0.64768523755648766</v>
      </c>
      <c r="E64" t="str">
        <f t="shared" si="0"/>
        <v/>
      </c>
    </row>
    <row r="65" spans="1:5">
      <c r="A65" s="2">
        <v>64</v>
      </c>
      <c r="B65" s="2" t="s">
        <v>103</v>
      </c>
      <c r="C65" s="2" t="s">
        <v>36</v>
      </c>
      <c r="D65">
        <v>0.65286145486990765</v>
      </c>
      <c r="E65" t="str">
        <f t="shared" si="0"/>
        <v/>
      </c>
    </row>
    <row r="66" spans="1:5">
      <c r="A66" s="2">
        <v>65</v>
      </c>
      <c r="B66" s="2" t="s">
        <v>104</v>
      </c>
      <c r="C66" s="2" t="s">
        <v>43</v>
      </c>
      <c r="D66">
        <v>0.67918870473101844</v>
      </c>
      <c r="E66" t="str">
        <f t="shared" si="0"/>
        <v/>
      </c>
    </row>
    <row r="67" spans="1:5">
      <c r="A67" s="2">
        <v>66</v>
      </c>
      <c r="B67" s="2" t="s">
        <v>105</v>
      </c>
      <c r="C67" s="2" t="s">
        <v>45</v>
      </c>
      <c r="D67">
        <v>0.67970141652641169</v>
      </c>
      <c r="E67" t="str">
        <f t="shared" ref="E67:E101" si="1">IF(MOD(A67-5,8)=0,"SELECTED","")</f>
        <v/>
      </c>
    </row>
    <row r="68" spans="1:5">
      <c r="A68" s="2">
        <v>67</v>
      </c>
      <c r="B68" s="2" t="s">
        <v>106</v>
      </c>
      <c r="C68" s="2" t="s">
        <v>36</v>
      </c>
      <c r="D68">
        <v>0.69826785529696234</v>
      </c>
      <c r="E68" t="str">
        <f t="shared" si="1"/>
        <v/>
      </c>
    </row>
    <row r="69" spans="1:5">
      <c r="A69" s="2">
        <v>68</v>
      </c>
      <c r="B69" s="2" t="s">
        <v>107</v>
      </c>
      <c r="C69" s="2" t="s">
        <v>38</v>
      </c>
      <c r="D69">
        <v>0.70687874055113153</v>
      </c>
      <c r="E69" t="str">
        <f t="shared" si="1"/>
        <v/>
      </c>
    </row>
    <row r="70" spans="1:5">
      <c r="A70" s="2">
        <v>69</v>
      </c>
      <c r="B70" s="2" t="s">
        <v>108</v>
      </c>
      <c r="C70" s="2" t="s">
        <v>40</v>
      </c>
      <c r="D70">
        <v>0.71399357663877427</v>
      </c>
      <c r="E70" t="str">
        <f t="shared" si="1"/>
        <v>SELECTED</v>
      </c>
    </row>
    <row r="71" spans="1:5">
      <c r="A71" s="2">
        <v>70</v>
      </c>
      <c r="B71" s="2" t="s">
        <v>109</v>
      </c>
      <c r="C71" s="2" t="s">
        <v>36</v>
      </c>
      <c r="D71">
        <v>0.73097545446013001</v>
      </c>
      <c r="E71" t="str">
        <f t="shared" si="1"/>
        <v/>
      </c>
    </row>
    <row r="72" spans="1:5">
      <c r="A72" s="2">
        <v>71</v>
      </c>
      <c r="B72" s="2" t="s">
        <v>110</v>
      </c>
      <c r="C72" s="2" t="s">
        <v>43</v>
      </c>
      <c r="D72">
        <v>0.74695462914547195</v>
      </c>
      <c r="E72" t="str">
        <f t="shared" si="1"/>
        <v/>
      </c>
    </row>
    <row r="73" spans="1:5">
      <c r="A73" s="2">
        <v>72</v>
      </c>
      <c r="B73" s="2" t="s">
        <v>111</v>
      </c>
      <c r="C73" s="2" t="s">
        <v>45</v>
      </c>
      <c r="D73">
        <v>0.74701645726480637</v>
      </c>
      <c r="E73" t="str">
        <f t="shared" si="1"/>
        <v/>
      </c>
    </row>
    <row r="74" spans="1:5">
      <c r="A74" s="2">
        <v>73</v>
      </c>
      <c r="B74" s="2" t="s">
        <v>112</v>
      </c>
      <c r="C74" s="2" t="s">
        <v>36</v>
      </c>
      <c r="D74">
        <v>0.75172934950844938</v>
      </c>
      <c r="E74" t="str">
        <f t="shared" si="1"/>
        <v/>
      </c>
    </row>
    <row r="75" spans="1:5">
      <c r="A75" s="2">
        <v>74</v>
      </c>
      <c r="B75" s="2" t="s">
        <v>113</v>
      </c>
      <c r="C75" s="2" t="s">
        <v>38</v>
      </c>
      <c r="D75">
        <v>0.76257888859405376</v>
      </c>
      <c r="E75" t="str">
        <f t="shared" si="1"/>
        <v/>
      </c>
    </row>
    <row r="76" spans="1:5">
      <c r="A76" s="2">
        <v>75</v>
      </c>
      <c r="B76" s="2" t="s">
        <v>114</v>
      </c>
      <c r="C76" s="2" t="s">
        <v>40</v>
      </c>
      <c r="D76">
        <v>0.76278966088133737</v>
      </c>
      <c r="E76" t="str">
        <f t="shared" si="1"/>
        <v/>
      </c>
    </row>
    <row r="77" spans="1:5">
      <c r="A77" s="2">
        <v>76</v>
      </c>
      <c r="B77" s="2" t="s">
        <v>115</v>
      </c>
      <c r="C77" s="2" t="s">
        <v>36</v>
      </c>
      <c r="D77">
        <v>0.76739937530680435</v>
      </c>
      <c r="E77" t="str">
        <f t="shared" si="1"/>
        <v/>
      </c>
    </row>
    <row r="78" spans="1:5">
      <c r="A78" s="2">
        <v>77</v>
      </c>
      <c r="B78" s="2" t="s">
        <v>116</v>
      </c>
      <c r="C78" s="2" t="s">
        <v>43</v>
      </c>
      <c r="D78">
        <v>0.76877359328619832</v>
      </c>
      <c r="E78" t="str">
        <f t="shared" si="1"/>
        <v>SELECTED</v>
      </c>
    </row>
    <row r="79" spans="1:5">
      <c r="A79" s="2">
        <v>78</v>
      </c>
      <c r="B79" s="2" t="s">
        <v>117</v>
      </c>
      <c r="C79" s="2" t="s">
        <v>45</v>
      </c>
      <c r="D79">
        <v>0.78001636930477525</v>
      </c>
      <c r="E79" t="str">
        <f t="shared" si="1"/>
        <v/>
      </c>
    </row>
    <row r="80" spans="1:5">
      <c r="A80" s="2">
        <v>79</v>
      </c>
      <c r="B80" s="2" t="s">
        <v>118</v>
      </c>
      <c r="C80" s="2" t="s">
        <v>36</v>
      </c>
      <c r="D80">
        <v>0.78362332420242475</v>
      </c>
      <c r="E80" t="str">
        <f t="shared" si="1"/>
        <v/>
      </c>
    </row>
    <row r="81" spans="1:5">
      <c r="A81" s="2">
        <v>80</v>
      </c>
      <c r="B81" s="2" t="s">
        <v>119</v>
      </c>
      <c r="C81" s="2" t="s">
        <v>38</v>
      </c>
      <c r="D81">
        <v>0.78518075184259828</v>
      </c>
      <c r="E81" t="str">
        <f t="shared" si="1"/>
        <v/>
      </c>
    </row>
    <row r="82" spans="1:5">
      <c r="A82" s="2">
        <v>81</v>
      </c>
      <c r="B82" s="2" t="s">
        <v>120</v>
      </c>
      <c r="C82" s="2" t="s">
        <v>40</v>
      </c>
      <c r="D82">
        <v>0.78665619721756219</v>
      </c>
      <c r="E82" t="str">
        <f t="shared" si="1"/>
        <v/>
      </c>
    </row>
    <row r="83" spans="1:5">
      <c r="A83" s="2">
        <v>82</v>
      </c>
      <c r="B83" s="2" t="s">
        <v>121</v>
      </c>
      <c r="C83" s="2" t="s">
        <v>36</v>
      </c>
      <c r="D83">
        <v>0.79592336343843317</v>
      </c>
      <c r="E83" t="str">
        <f t="shared" si="1"/>
        <v/>
      </c>
    </row>
    <row r="84" spans="1:5">
      <c r="A84" s="2">
        <v>83</v>
      </c>
      <c r="B84" s="2" t="s">
        <v>122</v>
      </c>
      <c r="C84" s="2" t="s">
        <v>43</v>
      </c>
      <c r="D84">
        <v>0.8065379984969997</v>
      </c>
      <c r="E84" t="str">
        <f t="shared" si="1"/>
        <v/>
      </c>
    </row>
    <row r="85" spans="1:5">
      <c r="A85" s="2">
        <v>84</v>
      </c>
      <c r="B85" s="2" t="s">
        <v>123</v>
      </c>
      <c r="C85" s="2" t="s">
        <v>45</v>
      </c>
      <c r="D85">
        <v>0.81109795473381219</v>
      </c>
      <c r="E85" t="str">
        <f t="shared" si="1"/>
        <v/>
      </c>
    </row>
    <row r="86" spans="1:5">
      <c r="A86" s="2">
        <v>85</v>
      </c>
      <c r="B86" s="2" t="s">
        <v>124</v>
      </c>
      <c r="C86" s="2" t="s">
        <v>36</v>
      </c>
      <c r="D86">
        <v>0.83074658845358029</v>
      </c>
      <c r="E86" t="str">
        <f t="shared" si="1"/>
        <v>SELECTED</v>
      </c>
    </row>
    <row r="87" spans="1:5">
      <c r="A87" s="2">
        <v>86</v>
      </c>
      <c r="B87" s="2" t="s">
        <v>125</v>
      </c>
      <c r="C87" s="2" t="s">
        <v>38</v>
      </c>
      <c r="D87">
        <v>0.83394819388223651</v>
      </c>
      <c r="E87" t="str">
        <f t="shared" si="1"/>
        <v/>
      </c>
    </row>
    <row r="88" spans="1:5">
      <c r="A88" s="2">
        <v>87</v>
      </c>
      <c r="B88" s="2" t="s">
        <v>126</v>
      </c>
      <c r="C88" s="2" t="s">
        <v>40</v>
      </c>
      <c r="D88">
        <v>0.8434425551808481</v>
      </c>
      <c r="E88" t="str">
        <f t="shared" si="1"/>
        <v/>
      </c>
    </row>
    <row r="89" spans="1:5">
      <c r="A89" s="2">
        <v>88</v>
      </c>
      <c r="B89" s="2" t="s">
        <v>127</v>
      </c>
      <c r="C89" s="2" t="s">
        <v>36</v>
      </c>
      <c r="D89">
        <v>0.86521415357746612</v>
      </c>
      <c r="E89" t="str">
        <f t="shared" si="1"/>
        <v/>
      </c>
    </row>
    <row r="90" spans="1:5">
      <c r="A90" s="2">
        <v>89</v>
      </c>
      <c r="B90" s="2" t="s">
        <v>128</v>
      </c>
      <c r="C90" s="2" t="s">
        <v>43</v>
      </c>
      <c r="D90">
        <v>0.86539684442265452</v>
      </c>
      <c r="E90" t="str">
        <f t="shared" si="1"/>
        <v/>
      </c>
    </row>
    <row r="91" spans="1:5">
      <c r="A91" s="2">
        <v>90</v>
      </c>
      <c r="B91" s="2" t="s">
        <v>129</v>
      </c>
      <c r="C91" s="2" t="s">
        <v>45</v>
      </c>
      <c r="D91">
        <v>0.9000894462342407</v>
      </c>
      <c r="E91" t="str">
        <f t="shared" si="1"/>
        <v/>
      </c>
    </row>
    <row r="92" spans="1:5">
      <c r="A92" s="2">
        <v>91</v>
      </c>
      <c r="B92" s="2" t="s">
        <v>130</v>
      </c>
      <c r="C92" s="2" t="s">
        <v>36</v>
      </c>
      <c r="D92">
        <v>0.90542348719590682</v>
      </c>
      <c r="E92" t="str">
        <f t="shared" si="1"/>
        <v/>
      </c>
    </row>
    <row r="93" spans="1:5">
      <c r="A93" s="2">
        <v>92</v>
      </c>
      <c r="B93" s="2" t="s">
        <v>131</v>
      </c>
      <c r="C93" s="2" t="s">
        <v>38</v>
      </c>
      <c r="D93">
        <v>0.91254006532632115</v>
      </c>
      <c r="E93" t="str">
        <f t="shared" si="1"/>
        <v/>
      </c>
    </row>
    <row r="94" spans="1:5">
      <c r="A94" s="2">
        <v>93</v>
      </c>
      <c r="B94" s="2" t="s">
        <v>132</v>
      </c>
      <c r="C94" s="2" t="s">
        <v>40</v>
      </c>
      <c r="D94">
        <v>0.92602648559943324</v>
      </c>
      <c r="E94" t="str">
        <f t="shared" si="1"/>
        <v>SELECTED</v>
      </c>
    </row>
    <row r="95" spans="1:5">
      <c r="A95" s="2">
        <v>94</v>
      </c>
      <c r="B95" s="2" t="s">
        <v>133</v>
      </c>
      <c r="C95" s="2" t="s">
        <v>36</v>
      </c>
      <c r="D95">
        <v>0.93123344279743681</v>
      </c>
      <c r="E95" t="str">
        <f t="shared" si="1"/>
        <v/>
      </c>
    </row>
    <row r="96" spans="1:5">
      <c r="A96" s="2">
        <v>95</v>
      </c>
      <c r="B96" s="2" t="s">
        <v>134</v>
      </c>
      <c r="C96" s="2" t="s">
        <v>43</v>
      </c>
      <c r="D96">
        <v>0.94178102702023969</v>
      </c>
      <c r="E96" t="str">
        <f t="shared" si="1"/>
        <v/>
      </c>
    </row>
    <row r="97" spans="1:5">
      <c r="A97" s="2">
        <v>96</v>
      </c>
      <c r="B97" s="2" t="s">
        <v>135</v>
      </c>
      <c r="C97" s="2" t="s">
        <v>45</v>
      </c>
      <c r="D97">
        <v>0.94670920373502732</v>
      </c>
      <c r="E97" t="str">
        <f t="shared" si="1"/>
        <v/>
      </c>
    </row>
    <row r="98" spans="1:5">
      <c r="A98" s="2">
        <v>97</v>
      </c>
      <c r="B98" s="2" t="s">
        <v>136</v>
      </c>
      <c r="C98" s="2" t="s">
        <v>36</v>
      </c>
      <c r="D98">
        <v>0.94825402028722838</v>
      </c>
      <c r="E98" t="str">
        <f t="shared" si="1"/>
        <v/>
      </c>
    </row>
    <row r="99" spans="1:5">
      <c r="A99" s="2">
        <v>98</v>
      </c>
      <c r="B99" s="2" t="s">
        <v>137</v>
      </c>
      <c r="C99" s="2" t="s">
        <v>38</v>
      </c>
      <c r="D99">
        <v>0.96755646811601803</v>
      </c>
      <c r="E99" t="str">
        <f t="shared" si="1"/>
        <v/>
      </c>
    </row>
    <row r="100" spans="1:5">
      <c r="A100" s="2">
        <v>99</v>
      </c>
      <c r="B100" s="2" t="s">
        <v>138</v>
      </c>
      <c r="C100" s="2" t="s">
        <v>40</v>
      </c>
      <c r="D100">
        <v>0.98171189255930935</v>
      </c>
      <c r="E100" t="str">
        <f t="shared" si="1"/>
        <v/>
      </c>
    </row>
    <row r="101" spans="1:5">
      <c r="A101" s="2">
        <v>100</v>
      </c>
      <c r="B101" s="2" t="s">
        <v>139</v>
      </c>
      <c r="C101" s="2" t="s">
        <v>36</v>
      </c>
      <c r="D101">
        <v>0.99079852203160257</v>
      </c>
      <c r="E101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217D-9380-41C0-A361-133CAAB07A5A}">
  <dimension ref="A1:P101"/>
  <sheetViews>
    <sheetView topLeftCell="C1" workbookViewId="0">
      <selection activeCell="J15" sqref="J15"/>
    </sheetView>
  </sheetViews>
  <sheetFormatPr defaultRowHeight="15"/>
  <cols>
    <col min="1" max="1" width="11.42578125" customWidth="1"/>
    <col min="2" max="2" width="15.28515625" customWidth="1"/>
    <col min="5" max="5" width="16.5703125" customWidth="1"/>
    <col min="6" max="6" width="20.28515625" customWidth="1"/>
  </cols>
  <sheetData>
    <row r="1" spans="1:16" ht="36.75" customHeight="1">
      <c r="A1" s="1" t="s">
        <v>32</v>
      </c>
      <c r="B1" s="1" t="s">
        <v>33</v>
      </c>
      <c r="C1" s="1" t="s">
        <v>34</v>
      </c>
      <c r="D1" s="1" t="s">
        <v>140</v>
      </c>
      <c r="E1" s="1" t="s">
        <v>145</v>
      </c>
      <c r="F1" s="1" t="s">
        <v>157</v>
      </c>
      <c r="O1" t="s">
        <v>279</v>
      </c>
    </row>
    <row r="2" spans="1:16">
      <c r="A2" s="2">
        <v>1</v>
      </c>
      <c r="B2" s="2" t="s">
        <v>35</v>
      </c>
      <c r="C2" s="2" t="s">
        <v>45</v>
      </c>
      <c r="D2">
        <v>2.3669340847003451E-3</v>
      </c>
      <c r="E2">
        <f>COUNT(D2:D17)</f>
        <v>16</v>
      </c>
      <c r="F2">
        <f>(E2/100)*20</f>
        <v>3.2</v>
      </c>
      <c r="H2" t="s">
        <v>155</v>
      </c>
      <c r="M2" t="s">
        <v>273</v>
      </c>
    </row>
    <row r="3" spans="1:16">
      <c r="A3" s="2">
        <v>2</v>
      </c>
      <c r="B3" s="2" t="s">
        <v>37</v>
      </c>
      <c r="C3" s="2" t="s">
        <v>45</v>
      </c>
      <c r="D3">
        <v>2.0112734006618949E-2</v>
      </c>
      <c r="H3" t="s">
        <v>156</v>
      </c>
      <c r="M3" t="s">
        <v>274</v>
      </c>
    </row>
    <row r="4" spans="1:16">
      <c r="A4" s="2">
        <v>3</v>
      </c>
      <c r="B4" s="2" t="s">
        <v>39</v>
      </c>
      <c r="C4" s="2" t="s">
        <v>45</v>
      </c>
      <c r="D4">
        <v>2.1219731810150133E-2</v>
      </c>
      <c r="G4" t="s">
        <v>45</v>
      </c>
      <c r="H4">
        <f>(16/100)*15</f>
        <v>2.4</v>
      </c>
      <c r="I4">
        <v>2</v>
      </c>
      <c r="J4">
        <v>3</v>
      </c>
      <c r="L4" t="s">
        <v>275</v>
      </c>
      <c r="M4">
        <v>75</v>
      </c>
      <c r="N4">
        <f>(75/1000)*500</f>
        <v>37.5</v>
      </c>
      <c r="O4">
        <v>37</v>
      </c>
      <c r="P4">
        <v>38</v>
      </c>
    </row>
    <row r="5" spans="1:16">
      <c r="A5" s="2">
        <v>4</v>
      </c>
      <c r="B5" s="2" t="s">
        <v>41</v>
      </c>
      <c r="C5" s="2" t="s">
        <v>45</v>
      </c>
      <c r="D5">
        <v>2.888208244445345E-2</v>
      </c>
      <c r="G5" t="s">
        <v>36</v>
      </c>
      <c r="H5">
        <f>(84/100)*15</f>
        <v>12.6</v>
      </c>
      <c r="I5">
        <v>12</v>
      </c>
      <c r="J5">
        <v>13</v>
      </c>
      <c r="L5" t="s">
        <v>276</v>
      </c>
      <c r="M5">
        <v>75</v>
      </c>
      <c r="N5">
        <f>(75/1000)*500</f>
        <v>37.5</v>
      </c>
      <c r="O5">
        <v>37</v>
      </c>
      <c r="P5">
        <v>38</v>
      </c>
    </row>
    <row r="6" spans="1:16">
      <c r="A6" s="2">
        <v>5</v>
      </c>
      <c r="B6" s="2" t="s">
        <v>42</v>
      </c>
      <c r="C6" s="2" t="s">
        <v>45</v>
      </c>
      <c r="D6">
        <v>3.8218925639239121E-2</v>
      </c>
      <c r="G6" t="s">
        <v>38</v>
      </c>
      <c r="H6">
        <f>(17/100)*15</f>
        <v>2.5500000000000003</v>
      </c>
      <c r="I6">
        <v>2</v>
      </c>
      <c r="J6">
        <v>3</v>
      </c>
      <c r="L6" t="s">
        <v>277</v>
      </c>
      <c r="M6">
        <v>700</v>
      </c>
      <c r="N6">
        <f>(700/1000)*500</f>
        <v>350</v>
      </c>
      <c r="O6">
        <v>350</v>
      </c>
      <c r="P6">
        <v>350</v>
      </c>
    </row>
    <row r="7" spans="1:16">
      <c r="A7" s="2">
        <v>6</v>
      </c>
      <c r="B7" s="2" t="s">
        <v>44</v>
      </c>
      <c r="C7" s="2" t="s">
        <v>45</v>
      </c>
      <c r="D7">
        <v>3.9731652082436897E-2</v>
      </c>
      <c r="G7" t="s">
        <v>43</v>
      </c>
      <c r="H7">
        <f>(15/100)*15</f>
        <v>2.25</v>
      </c>
      <c r="I7">
        <v>2</v>
      </c>
      <c r="J7">
        <v>3</v>
      </c>
      <c r="L7" t="s">
        <v>278</v>
      </c>
      <c r="M7">
        <v>150</v>
      </c>
      <c r="N7">
        <f>(150/1000)*500</f>
        <v>75</v>
      </c>
      <c r="O7">
        <v>75</v>
      </c>
      <c r="P7">
        <v>75</v>
      </c>
    </row>
    <row r="8" spans="1:16">
      <c r="A8" s="2">
        <v>7</v>
      </c>
      <c r="B8" s="2" t="s">
        <v>46</v>
      </c>
      <c r="C8" s="2" t="s">
        <v>45</v>
      </c>
      <c r="D8">
        <v>6.9692215444988395E-2</v>
      </c>
      <c r="G8" t="s">
        <v>40</v>
      </c>
      <c r="H8">
        <f>(17/100)*15</f>
        <v>2.5500000000000003</v>
      </c>
      <c r="I8">
        <v>2</v>
      </c>
      <c r="J8">
        <v>3</v>
      </c>
    </row>
    <row r="9" spans="1:16">
      <c r="A9" s="2">
        <v>8</v>
      </c>
      <c r="B9" s="2" t="s">
        <v>47</v>
      </c>
      <c r="C9" s="2" t="s">
        <v>45</v>
      </c>
      <c r="D9">
        <v>7.0031990890389251E-2</v>
      </c>
      <c r="H9">
        <f>SUM(H4:H8)</f>
        <v>22.35</v>
      </c>
      <c r="O9">
        <f>SUM(O4:O7)</f>
        <v>499</v>
      </c>
      <c r="P9">
        <f>SUM(P4:P7)</f>
        <v>501</v>
      </c>
    </row>
    <row r="10" spans="1:16">
      <c r="A10" s="2">
        <v>9</v>
      </c>
      <c r="B10" s="2" t="s">
        <v>48</v>
      </c>
      <c r="C10" s="2" t="s">
        <v>45</v>
      </c>
      <c r="D10">
        <v>7.6922154449883998E-2</v>
      </c>
    </row>
    <row r="11" spans="1:16">
      <c r="A11" s="2">
        <v>10</v>
      </c>
      <c r="B11" s="2" t="s">
        <v>49</v>
      </c>
      <c r="C11" s="2" t="s">
        <v>45</v>
      </c>
      <c r="D11">
        <v>8.8056219683956716E-2</v>
      </c>
    </row>
    <row r="12" spans="1:16">
      <c r="A12" s="2">
        <v>11</v>
      </c>
      <c r="B12" s="2" t="s">
        <v>50</v>
      </c>
      <c r="C12" s="2" t="s">
        <v>45</v>
      </c>
      <c r="D12">
        <v>9.5743527567657249E-2</v>
      </c>
    </row>
    <row r="13" spans="1:16">
      <c r="A13" s="2">
        <v>12</v>
      </c>
      <c r="B13" s="2" t="s">
        <v>51</v>
      </c>
      <c r="C13" s="2" t="s">
        <v>45</v>
      </c>
      <c r="D13">
        <v>0.11154525380994618</v>
      </c>
    </row>
    <row r="14" spans="1:16">
      <c r="A14" s="2">
        <v>13</v>
      </c>
      <c r="B14" s="2" t="s">
        <v>52</v>
      </c>
      <c r="C14" s="2" t="s">
        <v>45</v>
      </c>
      <c r="D14">
        <v>0.11560590571971585</v>
      </c>
    </row>
    <row r="15" spans="1:16">
      <c r="A15" s="2">
        <v>14</v>
      </c>
      <c r="B15" s="2" t="s">
        <v>53</v>
      </c>
      <c r="C15" s="2" t="s">
        <v>45</v>
      </c>
      <c r="D15">
        <v>0.12779656436951636</v>
      </c>
    </row>
    <row r="16" spans="1:16">
      <c r="A16" s="2">
        <v>15</v>
      </c>
      <c r="B16" s="2" t="s">
        <v>54</v>
      </c>
      <c r="C16" s="2" t="s">
        <v>45</v>
      </c>
      <c r="D16">
        <v>0.12973804768360664</v>
      </c>
    </row>
    <row r="17" spans="1:5">
      <c r="A17" s="2">
        <v>16</v>
      </c>
      <c r="B17" s="2" t="s">
        <v>55</v>
      </c>
      <c r="C17" s="2" t="s">
        <v>45</v>
      </c>
      <c r="D17">
        <v>0.13261842794181855</v>
      </c>
    </row>
    <row r="18" spans="1:5">
      <c r="A18" s="2">
        <v>17</v>
      </c>
      <c r="B18" s="2" t="s">
        <v>56</v>
      </c>
      <c r="C18" s="2" t="s">
        <v>36</v>
      </c>
      <c r="D18">
        <v>0.13263335650994024</v>
      </c>
      <c r="E18">
        <f>COUNT(D18:D510)</f>
        <v>84</v>
      </c>
    </row>
    <row r="19" spans="1:5">
      <c r="A19" s="2">
        <v>18</v>
      </c>
      <c r="B19" s="2" t="s">
        <v>57</v>
      </c>
      <c r="C19" s="2" t="s">
        <v>36</v>
      </c>
      <c r="D19">
        <v>0.16324982940143673</v>
      </c>
    </row>
    <row r="20" spans="1:5">
      <c r="A20" s="2">
        <v>19</v>
      </c>
      <c r="B20" s="2" t="s">
        <v>58</v>
      </c>
      <c r="C20" s="2" t="s">
        <v>36</v>
      </c>
      <c r="D20">
        <v>0.18460737227520818</v>
      </c>
    </row>
    <row r="21" spans="1:5">
      <c r="A21" s="2">
        <v>20</v>
      </c>
      <c r="B21" s="2" t="s">
        <v>59</v>
      </c>
      <c r="C21" s="2" t="s">
        <v>36</v>
      </c>
      <c r="D21">
        <v>0.18587129329036178</v>
      </c>
    </row>
    <row r="22" spans="1:5">
      <c r="A22" s="2">
        <v>21</v>
      </c>
      <c r="B22" s="2" t="s">
        <v>60</v>
      </c>
      <c r="C22" s="2" t="s">
        <v>36</v>
      </c>
      <c r="D22">
        <v>0.19037269472301155</v>
      </c>
    </row>
    <row r="23" spans="1:5">
      <c r="A23" s="2">
        <v>22</v>
      </c>
      <c r="B23" s="2" t="s">
        <v>61</v>
      </c>
      <c r="C23" s="2" t="s">
        <v>36</v>
      </c>
      <c r="D23">
        <v>0.19082183516754792</v>
      </c>
    </row>
    <row r="24" spans="1:5">
      <c r="A24" s="2">
        <v>23</v>
      </c>
      <c r="B24" s="2" t="s">
        <v>62</v>
      </c>
      <c r="C24" s="2" t="s">
        <v>36</v>
      </c>
      <c r="D24">
        <v>0.2009728648394189</v>
      </c>
    </row>
    <row r="25" spans="1:5">
      <c r="A25" s="2">
        <v>24</v>
      </c>
      <c r="B25" s="2" t="s">
        <v>63</v>
      </c>
      <c r="C25" s="2" t="s">
        <v>36</v>
      </c>
      <c r="D25">
        <v>0.20907126906540285</v>
      </c>
    </row>
    <row r="26" spans="1:5">
      <c r="A26" s="2">
        <v>25</v>
      </c>
      <c r="B26" s="2" t="s">
        <v>64</v>
      </c>
      <c r="C26" s="2" t="s">
        <v>36</v>
      </c>
      <c r="D26">
        <v>0.21874489113004258</v>
      </c>
    </row>
    <row r="27" spans="1:5">
      <c r="A27" s="2">
        <v>26</v>
      </c>
      <c r="B27" s="2" t="s">
        <v>65</v>
      </c>
      <c r="C27" s="2" t="s">
        <v>36</v>
      </c>
      <c r="D27">
        <v>0.22506054837482159</v>
      </c>
    </row>
    <row r="28" spans="1:5">
      <c r="A28" s="2">
        <v>27</v>
      </c>
      <c r="B28" s="2" t="s">
        <v>66</v>
      </c>
      <c r="C28" s="2" t="s">
        <v>36</v>
      </c>
      <c r="D28">
        <v>0.22516103301028068</v>
      </c>
    </row>
    <row r="29" spans="1:5">
      <c r="A29" s="2">
        <v>28</v>
      </c>
      <c r="B29" s="2" t="s">
        <v>67</v>
      </c>
      <c r="C29" s="2" t="s">
        <v>36</v>
      </c>
      <c r="D29">
        <v>0.23904471311343556</v>
      </c>
    </row>
    <row r="30" spans="1:5">
      <c r="A30" s="2">
        <v>29</v>
      </c>
      <c r="B30" s="2" t="s">
        <v>68</v>
      </c>
      <c r="C30" s="2" t="s">
        <v>36</v>
      </c>
      <c r="D30">
        <v>0.2494971850286487</v>
      </c>
    </row>
    <row r="31" spans="1:5">
      <c r="A31" s="2">
        <v>30</v>
      </c>
      <c r="B31" s="2" t="s">
        <v>69</v>
      </c>
      <c r="C31" s="2" t="s">
        <v>36</v>
      </c>
      <c r="D31">
        <v>0.25395466047208015</v>
      </c>
    </row>
    <row r="32" spans="1:5">
      <c r="A32" s="2">
        <v>31</v>
      </c>
      <c r="B32" s="2" t="s">
        <v>70</v>
      </c>
      <c r="C32" s="2" t="s">
        <v>36</v>
      </c>
      <c r="D32">
        <v>0.26160017081613463</v>
      </c>
    </row>
    <row r="33" spans="1:4">
      <c r="A33" s="2">
        <v>32</v>
      </c>
      <c r="B33" s="2" t="s">
        <v>71</v>
      </c>
      <c r="C33" s="2" t="s">
        <v>36</v>
      </c>
      <c r="D33">
        <v>0.27762427158349257</v>
      </c>
    </row>
    <row r="34" spans="1:4">
      <c r="A34" s="2">
        <v>33</v>
      </c>
      <c r="B34" s="2" t="s">
        <v>72</v>
      </c>
      <c r="C34" s="2" t="s">
        <v>36</v>
      </c>
      <c r="D34">
        <v>0.29077350462420004</v>
      </c>
    </row>
    <row r="35" spans="1:4">
      <c r="A35" s="2">
        <v>34</v>
      </c>
      <c r="B35" s="2" t="s">
        <v>73</v>
      </c>
      <c r="C35" s="2" t="s">
        <v>36</v>
      </c>
      <c r="D35">
        <v>0.29082010298824645</v>
      </c>
    </row>
    <row r="36" spans="1:4">
      <c r="A36" s="2">
        <v>35</v>
      </c>
      <c r="B36" s="2" t="s">
        <v>74</v>
      </c>
      <c r="C36" s="2" t="s">
        <v>36</v>
      </c>
      <c r="D36">
        <v>0.29793573237828352</v>
      </c>
    </row>
    <row r="37" spans="1:4">
      <c r="A37" s="2">
        <v>36</v>
      </c>
      <c r="B37" s="2" t="s">
        <v>75</v>
      </c>
      <c r="C37" s="2" t="s">
        <v>36</v>
      </c>
      <c r="D37">
        <v>0.31723444721491678</v>
      </c>
    </row>
    <row r="38" spans="1:4">
      <c r="A38" s="2">
        <v>37</v>
      </c>
      <c r="B38" s="2" t="s">
        <v>76</v>
      </c>
      <c r="C38" s="2" t="s">
        <v>36</v>
      </c>
      <c r="D38">
        <v>0.32334190991373946</v>
      </c>
    </row>
    <row r="39" spans="1:4">
      <c r="A39" s="2">
        <v>38</v>
      </c>
      <c r="B39" s="2" t="s">
        <v>77</v>
      </c>
      <c r="C39" s="2" t="s">
        <v>36</v>
      </c>
      <c r="D39">
        <v>0.3353328192588968</v>
      </c>
    </row>
    <row r="40" spans="1:4">
      <c r="A40" s="2">
        <v>39</v>
      </c>
      <c r="B40" s="2" t="s">
        <v>78</v>
      </c>
      <c r="C40" s="2" t="s">
        <v>36</v>
      </c>
      <c r="D40">
        <v>0.34339657123128153</v>
      </c>
    </row>
    <row r="41" spans="1:4">
      <c r="A41" s="2">
        <v>40</v>
      </c>
      <c r="B41" s="2" t="s">
        <v>79</v>
      </c>
      <c r="C41" s="2" t="s">
        <v>36</v>
      </c>
      <c r="D41">
        <v>0.35041690148413007</v>
      </c>
    </row>
    <row r="42" spans="1:4">
      <c r="A42" s="2">
        <v>41</v>
      </c>
      <c r="B42" s="2" t="s">
        <v>80</v>
      </c>
      <c r="C42" s="2" t="s">
        <v>36</v>
      </c>
      <c r="D42">
        <v>0.35149383046358085</v>
      </c>
    </row>
    <row r="43" spans="1:4">
      <c r="A43" s="2">
        <v>42</v>
      </c>
      <c r="B43" s="2" t="s">
        <v>81</v>
      </c>
      <c r="C43" s="2" t="s">
        <v>36</v>
      </c>
      <c r="D43">
        <v>0.35238015449587656</v>
      </c>
    </row>
    <row r="44" spans="1:4">
      <c r="A44" s="2">
        <v>43</v>
      </c>
      <c r="B44" s="2" t="s">
        <v>82</v>
      </c>
      <c r="C44" s="2" t="s">
        <v>36</v>
      </c>
      <c r="D44">
        <v>0.37038126671210592</v>
      </c>
    </row>
    <row r="45" spans="1:4">
      <c r="A45" s="2">
        <v>44</v>
      </c>
      <c r="B45" s="2" t="s">
        <v>83</v>
      </c>
      <c r="C45" s="2" t="s">
        <v>36</v>
      </c>
      <c r="D45">
        <v>0.37058274335836561</v>
      </c>
    </row>
    <row r="46" spans="1:4">
      <c r="A46" s="2">
        <v>45</v>
      </c>
      <c r="B46" s="2" t="s">
        <v>84</v>
      </c>
      <c r="C46" s="2" t="s">
        <v>36</v>
      </c>
      <c r="D46">
        <v>0.37694360776954172</v>
      </c>
    </row>
    <row r="47" spans="1:4">
      <c r="A47" s="2">
        <v>46</v>
      </c>
      <c r="B47" s="2" t="s">
        <v>85</v>
      </c>
      <c r="C47" s="2" t="s">
        <v>36</v>
      </c>
      <c r="D47">
        <v>0.42332669052057659</v>
      </c>
    </row>
    <row r="48" spans="1:4">
      <c r="A48" s="2">
        <v>47</v>
      </c>
      <c r="B48" s="2" t="s">
        <v>86</v>
      </c>
      <c r="C48" s="2" t="s">
        <v>36</v>
      </c>
      <c r="D48">
        <v>0.42979516208659263</v>
      </c>
    </row>
    <row r="49" spans="1:5">
      <c r="A49" s="2">
        <v>48</v>
      </c>
      <c r="B49" s="2" t="s">
        <v>87</v>
      </c>
      <c r="C49" s="2" t="s">
        <v>36</v>
      </c>
      <c r="D49">
        <v>0.43118407833781969</v>
      </c>
    </row>
    <row r="50" spans="1:5">
      <c r="A50" s="2">
        <v>49</v>
      </c>
      <c r="B50" s="2" t="s">
        <v>88</v>
      </c>
      <c r="C50" s="2" t="s">
        <v>36</v>
      </c>
      <c r="D50">
        <v>0.43227780814696093</v>
      </c>
    </row>
    <row r="51" spans="1:5">
      <c r="A51" s="2">
        <v>50</v>
      </c>
      <c r="B51" s="2" t="s">
        <v>89</v>
      </c>
      <c r="C51" s="2" t="s">
        <v>36</v>
      </c>
      <c r="D51">
        <v>0.44826608955643443</v>
      </c>
    </row>
    <row r="52" spans="1:5">
      <c r="A52" s="2">
        <v>51</v>
      </c>
      <c r="B52" s="2" t="s">
        <v>90</v>
      </c>
      <c r="C52" s="2" t="s">
        <v>38</v>
      </c>
      <c r="D52">
        <v>0.47177450537476628</v>
      </c>
      <c r="E52">
        <f>COUNT(D52:D68)</f>
        <v>17</v>
      </c>
    </row>
    <row r="53" spans="1:5">
      <c r="A53" s="2">
        <v>52</v>
      </c>
      <c r="B53" s="2" t="s">
        <v>91</v>
      </c>
      <c r="C53" s="2" t="s">
        <v>38</v>
      </c>
      <c r="D53">
        <v>0.49378847358204792</v>
      </c>
    </row>
    <row r="54" spans="1:5">
      <c r="A54" s="2">
        <v>53</v>
      </c>
      <c r="B54" s="2" t="s">
        <v>92</v>
      </c>
      <c r="C54" s="2" t="s">
        <v>38</v>
      </c>
      <c r="D54">
        <v>0.51662104933690889</v>
      </c>
    </row>
    <row r="55" spans="1:5">
      <c r="A55" s="2">
        <v>54</v>
      </c>
      <c r="B55" s="2" t="s">
        <v>93</v>
      </c>
      <c r="C55" s="2" t="s">
        <v>38</v>
      </c>
      <c r="D55">
        <v>0.5383695459763651</v>
      </c>
    </row>
    <row r="56" spans="1:5">
      <c r="A56" s="2">
        <v>55</v>
      </c>
      <c r="B56" s="2" t="s">
        <v>94</v>
      </c>
      <c r="C56" s="2" t="s">
        <v>38</v>
      </c>
      <c r="D56">
        <v>0.5610136306637612</v>
      </c>
    </row>
    <row r="57" spans="1:5">
      <c r="A57" s="2">
        <v>56</v>
      </c>
      <c r="B57" s="2" t="s">
        <v>95</v>
      </c>
      <c r="C57" s="2" t="s">
        <v>38</v>
      </c>
      <c r="D57">
        <v>0.5648185056452909</v>
      </c>
    </row>
    <row r="58" spans="1:5">
      <c r="A58" s="2">
        <v>57</v>
      </c>
      <c r="B58" s="2" t="s">
        <v>96</v>
      </c>
      <c r="C58" s="2" t="s">
        <v>38</v>
      </c>
      <c r="D58">
        <v>0.57658724545300377</v>
      </c>
    </row>
    <row r="59" spans="1:5">
      <c r="A59" s="2">
        <v>58</v>
      </c>
      <c r="B59" s="2" t="s">
        <v>97</v>
      </c>
      <c r="C59" s="2" t="s">
        <v>38</v>
      </c>
      <c r="D59">
        <v>0.57934224998373363</v>
      </c>
    </row>
    <row r="60" spans="1:5">
      <c r="A60" s="2">
        <v>59</v>
      </c>
      <c r="B60" s="2" t="s">
        <v>98</v>
      </c>
      <c r="C60" s="2" t="s">
        <v>38</v>
      </c>
      <c r="D60">
        <v>0.59281725499788196</v>
      </c>
    </row>
    <row r="61" spans="1:5">
      <c r="A61" s="2">
        <v>60</v>
      </c>
      <c r="B61" s="2" t="s">
        <v>99</v>
      </c>
      <c r="C61" s="2" t="s">
        <v>38</v>
      </c>
      <c r="D61">
        <v>0.59491499316769381</v>
      </c>
    </row>
    <row r="62" spans="1:5">
      <c r="A62" s="2">
        <v>61</v>
      </c>
      <c r="B62" s="2" t="s">
        <v>100</v>
      </c>
      <c r="C62" s="2" t="s">
        <v>38</v>
      </c>
      <c r="D62">
        <v>0.60283685469281678</v>
      </c>
    </row>
    <row r="63" spans="1:5">
      <c r="A63" s="2">
        <v>62</v>
      </c>
      <c r="B63" s="2" t="s">
        <v>101</v>
      </c>
      <c r="C63" s="2" t="s">
        <v>38</v>
      </c>
      <c r="D63">
        <v>0.62765393715686923</v>
      </c>
    </row>
    <row r="64" spans="1:5">
      <c r="A64" s="2">
        <v>63</v>
      </c>
      <c r="B64" s="2" t="s">
        <v>102</v>
      </c>
      <c r="C64" s="2" t="s">
        <v>38</v>
      </c>
      <c r="D64">
        <v>0.64768523755648766</v>
      </c>
    </row>
    <row r="65" spans="1:5">
      <c r="A65" s="2">
        <v>64</v>
      </c>
      <c r="B65" s="2" t="s">
        <v>103</v>
      </c>
      <c r="C65" s="2" t="s">
        <v>38</v>
      </c>
      <c r="D65">
        <v>0.65286145486990765</v>
      </c>
    </row>
    <row r="66" spans="1:5">
      <c r="A66" s="2">
        <v>65</v>
      </c>
      <c r="B66" s="2" t="s">
        <v>104</v>
      </c>
      <c r="C66" s="2" t="s">
        <v>38</v>
      </c>
      <c r="D66">
        <v>0.67918870473101844</v>
      </c>
    </row>
    <row r="67" spans="1:5">
      <c r="A67" s="2">
        <v>66</v>
      </c>
      <c r="B67" s="2" t="s">
        <v>105</v>
      </c>
      <c r="C67" s="2" t="s">
        <v>38</v>
      </c>
      <c r="D67">
        <v>0.67970141652641169</v>
      </c>
    </row>
    <row r="68" spans="1:5">
      <c r="A68" s="2">
        <v>67</v>
      </c>
      <c r="B68" s="2" t="s">
        <v>106</v>
      </c>
      <c r="C68" s="2" t="s">
        <v>38</v>
      </c>
      <c r="D68">
        <v>0.69826785529696234</v>
      </c>
    </row>
    <row r="69" spans="1:5">
      <c r="A69" s="2">
        <v>68</v>
      </c>
      <c r="B69" s="2" t="s">
        <v>107</v>
      </c>
      <c r="C69" s="2" t="s">
        <v>43</v>
      </c>
      <c r="D69">
        <v>0.70687874055113153</v>
      </c>
      <c r="E69">
        <f>COUNT(D70:D84)</f>
        <v>15</v>
      </c>
    </row>
    <row r="70" spans="1:5">
      <c r="A70" s="2">
        <v>69</v>
      </c>
      <c r="B70" s="2" t="s">
        <v>108</v>
      </c>
      <c r="C70" s="2" t="s">
        <v>43</v>
      </c>
      <c r="D70">
        <v>0.71399357663877427</v>
      </c>
    </row>
    <row r="71" spans="1:5">
      <c r="A71" s="2">
        <v>70</v>
      </c>
      <c r="B71" s="2" t="s">
        <v>109</v>
      </c>
      <c r="C71" s="2" t="s">
        <v>43</v>
      </c>
      <c r="D71">
        <v>0.73097545446013001</v>
      </c>
    </row>
    <row r="72" spans="1:5">
      <c r="A72" s="2">
        <v>71</v>
      </c>
      <c r="B72" s="2" t="s">
        <v>110</v>
      </c>
      <c r="C72" s="2" t="s">
        <v>43</v>
      </c>
      <c r="D72">
        <v>0.74695462914547195</v>
      </c>
    </row>
    <row r="73" spans="1:5">
      <c r="A73" s="2">
        <v>72</v>
      </c>
      <c r="B73" s="2" t="s">
        <v>111</v>
      </c>
      <c r="C73" s="2" t="s">
        <v>43</v>
      </c>
      <c r="D73">
        <v>0.74701645726480637</v>
      </c>
    </row>
    <row r="74" spans="1:5">
      <c r="A74" s="2">
        <v>73</v>
      </c>
      <c r="B74" s="2" t="s">
        <v>112</v>
      </c>
      <c r="C74" s="2" t="s">
        <v>43</v>
      </c>
      <c r="D74">
        <v>0.75172934950844938</v>
      </c>
    </row>
    <row r="75" spans="1:5">
      <c r="A75" s="2">
        <v>74</v>
      </c>
      <c r="B75" s="2" t="s">
        <v>113</v>
      </c>
      <c r="C75" s="2" t="s">
        <v>43</v>
      </c>
      <c r="D75">
        <v>0.76257888859405376</v>
      </c>
    </row>
    <row r="76" spans="1:5">
      <c r="A76" s="2">
        <v>75</v>
      </c>
      <c r="B76" s="2" t="s">
        <v>114</v>
      </c>
      <c r="C76" s="2" t="s">
        <v>43</v>
      </c>
      <c r="D76">
        <v>0.76278966088133737</v>
      </c>
    </row>
    <row r="77" spans="1:5">
      <c r="A77" s="2">
        <v>76</v>
      </c>
      <c r="B77" s="2" t="s">
        <v>115</v>
      </c>
      <c r="C77" s="2" t="s">
        <v>43</v>
      </c>
      <c r="D77">
        <v>0.76739937530680435</v>
      </c>
    </row>
    <row r="78" spans="1:5">
      <c r="A78" s="2">
        <v>77</v>
      </c>
      <c r="B78" s="2" t="s">
        <v>116</v>
      </c>
      <c r="C78" s="2" t="s">
        <v>43</v>
      </c>
      <c r="D78">
        <v>0.76877359328619832</v>
      </c>
    </row>
    <row r="79" spans="1:5">
      <c r="A79" s="2">
        <v>78</v>
      </c>
      <c r="B79" s="2" t="s">
        <v>117</v>
      </c>
      <c r="C79" s="2" t="s">
        <v>43</v>
      </c>
      <c r="D79">
        <v>0.78001636930477525</v>
      </c>
    </row>
    <row r="80" spans="1:5">
      <c r="A80" s="2">
        <v>79</v>
      </c>
      <c r="B80" s="2" t="s">
        <v>118</v>
      </c>
      <c r="C80" s="2" t="s">
        <v>43</v>
      </c>
      <c r="D80">
        <v>0.78362332420242475</v>
      </c>
    </row>
    <row r="81" spans="1:5">
      <c r="A81" s="2">
        <v>80</v>
      </c>
      <c r="B81" s="2" t="s">
        <v>119</v>
      </c>
      <c r="C81" s="2" t="s">
        <v>43</v>
      </c>
      <c r="D81">
        <v>0.78518075184259828</v>
      </c>
    </row>
    <row r="82" spans="1:5">
      <c r="A82" s="2">
        <v>81</v>
      </c>
      <c r="B82" s="2" t="s">
        <v>120</v>
      </c>
      <c r="C82" s="2" t="s">
        <v>43</v>
      </c>
      <c r="D82">
        <v>0.78665619721756219</v>
      </c>
    </row>
    <row r="83" spans="1:5">
      <c r="A83" s="2">
        <v>82</v>
      </c>
      <c r="B83" s="2" t="s">
        <v>121</v>
      </c>
      <c r="C83" s="2" t="s">
        <v>43</v>
      </c>
      <c r="D83">
        <v>0.79592336343843317</v>
      </c>
    </row>
    <row r="84" spans="1:5">
      <c r="A84" s="2">
        <v>83</v>
      </c>
      <c r="B84" s="2" t="s">
        <v>122</v>
      </c>
      <c r="C84" s="2" t="s">
        <v>43</v>
      </c>
      <c r="D84">
        <v>0.8065379984969997</v>
      </c>
    </row>
    <row r="85" spans="1:5">
      <c r="A85" s="2">
        <v>84</v>
      </c>
      <c r="B85" s="2" t="s">
        <v>123</v>
      </c>
      <c r="C85" s="2" t="s">
        <v>40</v>
      </c>
      <c r="D85">
        <v>0.81109795473381219</v>
      </c>
      <c r="E85">
        <f>COUNT(D85:D101)</f>
        <v>17</v>
      </c>
    </row>
    <row r="86" spans="1:5">
      <c r="A86" s="2">
        <v>85</v>
      </c>
      <c r="B86" s="2" t="s">
        <v>124</v>
      </c>
      <c r="C86" s="2" t="s">
        <v>40</v>
      </c>
      <c r="D86">
        <v>0.83074658845358029</v>
      </c>
    </row>
    <row r="87" spans="1:5">
      <c r="A87" s="2">
        <v>86</v>
      </c>
      <c r="B87" s="2" t="s">
        <v>125</v>
      </c>
      <c r="C87" s="2" t="s">
        <v>40</v>
      </c>
      <c r="D87">
        <v>0.83394819388223651</v>
      </c>
    </row>
    <row r="88" spans="1:5">
      <c r="A88" s="2">
        <v>87</v>
      </c>
      <c r="B88" s="2" t="s">
        <v>126</v>
      </c>
      <c r="C88" s="2" t="s">
        <v>40</v>
      </c>
      <c r="D88">
        <v>0.8434425551808481</v>
      </c>
    </row>
    <row r="89" spans="1:5">
      <c r="A89" s="2">
        <v>88</v>
      </c>
      <c r="B89" s="2" t="s">
        <v>127</v>
      </c>
      <c r="C89" s="2" t="s">
        <v>40</v>
      </c>
      <c r="D89">
        <v>0.86521415357746612</v>
      </c>
    </row>
    <row r="90" spans="1:5">
      <c r="A90" s="2">
        <v>89</v>
      </c>
      <c r="B90" s="2" t="s">
        <v>128</v>
      </c>
      <c r="C90" s="2" t="s">
        <v>40</v>
      </c>
      <c r="D90">
        <v>0.86539684442265452</v>
      </c>
    </row>
    <row r="91" spans="1:5">
      <c r="A91" s="2">
        <v>90</v>
      </c>
      <c r="B91" s="2" t="s">
        <v>129</v>
      </c>
      <c r="C91" s="2" t="s">
        <v>40</v>
      </c>
      <c r="D91">
        <v>0.9000894462342407</v>
      </c>
    </row>
    <row r="92" spans="1:5">
      <c r="A92" s="2">
        <v>91</v>
      </c>
      <c r="B92" s="2" t="s">
        <v>130</v>
      </c>
      <c r="C92" s="2" t="s">
        <v>40</v>
      </c>
      <c r="D92">
        <v>0.90542348719590682</v>
      </c>
    </row>
    <row r="93" spans="1:5">
      <c r="A93" s="2">
        <v>92</v>
      </c>
      <c r="B93" s="2" t="s">
        <v>131</v>
      </c>
      <c r="C93" s="2" t="s">
        <v>40</v>
      </c>
      <c r="D93">
        <v>0.91254006532632115</v>
      </c>
    </row>
    <row r="94" spans="1:5">
      <c r="A94" s="2">
        <v>93</v>
      </c>
      <c r="B94" s="2" t="s">
        <v>132</v>
      </c>
      <c r="C94" s="2" t="s">
        <v>40</v>
      </c>
      <c r="D94">
        <v>0.92602648559943324</v>
      </c>
    </row>
    <row r="95" spans="1:5">
      <c r="A95" s="2">
        <v>94</v>
      </c>
      <c r="B95" s="2" t="s">
        <v>133</v>
      </c>
      <c r="C95" s="2" t="s">
        <v>40</v>
      </c>
      <c r="D95">
        <v>0.93123344279743681</v>
      </c>
    </row>
    <row r="96" spans="1:5">
      <c r="A96" s="2">
        <v>95</v>
      </c>
      <c r="B96" s="2" t="s">
        <v>134</v>
      </c>
      <c r="C96" s="2" t="s">
        <v>40</v>
      </c>
      <c r="D96">
        <v>0.94178102702023969</v>
      </c>
    </row>
    <row r="97" spans="1:4">
      <c r="A97" s="2">
        <v>96</v>
      </c>
      <c r="B97" s="2" t="s">
        <v>135</v>
      </c>
      <c r="C97" s="2" t="s">
        <v>40</v>
      </c>
      <c r="D97">
        <v>0.94670920373502732</v>
      </c>
    </row>
    <row r="98" spans="1:4">
      <c r="A98" s="2">
        <v>97</v>
      </c>
      <c r="B98" s="2" t="s">
        <v>136</v>
      </c>
      <c r="C98" s="2" t="s">
        <v>40</v>
      </c>
      <c r="D98">
        <v>0.94825402028722838</v>
      </c>
    </row>
    <row r="99" spans="1:4">
      <c r="A99" s="2">
        <v>98</v>
      </c>
      <c r="B99" s="2" t="s">
        <v>137</v>
      </c>
      <c r="C99" s="2" t="s">
        <v>40</v>
      </c>
      <c r="D99">
        <v>0.96755646811601803</v>
      </c>
    </row>
    <row r="100" spans="1:4">
      <c r="A100" s="2">
        <v>99</v>
      </c>
      <c r="B100" s="2" t="s">
        <v>138</v>
      </c>
      <c r="C100" s="2" t="s">
        <v>40</v>
      </c>
      <c r="D100">
        <v>0.98171189255930935</v>
      </c>
    </row>
    <row r="101" spans="1:4">
      <c r="A101" s="2">
        <v>100</v>
      </c>
      <c r="B101" s="2" t="s">
        <v>139</v>
      </c>
      <c r="C101" s="2" t="s">
        <v>40</v>
      </c>
      <c r="D101">
        <v>0.99079852203160257</v>
      </c>
    </row>
  </sheetData>
  <sortState xmlns:xlrd2="http://schemas.microsoft.com/office/spreadsheetml/2017/richdata2" ref="D2:D103">
    <sortCondition ref="D2:D1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730C-5686-45AD-8C6C-099B20D1AE3E}">
  <dimension ref="A1:K101"/>
  <sheetViews>
    <sheetView workbookViewId="0">
      <selection activeCell="I12" sqref="I12"/>
    </sheetView>
  </sheetViews>
  <sheetFormatPr defaultRowHeight="15"/>
  <cols>
    <col min="1" max="1" width="11.42578125" customWidth="1"/>
    <col min="2" max="2" width="15.28515625" customWidth="1"/>
    <col min="11" max="11" width="11.28515625" customWidth="1"/>
  </cols>
  <sheetData>
    <row r="1" spans="1:11" ht="25.5" customHeight="1">
      <c r="A1" s="1" t="s">
        <v>32</v>
      </c>
      <c r="B1" s="1" t="s">
        <v>33</v>
      </c>
      <c r="C1" s="1" t="s">
        <v>34</v>
      </c>
      <c r="D1" s="1" t="s">
        <v>140</v>
      </c>
      <c r="E1" s="1" t="s">
        <v>146</v>
      </c>
      <c r="H1" s="1" t="s">
        <v>146</v>
      </c>
      <c r="I1" s="1" t="s">
        <v>152</v>
      </c>
      <c r="J1" s="1" t="s">
        <v>153</v>
      </c>
      <c r="K1" s="1" t="s">
        <v>154</v>
      </c>
    </row>
    <row r="2" spans="1:11">
      <c r="A2" s="2">
        <v>1</v>
      </c>
      <c r="B2" s="2" t="s">
        <v>35</v>
      </c>
      <c r="C2" s="2" t="s">
        <v>36</v>
      </c>
      <c r="D2">
        <v>2.3669340847003451E-3</v>
      </c>
      <c r="E2" t="s">
        <v>147</v>
      </c>
      <c r="H2" t="s">
        <v>150</v>
      </c>
      <c r="I2">
        <v>0.36815318680773201</v>
      </c>
      <c r="J2">
        <f>INT((A3-1)/20)+1</f>
        <v>1</v>
      </c>
      <c r="K2" t="str">
        <f>CHAR(INT((A3-1)/20)+65)</f>
        <v>A</v>
      </c>
    </row>
    <row r="3" spans="1:11">
      <c r="A3" s="2">
        <v>2</v>
      </c>
      <c r="B3" s="2" t="s">
        <v>37</v>
      </c>
      <c r="C3" s="2" t="s">
        <v>38</v>
      </c>
      <c r="D3">
        <v>2.0112734006618949E-2</v>
      </c>
      <c r="E3" t="s">
        <v>147</v>
      </c>
      <c r="H3" t="s">
        <v>148</v>
      </c>
      <c r="I3">
        <v>0.39560103205141428</v>
      </c>
      <c r="J3">
        <f>INT((A25-1)/20)+1</f>
        <v>2</v>
      </c>
    </row>
    <row r="4" spans="1:11">
      <c r="A4" s="2">
        <v>3</v>
      </c>
      <c r="B4" s="2" t="s">
        <v>39</v>
      </c>
      <c r="C4" s="2" t="s">
        <v>40</v>
      </c>
      <c r="D4">
        <v>2.1219731810150133E-2</v>
      </c>
      <c r="E4" t="s">
        <v>147</v>
      </c>
      <c r="H4" t="s">
        <v>147</v>
      </c>
      <c r="I4">
        <v>0.48272601937077098</v>
      </c>
      <c r="J4">
        <f>INT((A45-1)/20)+1</f>
        <v>3</v>
      </c>
    </row>
    <row r="5" spans="1:11">
      <c r="A5" s="2">
        <v>4</v>
      </c>
      <c r="B5" s="2" t="s">
        <v>41</v>
      </c>
      <c r="C5" s="2" t="s">
        <v>36</v>
      </c>
      <c r="D5">
        <v>2.888208244445345E-2</v>
      </c>
      <c r="E5" t="s">
        <v>147</v>
      </c>
      <c r="H5" t="s">
        <v>149</v>
      </c>
      <c r="I5">
        <v>0.91745329534178466</v>
      </c>
      <c r="J5">
        <f>INT((A87-1)/20)+1</f>
        <v>5</v>
      </c>
    </row>
    <row r="6" spans="1:11">
      <c r="A6" s="2">
        <v>5</v>
      </c>
      <c r="B6" s="2" t="s">
        <v>42</v>
      </c>
      <c r="C6" s="2" t="s">
        <v>43</v>
      </c>
      <c r="D6">
        <v>3.8218925639239121E-2</v>
      </c>
      <c r="E6" t="s">
        <v>147</v>
      </c>
      <c r="H6" t="s">
        <v>151</v>
      </c>
      <c r="I6">
        <v>0.92711939748983951</v>
      </c>
      <c r="J6">
        <f>INT((A78-1)/20)+1</f>
        <v>4</v>
      </c>
    </row>
    <row r="7" spans="1:11">
      <c r="A7" s="2">
        <v>6</v>
      </c>
      <c r="B7" s="2" t="s">
        <v>44</v>
      </c>
      <c r="C7" s="2" t="s">
        <v>45</v>
      </c>
      <c r="D7">
        <v>3.9731652082436897E-2</v>
      </c>
      <c r="E7" t="s">
        <v>147</v>
      </c>
    </row>
    <row r="8" spans="1:11">
      <c r="A8" s="2">
        <v>7</v>
      </c>
      <c r="B8" s="2" t="s">
        <v>46</v>
      </c>
      <c r="C8" s="2" t="s">
        <v>36</v>
      </c>
      <c r="D8">
        <v>6.9692215444988395E-2</v>
      </c>
      <c r="E8" t="s">
        <v>147</v>
      </c>
      <c r="I8" t="s">
        <v>335</v>
      </c>
    </row>
    <row r="9" spans="1:11">
      <c r="A9" s="2">
        <v>8</v>
      </c>
      <c r="B9" s="2" t="s">
        <v>47</v>
      </c>
      <c r="C9" s="2" t="s">
        <v>38</v>
      </c>
      <c r="D9">
        <v>7.0031990890389251E-2</v>
      </c>
      <c r="E9" t="s">
        <v>147</v>
      </c>
      <c r="I9" t="s">
        <v>336</v>
      </c>
    </row>
    <row r="10" spans="1:11">
      <c r="A10" s="2">
        <v>9</v>
      </c>
      <c r="B10" s="2" t="s">
        <v>48</v>
      </c>
      <c r="C10" s="2" t="s">
        <v>40</v>
      </c>
      <c r="D10">
        <v>7.6922154449883998E-2</v>
      </c>
      <c r="E10" t="s">
        <v>147</v>
      </c>
      <c r="I10" t="str">
        <f>IF(A2&lt;=15,"1",IF(A2&lt;=40,"2",IF(A2&lt;=60,"3",IF(A2&lt;=80,"4","5"))))</f>
        <v>1</v>
      </c>
    </row>
    <row r="11" spans="1:11">
      <c r="A11" s="2">
        <v>10</v>
      </c>
      <c r="B11" s="2" t="s">
        <v>49</v>
      </c>
      <c r="C11" s="2" t="s">
        <v>36</v>
      </c>
      <c r="D11">
        <v>8.8056219683956716E-2</v>
      </c>
      <c r="E11" t="s">
        <v>147</v>
      </c>
      <c r="I11" t="str">
        <f>IF(A93&lt;=20,"1",IF(A93&lt;=40,"2",IF(A93&lt;=60,"3",IF(A93&lt;=80,"4","5"))))</f>
        <v>5</v>
      </c>
    </row>
    <row r="12" spans="1:11">
      <c r="A12" s="2">
        <v>11</v>
      </c>
      <c r="B12" s="2" t="s">
        <v>50</v>
      </c>
      <c r="C12" s="2" t="s">
        <v>43</v>
      </c>
      <c r="D12">
        <v>9.5743527567657249E-2</v>
      </c>
      <c r="E12" t="s">
        <v>147</v>
      </c>
    </row>
    <row r="13" spans="1:11">
      <c r="A13" s="2">
        <v>12</v>
      </c>
      <c r="B13" s="2" t="s">
        <v>51</v>
      </c>
      <c r="C13" s="2" t="s">
        <v>45</v>
      </c>
      <c r="D13">
        <v>0.11154525380994618</v>
      </c>
      <c r="E13" t="s">
        <v>147</v>
      </c>
    </row>
    <row r="14" spans="1:11">
      <c r="A14" s="2">
        <v>13</v>
      </c>
      <c r="B14" s="2" t="s">
        <v>52</v>
      </c>
      <c r="C14" s="2" t="s">
        <v>36</v>
      </c>
      <c r="D14">
        <v>0.11560590571971585</v>
      </c>
      <c r="E14" t="s">
        <v>147</v>
      </c>
    </row>
    <row r="15" spans="1:11">
      <c r="A15" s="2">
        <v>14</v>
      </c>
      <c r="B15" s="2" t="s">
        <v>53</v>
      </c>
      <c r="C15" s="2" t="s">
        <v>38</v>
      </c>
      <c r="D15">
        <v>0.12779656436951636</v>
      </c>
      <c r="E15" t="s">
        <v>147</v>
      </c>
    </row>
    <row r="16" spans="1:11">
      <c r="A16" s="2">
        <v>15</v>
      </c>
      <c r="B16" s="2" t="s">
        <v>54</v>
      </c>
      <c r="C16" s="2" t="s">
        <v>40</v>
      </c>
      <c r="D16">
        <v>0.12973804768360664</v>
      </c>
      <c r="E16" t="s">
        <v>147</v>
      </c>
    </row>
    <row r="17" spans="1:5">
      <c r="A17" s="2">
        <v>16</v>
      </c>
      <c r="B17" s="2" t="s">
        <v>55</v>
      </c>
      <c r="C17" s="2" t="s">
        <v>36</v>
      </c>
      <c r="D17">
        <v>0.13261842794181855</v>
      </c>
      <c r="E17" t="s">
        <v>147</v>
      </c>
    </row>
    <row r="18" spans="1:5">
      <c r="A18" s="2">
        <v>17</v>
      </c>
      <c r="B18" s="2" t="s">
        <v>56</v>
      </c>
      <c r="C18" s="2" t="s">
        <v>43</v>
      </c>
      <c r="D18">
        <v>0.13263335650994024</v>
      </c>
      <c r="E18" t="s">
        <v>147</v>
      </c>
    </row>
    <row r="19" spans="1:5">
      <c r="A19" s="2">
        <v>18</v>
      </c>
      <c r="B19" s="2" t="s">
        <v>57</v>
      </c>
      <c r="C19" s="2" t="s">
        <v>45</v>
      </c>
      <c r="D19">
        <v>0.16324982940143673</v>
      </c>
      <c r="E19" t="s">
        <v>147</v>
      </c>
    </row>
    <row r="20" spans="1:5">
      <c r="A20" s="2">
        <v>19</v>
      </c>
      <c r="B20" s="2" t="s">
        <v>58</v>
      </c>
      <c r="C20" s="2" t="s">
        <v>36</v>
      </c>
      <c r="D20">
        <v>0.18460737227520818</v>
      </c>
      <c r="E20" t="s">
        <v>147</v>
      </c>
    </row>
    <row r="21" spans="1:5">
      <c r="A21" s="2">
        <v>20</v>
      </c>
      <c r="B21" s="2" t="s">
        <v>59</v>
      </c>
      <c r="C21" s="2" t="s">
        <v>38</v>
      </c>
      <c r="D21">
        <v>0.18587129329036178</v>
      </c>
      <c r="E21" t="s">
        <v>147</v>
      </c>
    </row>
    <row r="22" spans="1:5">
      <c r="A22" s="2">
        <v>21</v>
      </c>
      <c r="B22" s="2" t="s">
        <v>60</v>
      </c>
      <c r="C22" s="2" t="s">
        <v>40</v>
      </c>
      <c r="D22">
        <v>0.19037269472301155</v>
      </c>
      <c r="E22" t="s">
        <v>147</v>
      </c>
    </row>
    <row r="23" spans="1:5">
      <c r="A23" s="2">
        <v>22</v>
      </c>
      <c r="B23" s="2" t="s">
        <v>61</v>
      </c>
      <c r="C23" s="2" t="s">
        <v>36</v>
      </c>
      <c r="D23">
        <v>0.19082183516754792</v>
      </c>
      <c r="E23" t="s">
        <v>149</v>
      </c>
    </row>
    <row r="24" spans="1:5">
      <c r="A24" s="2">
        <v>23</v>
      </c>
      <c r="B24" s="2" t="s">
        <v>62</v>
      </c>
      <c r="C24" s="2" t="s">
        <v>43</v>
      </c>
      <c r="D24">
        <v>0.2009728648394189</v>
      </c>
      <c r="E24" t="s">
        <v>149</v>
      </c>
    </row>
    <row r="25" spans="1:5">
      <c r="A25" s="2">
        <v>24</v>
      </c>
      <c r="B25" s="2" t="s">
        <v>63</v>
      </c>
      <c r="C25" s="2" t="s">
        <v>45</v>
      </c>
      <c r="D25">
        <v>0.20907126906540285</v>
      </c>
      <c r="E25" t="s">
        <v>149</v>
      </c>
    </row>
    <row r="26" spans="1:5">
      <c r="A26" s="2">
        <v>25</v>
      </c>
      <c r="B26" s="2" t="s">
        <v>64</v>
      </c>
      <c r="C26" s="2" t="s">
        <v>36</v>
      </c>
      <c r="D26">
        <v>0.21874489113004258</v>
      </c>
      <c r="E26" t="s">
        <v>149</v>
      </c>
    </row>
    <row r="27" spans="1:5">
      <c r="A27" s="2">
        <v>26</v>
      </c>
      <c r="B27" s="2" t="s">
        <v>65</v>
      </c>
      <c r="C27" s="2" t="s">
        <v>38</v>
      </c>
      <c r="D27">
        <v>0.22506054837482159</v>
      </c>
      <c r="E27" t="s">
        <v>149</v>
      </c>
    </row>
    <row r="28" spans="1:5">
      <c r="A28" s="2">
        <v>27</v>
      </c>
      <c r="B28" s="2" t="s">
        <v>66</v>
      </c>
      <c r="C28" s="2" t="s">
        <v>40</v>
      </c>
      <c r="D28">
        <v>0.22516103301028068</v>
      </c>
      <c r="E28" t="s">
        <v>149</v>
      </c>
    </row>
    <row r="29" spans="1:5">
      <c r="A29" s="2">
        <v>28</v>
      </c>
      <c r="B29" s="2" t="s">
        <v>67</v>
      </c>
      <c r="C29" s="2" t="s">
        <v>36</v>
      </c>
      <c r="D29">
        <v>0.23904471311343556</v>
      </c>
      <c r="E29" t="s">
        <v>149</v>
      </c>
    </row>
    <row r="30" spans="1:5">
      <c r="A30" s="2">
        <v>29</v>
      </c>
      <c r="B30" s="2" t="s">
        <v>68</v>
      </c>
      <c r="C30" s="2" t="s">
        <v>43</v>
      </c>
      <c r="D30">
        <v>0.2494971850286487</v>
      </c>
      <c r="E30" t="s">
        <v>149</v>
      </c>
    </row>
    <row r="31" spans="1:5">
      <c r="A31" s="2">
        <v>30</v>
      </c>
      <c r="B31" s="2" t="s">
        <v>69</v>
      </c>
      <c r="C31" s="2" t="s">
        <v>45</v>
      </c>
      <c r="D31">
        <v>0.25395466047208015</v>
      </c>
      <c r="E31" t="s">
        <v>149</v>
      </c>
    </row>
    <row r="32" spans="1:5">
      <c r="A32" s="2">
        <v>31</v>
      </c>
      <c r="B32" s="2" t="s">
        <v>70</v>
      </c>
      <c r="C32" s="2" t="s">
        <v>36</v>
      </c>
      <c r="D32">
        <v>0.26160017081613463</v>
      </c>
      <c r="E32" t="s">
        <v>149</v>
      </c>
    </row>
    <row r="33" spans="1:5">
      <c r="A33" s="2">
        <v>32</v>
      </c>
      <c r="B33" s="2" t="s">
        <v>71</v>
      </c>
      <c r="C33" s="2" t="s">
        <v>38</v>
      </c>
      <c r="D33">
        <v>0.27762427158349257</v>
      </c>
      <c r="E33" t="s">
        <v>149</v>
      </c>
    </row>
    <row r="34" spans="1:5">
      <c r="A34" s="2">
        <v>33</v>
      </c>
      <c r="B34" s="2" t="s">
        <v>72</v>
      </c>
      <c r="C34" s="2" t="s">
        <v>40</v>
      </c>
      <c r="D34">
        <v>0.29077350462420004</v>
      </c>
      <c r="E34" t="s">
        <v>149</v>
      </c>
    </row>
    <row r="35" spans="1:5">
      <c r="A35" s="2">
        <v>34</v>
      </c>
      <c r="B35" s="2" t="s">
        <v>73</v>
      </c>
      <c r="C35" s="2" t="s">
        <v>36</v>
      </c>
      <c r="D35">
        <v>0.29082010298824645</v>
      </c>
      <c r="E35" t="s">
        <v>149</v>
      </c>
    </row>
    <row r="36" spans="1:5">
      <c r="A36" s="2">
        <v>35</v>
      </c>
      <c r="B36" s="2" t="s">
        <v>74</v>
      </c>
      <c r="C36" s="2" t="s">
        <v>43</v>
      </c>
      <c r="D36">
        <v>0.29793573237828352</v>
      </c>
      <c r="E36" t="s">
        <v>149</v>
      </c>
    </row>
    <row r="37" spans="1:5">
      <c r="A37" s="2">
        <v>36</v>
      </c>
      <c r="B37" s="2" t="s">
        <v>75</v>
      </c>
      <c r="C37" s="2" t="s">
        <v>45</v>
      </c>
      <c r="D37">
        <v>0.31723444721491678</v>
      </c>
      <c r="E37" t="s">
        <v>149</v>
      </c>
    </row>
    <row r="38" spans="1:5">
      <c r="A38" s="2">
        <v>37</v>
      </c>
      <c r="B38" s="2" t="s">
        <v>76</v>
      </c>
      <c r="C38" s="2" t="s">
        <v>36</v>
      </c>
      <c r="D38">
        <v>0.32334190991373946</v>
      </c>
      <c r="E38" t="s">
        <v>149</v>
      </c>
    </row>
    <row r="39" spans="1:5">
      <c r="A39" s="2">
        <v>38</v>
      </c>
      <c r="B39" s="2" t="s">
        <v>77</v>
      </c>
      <c r="C39" s="2" t="s">
        <v>38</v>
      </c>
      <c r="D39">
        <v>0.3353328192588968</v>
      </c>
      <c r="E39" t="s">
        <v>149</v>
      </c>
    </row>
    <row r="40" spans="1:5">
      <c r="A40" s="2">
        <v>39</v>
      </c>
      <c r="B40" s="2" t="s">
        <v>78</v>
      </c>
      <c r="C40" s="2" t="s">
        <v>40</v>
      </c>
      <c r="D40">
        <v>0.34339657123128153</v>
      </c>
      <c r="E40" t="s">
        <v>149</v>
      </c>
    </row>
    <row r="41" spans="1:5">
      <c r="A41" s="2">
        <v>40</v>
      </c>
      <c r="B41" s="2" t="s">
        <v>79</v>
      </c>
      <c r="C41" s="2" t="s">
        <v>36</v>
      </c>
      <c r="D41">
        <v>0.35041690148413007</v>
      </c>
      <c r="E41" t="s">
        <v>149</v>
      </c>
    </row>
    <row r="42" spans="1:5">
      <c r="A42" s="2">
        <v>41</v>
      </c>
      <c r="B42" s="2" t="s">
        <v>80</v>
      </c>
      <c r="C42" s="2" t="s">
        <v>43</v>
      </c>
      <c r="D42">
        <v>0.35149383046358085</v>
      </c>
      <c r="E42" t="s">
        <v>149</v>
      </c>
    </row>
    <row r="43" spans="1:5">
      <c r="A43" s="2">
        <v>42</v>
      </c>
      <c r="B43" s="2" t="s">
        <v>81</v>
      </c>
      <c r="C43" s="2" t="s">
        <v>45</v>
      </c>
      <c r="D43">
        <v>0.35238015449587656</v>
      </c>
      <c r="E43" t="s">
        <v>150</v>
      </c>
    </row>
    <row r="44" spans="1:5">
      <c r="A44" s="2">
        <v>43</v>
      </c>
      <c r="B44" s="2" t="s">
        <v>82</v>
      </c>
      <c r="C44" s="2" t="s">
        <v>36</v>
      </c>
      <c r="D44">
        <v>0.37038126671210592</v>
      </c>
      <c r="E44" t="s">
        <v>150</v>
      </c>
    </row>
    <row r="45" spans="1:5">
      <c r="A45" s="2">
        <v>44</v>
      </c>
      <c r="B45" s="2" t="s">
        <v>83</v>
      </c>
      <c r="C45" s="2" t="s">
        <v>38</v>
      </c>
      <c r="D45">
        <v>0.37058274335836561</v>
      </c>
      <c r="E45" t="s">
        <v>150</v>
      </c>
    </row>
    <row r="46" spans="1:5">
      <c r="A46" s="2">
        <v>45</v>
      </c>
      <c r="B46" s="2" t="s">
        <v>84</v>
      </c>
      <c r="C46" s="2" t="s">
        <v>40</v>
      </c>
      <c r="D46">
        <v>0.37694360776954172</v>
      </c>
      <c r="E46" t="s">
        <v>150</v>
      </c>
    </row>
    <row r="47" spans="1:5">
      <c r="A47" s="2">
        <v>46</v>
      </c>
      <c r="B47" s="2" t="s">
        <v>85</v>
      </c>
      <c r="C47" s="2" t="s">
        <v>36</v>
      </c>
      <c r="D47">
        <v>0.42332669052057659</v>
      </c>
      <c r="E47" t="s">
        <v>150</v>
      </c>
    </row>
    <row r="48" spans="1:5">
      <c r="A48" s="2">
        <v>47</v>
      </c>
      <c r="B48" s="2" t="s">
        <v>86</v>
      </c>
      <c r="C48" s="2" t="s">
        <v>43</v>
      </c>
      <c r="D48">
        <v>0.42979516208659263</v>
      </c>
      <c r="E48" t="s">
        <v>150</v>
      </c>
    </row>
    <row r="49" spans="1:5">
      <c r="A49" s="2">
        <v>48</v>
      </c>
      <c r="B49" s="2" t="s">
        <v>87</v>
      </c>
      <c r="C49" s="2" t="s">
        <v>45</v>
      </c>
      <c r="D49">
        <v>0.43118407833781969</v>
      </c>
      <c r="E49" t="s">
        <v>150</v>
      </c>
    </row>
    <row r="50" spans="1:5">
      <c r="A50" s="2">
        <v>49</v>
      </c>
      <c r="B50" s="2" t="s">
        <v>88</v>
      </c>
      <c r="C50" s="2" t="s">
        <v>36</v>
      </c>
      <c r="D50">
        <v>0.43227780814696093</v>
      </c>
      <c r="E50" t="s">
        <v>150</v>
      </c>
    </row>
    <row r="51" spans="1:5">
      <c r="A51" s="2">
        <v>50</v>
      </c>
      <c r="B51" s="2" t="s">
        <v>89</v>
      </c>
      <c r="C51" s="2" t="s">
        <v>38</v>
      </c>
      <c r="D51">
        <v>0.44826608955643443</v>
      </c>
      <c r="E51" t="s">
        <v>150</v>
      </c>
    </row>
    <row r="52" spans="1:5">
      <c r="A52" s="2">
        <v>51</v>
      </c>
      <c r="B52" s="2" t="s">
        <v>90</v>
      </c>
      <c r="C52" s="2" t="s">
        <v>40</v>
      </c>
      <c r="D52">
        <v>0.47177450537476628</v>
      </c>
      <c r="E52" t="s">
        <v>150</v>
      </c>
    </row>
    <row r="53" spans="1:5">
      <c r="A53" s="2">
        <v>52</v>
      </c>
      <c r="B53" s="2" t="s">
        <v>91</v>
      </c>
      <c r="C53" s="2" t="s">
        <v>36</v>
      </c>
      <c r="D53">
        <v>0.49378847358204792</v>
      </c>
      <c r="E53" t="s">
        <v>150</v>
      </c>
    </row>
    <row r="54" spans="1:5">
      <c r="A54" s="2">
        <v>53</v>
      </c>
      <c r="B54" s="2" t="s">
        <v>92</v>
      </c>
      <c r="C54" s="2" t="s">
        <v>43</v>
      </c>
      <c r="D54">
        <v>0.51662104933690889</v>
      </c>
      <c r="E54" t="s">
        <v>150</v>
      </c>
    </row>
    <row r="55" spans="1:5">
      <c r="A55" s="2">
        <v>54</v>
      </c>
      <c r="B55" s="2" t="s">
        <v>93</v>
      </c>
      <c r="C55" s="2" t="s">
        <v>45</v>
      </c>
      <c r="D55">
        <v>0.5383695459763651</v>
      </c>
      <c r="E55" t="s">
        <v>150</v>
      </c>
    </row>
    <row r="56" spans="1:5">
      <c r="A56" s="2">
        <v>55</v>
      </c>
      <c r="B56" s="2" t="s">
        <v>94</v>
      </c>
      <c r="C56" s="2" t="s">
        <v>36</v>
      </c>
      <c r="D56">
        <v>0.5610136306637612</v>
      </c>
      <c r="E56" t="s">
        <v>150</v>
      </c>
    </row>
    <row r="57" spans="1:5">
      <c r="A57" s="2">
        <v>56</v>
      </c>
      <c r="B57" s="2" t="s">
        <v>95</v>
      </c>
      <c r="C57" s="2" t="s">
        <v>38</v>
      </c>
      <c r="D57">
        <v>0.5648185056452909</v>
      </c>
      <c r="E57" t="s">
        <v>150</v>
      </c>
    </row>
    <row r="58" spans="1:5">
      <c r="A58" s="2">
        <v>57</v>
      </c>
      <c r="B58" s="2" t="s">
        <v>96</v>
      </c>
      <c r="C58" s="2" t="s">
        <v>40</v>
      </c>
      <c r="D58">
        <v>0.57658724545300377</v>
      </c>
      <c r="E58" t="s">
        <v>150</v>
      </c>
    </row>
    <row r="59" spans="1:5">
      <c r="A59" s="2">
        <v>58</v>
      </c>
      <c r="B59" s="2" t="s">
        <v>97</v>
      </c>
      <c r="C59" s="2" t="s">
        <v>36</v>
      </c>
      <c r="D59">
        <v>0.57934224998373363</v>
      </c>
      <c r="E59" t="s">
        <v>150</v>
      </c>
    </row>
    <row r="60" spans="1:5">
      <c r="A60" s="2">
        <v>59</v>
      </c>
      <c r="B60" s="2" t="s">
        <v>98</v>
      </c>
      <c r="C60" s="2" t="s">
        <v>43</v>
      </c>
      <c r="D60">
        <v>0.59281725499788196</v>
      </c>
      <c r="E60" t="s">
        <v>150</v>
      </c>
    </row>
    <row r="61" spans="1:5">
      <c r="A61" s="2">
        <v>60</v>
      </c>
      <c r="B61" s="2" t="s">
        <v>99</v>
      </c>
      <c r="C61" s="2" t="s">
        <v>45</v>
      </c>
      <c r="D61">
        <v>0.59491499316769381</v>
      </c>
      <c r="E61" t="s">
        <v>150</v>
      </c>
    </row>
    <row r="62" spans="1:5">
      <c r="A62" s="2">
        <v>61</v>
      </c>
      <c r="B62" s="2" t="s">
        <v>100</v>
      </c>
      <c r="C62" s="2" t="s">
        <v>36</v>
      </c>
      <c r="D62">
        <v>0.60283685469281678</v>
      </c>
      <c r="E62" t="s">
        <v>150</v>
      </c>
    </row>
    <row r="63" spans="1:5">
      <c r="A63" s="2">
        <v>62</v>
      </c>
      <c r="B63" s="2" t="s">
        <v>101</v>
      </c>
      <c r="C63" s="2" t="s">
        <v>38</v>
      </c>
      <c r="D63">
        <v>0.62765393715686923</v>
      </c>
      <c r="E63" t="s">
        <v>148</v>
      </c>
    </row>
    <row r="64" spans="1:5">
      <c r="A64" s="2">
        <v>63</v>
      </c>
      <c r="B64" s="2" t="s">
        <v>102</v>
      </c>
      <c r="C64" s="2" t="s">
        <v>40</v>
      </c>
      <c r="D64">
        <v>0.64768523755648766</v>
      </c>
      <c r="E64" t="s">
        <v>148</v>
      </c>
    </row>
    <row r="65" spans="1:5">
      <c r="A65" s="2">
        <v>64</v>
      </c>
      <c r="B65" s="2" t="s">
        <v>103</v>
      </c>
      <c r="C65" s="2" t="s">
        <v>36</v>
      </c>
      <c r="D65">
        <v>0.65286145486990765</v>
      </c>
      <c r="E65" t="s">
        <v>148</v>
      </c>
    </row>
    <row r="66" spans="1:5">
      <c r="A66" s="2">
        <v>65</v>
      </c>
      <c r="B66" s="2" t="s">
        <v>104</v>
      </c>
      <c r="C66" s="2" t="s">
        <v>43</v>
      </c>
      <c r="D66">
        <v>0.67918870473101844</v>
      </c>
      <c r="E66" t="s">
        <v>148</v>
      </c>
    </row>
    <row r="67" spans="1:5">
      <c r="A67" s="2">
        <v>66</v>
      </c>
      <c r="B67" s="2" t="s">
        <v>105</v>
      </c>
      <c r="C67" s="2" t="s">
        <v>45</v>
      </c>
      <c r="D67">
        <v>0.67970141652641169</v>
      </c>
      <c r="E67" t="s">
        <v>148</v>
      </c>
    </row>
    <row r="68" spans="1:5">
      <c r="A68" s="2">
        <v>67</v>
      </c>
      <c r="B68" s="2" t="s">
        <v>106</v>
      </c>
      <c r="C68" s="2" t="s">
        <v>36</v>
      </c>
      <c r="D68">
        <v>0.69826785529696234</v>
      </c>
      <c r="E68" t="s">
        <v>148</v>
      </c>
    </row>
    <row r="69" spans="1:5">
      <c r="A69" s="2">
        <v>68</v>
      </c>
      <c r="B69" s="2" t="s">
        <v>107</v>
      </c>
      <c r="C69" s="2" t="s">
        <v>38</v>
      </c>
      <c r="D69">
        <v>0.70687874055113153</v>
      </c>
      <c r="E69" t="s">
        <v>148</v>
      </c>
    </row>
    <row r="70" spans="1:5">
      <c r="A70" s="2">
        <v>69</v>
      </c>
      <c r="B70" s="2" t="s">
        <v>108</v>
      </c>
      <c r="C70" s="2" t="s">
        <v>40</v>
      </c>
      <c r="D70">
        <v>0.71399357663877427</v>
      </c>
      <c r="E70" t="s">
        <v>148</v>
      </c>
    </row>
    <row r="71" spans="1:5">
      <c r="A71" s="2">
        <v>70</v>
      </c>
      <c r="B71" s="2" t="s">
        <v>109</v>
      </c>
      <c r="C71" s="2" t="s">
        <v>36</v>
      </c>
      <c r="D71">
        <v>0.73097545446013001</v>
      </c>
      <c r="E71" t="s">
        <v>148</v>
      </c>
    </row>
    <row r="72" spans="1:5">
      <c r="A72" s="2">
        <v>71</v>
      </c>
      <c r="B72" s="2" t="s">
        <v>110</v>
      </c>
      <c r="C72" s="2" t="s">
        <v>43</v>
      </c>
      <c r="D72">
        <v>0.74695462914547195</v>
      </c>
      <c r="E72" t="s">
        <v>148</v>
      </c>
    </row>
    <row r="73" spans="1:5">
      <c r="A73" s="2">
        <v>72</v>
      </c>
      <c r="B73" s="2" t="s">
        <v>111</v>
      </c>
      <c r="C73" s="2" t="s">
        <v>45</v>
      </c>
      <c r="D73">
        <v>0.74701645726480637</v>
      </c>
      <c r="E73" t="s">
        <v>148</v>
      </c>
    </row>
    <row r="74" spans="1:5">
      <c r="A74" s="2">
        <v>73</v>
      </c>
      <c r="B74" s="2" t="s">
        <v>112</v>
      </c>
      <c r="C74" s="2" t="s">
        <v>36</v>
      </c>
      <c r="D74">
        <v>0.75172934950844938</v>
      </c>
      <c r="E74" t="s">
        <v>148</v>
      </c>
    </row>
    <row r="75" spans="1:5">
      <c r="A75" s="2">
        <v>74</v>
      </c>
      <c r="B75" s="2" t="s">
        <v>113</v>
      </c>
      <c r="C75" s="2" t="s">
        <v>38</v>
      </c>
      <c r="D75">
        <v>0.76257888859405376</v>
      </c>
      <c r="E75" t="s">
        <v>148</v>
      </c>
    </row>
    <row r="76" spans="1:5">
      <c r="A76" s="2">
        <v>75</v>
      </c>
      <c r="B76" s="2" t="s">
        <v>114</v>
      </c>
      <c r="C76" s="2" t="s">
        <v>40</v>
      </c>
      <c r="D76">
        <v>0.76278966088133737</v>
      </c>
      <c r="E76" t="s">
        <v>148</v>
      </c>
    </row>
    <row r="77" spans="1:5">
      <c r="A77" s="2">
        <v>76</v>
      </c>
      <c r="B77" s="2" t="s">
        <v>115</v>
      </c>
      <c r="C77" s="2" t="s">
        <v>36</v>
      </c>
      <c r="D77">
        <v>0.76739937530680435</v>
      </c>
      <c r="E77" t="s">
        <v>148</v>
      </c>
    </row>
    <row r="78" spans="1:5">
      <c r="A78" s="2">
        <v>77</v>
      </c>
      <c r="B78" s="2" t="s">
        <v>116</v>
      </c>
      <c r="C78" s="2" t="s">
        <v>43</v>
      </c>
      <c r="D78">
        <v>0.76877359328619832</v>
      </c>
      <c r="E78" t="s">
        <v>148</v>
      </c>
    </row>
    <row r="79" spans="1:5">
      <c r="A79" s="2">
        <v>78</v>
      </c>
      <c r="B79" s="2" t="s">
        <v>117</v>
      </c>
      <c r="C79" s="2" t="s">
        <v>45</v>
      </c>
      <c r="D79">
        <v>0.78001636930477525</v>
      </c>
      <c r="E79" t="s">
        <v>148</v>
      </c>
    </row>
    <row r="80" spans="1:5">
      <c r="A80" s="2">
        <v>79</v>
      </c>
      <c r="B80" s="2" t="s">
        <v>118</v>
      </c>
      <c r="C80" s="2" t="s">
        <v>36</v>
      </c>
      <c r="D80">
        <v>0.78362332420242475</v>
      </c>
      <c r="E80" t="s">
        <v>148</v>
      </c>
    </row>
    <row r="81" spans="1:5">
      <c r="A81" s="2">
        <v>80</v>
      </c>
      <c r="B81" s="2" t="s">
        <v>119</v>
      </c>
      <c r="C81" s="2" t="s">
        <v>38</v>
      </c>
      <c r="D81">
        <v>0.78518075184259828</v>
      </c>
      <c r="E81" t="s">
        <v>148</v>
      </c>
    </row>
    <row r="82" spans="1:5">
      <c r="A82" s="2">
        <v>81</v>
      </c>
      <c r="B82" s="2" t="s">
        <v>120</v>
      </c>
      <c r="C82" s="2" t="s">
        <v>40</v>
      </c>
      <c r="D82">
        <v>0.78665619721756219</v>
      </c>
      <c r="E82" t="s">
        <v>151</v>
      </c>
    </row>
    <row r="83" spans="1:5">
      <c r="A83" s="2">
        <v>82</v>
      </c>
      <c r="B83" s="2" t="s">
        <v>121</v>
      </c>
      <c r="C83" s="2" t="s">
        <v>36</v>
      </c>
      <c r="D83">
        <v>0.79592336343843317</v>
      </c>
      <c r="E83" t="s">
        <v>151</v>
      </c>
    </row>
    <row r="84" spans="1:5">
      <c r="A84" s="2">
        <v>83</v>
      </c>
      <c r="B84" s="2" t="s">
        <v>122</v>
      </c>
      <c r="C84" s="2" t="s">
        <v>43</v>
      </c>
      <c r="D84">
        <v>0.8065379984969997</v>
      </c>
      <c r="E84" t="s">
        <v>151</v>
      </c>
    </row>
    <row r="85" spans="1:5">
      <c r="A85" s="2">
        <v>84</v>
      </c>
      <c r="B85" s="2" t="s">
        <v>123</v>
      </c>
      <c r="C85" s="2" t="s">
        <v>45</v>
      </c>
      <c r="D85">
        <v>0.81109795473381219</v>
      </c>
      <c r="E85" t="s">
        <v>151</v>
      </c>
    </row>
    <row r="86" spans="1:5">
      <c r="A86" s="2">
        <v>85</v>
      </c>
      <c r="B86" s="2" t="s">
        <v>124</v>
      </c>
      <c r="C86" s="2" t="s">
        <v>36</v>
      </c>
      <c r="D86">
        <v>0.83074658845358029</v>
      </c>
      <c r="E86" t="s">
        <v>151</v>
      </c>
    </row>
    <row r="87" spans="1:5">
      <c r="A87" s="2">
        <v>86</v>
      </c>
      <c r="B87" s="2" t="s">
        <v>125</v>
      </c>
      <c r="C87" s="2" t="s">
        <v>38</v>
      </c>
      <c r="D87">
        <v>0.83394819388223651</v>
      </c>
      <c r="E87" t="s">
        <v>151</v>
      </c>
    </row>
    <row r="88" spans="1:5">
      <c r="A88" s="2">
        <v>87</v>
      </c>
      <c r="B88" s="2" t="s">
        <v>126</v>
      </c>
      <c r="C88" s="2" t="s">
        <v>40</v>
      </c>
      <c r="D88">
        <v>0.8434425551808481</v>
      </c>
      <c r="E88" t="s">
        <v>151</v>
      </c>
    </row>
    <row r="89" spans="1:5">
      <c r="A89" s="2">
        <v>88</v>
      </c>
      <c r="B89" s="2" t="s">
        <v>127</v>
      </c>
      <c r="C89" s="2" t="s">
        <v>36</v>
      </c>
      <c r="D89">
        <v>0.86521415357746612</v>
      </c>
      <c r="E89" t="s">
        <v>151</v>
      </c>
    </row>
    <row r="90" spans="1:5">
      <c r="A90" s="2">
        <v>89</v>
      </c>
      <c r="B90" s="2" t="s">
        <v>128</v>
      </c>
      <c r="C90" s="2" t="s">
        <v>43</v>
      </c>
      <c r="D90">
        <v>0.86539684442265452</v>
      </c>
      <c r="E90" t="s">
        <v>151</v>
      </c>
    </row>
    <row r="91" spans="1:5">
      <c r="A91" s="2">
        <v>90</v>
      </c>
      <c r="B91" s="2" t="s">
        <v>129</v>
      </c>
      <c r="C91" s="2" t="s">
        <v>45</v>
      </c>
      <c r="D91">
        <v>0.9000894462342407</v>
      </c>
      <c r="E91" t="s">
        <v>151</v>
      </c>
    </row>
    <row r="92" spans="1:5">
      <c r="A92" s="2">
        <v>91</v>
      </c>
      <c r="B92" s="2" t="s">
        <v>130</v>
      </c>
      <c r="C92" s="2" t="s">
        <v>36</v>
      </c>
      <c r="D92">
        <v>0.90542348719590682</v>
      </c>
      <c r="E92" t="s">
        <v>151</v>
      </c>
    </row>
    <row r="93" spans="1:5">
      <c r="A93" s="2">
        <v>92</v>
      </c>
      <c r="B93" s="2" t="s">
        <v>131</v>
      </c>
      <c r="C93" s="2" t="s">
        <v>38</v>
      </c>
      <c r="D93">
        <v>0.91254006532632115</v>
      </c>
      <c r="E93" t="s">
        <v>151</v>
      </c>
    </row>
    <row r="94" spans="1:5">
      <c r="A94" s="2">
        <v>93</v>
      </c>
      <c r="B94" s="2" t="s">
        <v>132</v>
      </c>
      <c r="C94" s="2" t="s">
        <v>40</v>
      </c>
      <c r="D94">
        <v>0.92602648559943324</v>
      </c>
      <c r="E94" t="s">
        <v>151</v>
      </c>
    </row>
    <row r="95" spans="1:5">
      <c r="A95" s="2">
        <v>94</v>
      </c>
      <c r="B95" s="2" t="s">
        <v>133</v>
      </c>
      <c r="C95" s="2" t="s">
        <v>36</v>
      </c>
      <c r="D95">
        <v>0.93123344279743681</v>
      </c>
      <c r="E95" t="s">
        <v>151</v>
      </c>
    </row>
    <row r="96" spans="1:5">
      <c r="A96" s="2">
        <v>95</v>
      </c>
      <c r="B96" s="2" t="s">
        <v>134</v>
      </c>
      <c r="C96" s="2" t="s">
        <v>43</v>
      </c>
      <c r="D96">
        <v>0.94178102702023969</v>
      </c>
      <c r="E96" t="s">
        <v>151</v>
      </c>
    </row>
    <row r="97" spans="1:5">
      <c r="A97" s="2">
        <v>96</v>
      </c>
      <c r="B97" s="2" t="s">
        <v>135</v>
      </c>
      <c r="C97" s="2" t="s">
        <v>45</v>
      </c>
      <c r="D97">
        <v>0.94670920373502732</v>
      </c>
      <c r="E97" t="s">
        <v>151</v>
      </c>
    </row>
    <row r="98" spans="1:5">
      <c r="A98" s="2">
        <v>97</v>
      </c>
      <c r="B98" s="2" t="s">
        <v>136</v>
      </c>
      <c r="C98" s="2" t="s">
        <v>36</v>
      </c>
      <c r="D98">
        <v>0.94825402028722838</v>
      </c>
      <c r="E98" t="s">
        <v>151</v>
      </c>
    </row>
    <row r="99" spans="1:5">
      <c r="A99" s="2">
        <v>98</v>
      </c>
      <c r="B99" s="2" t="s">
        <v>137</v>
      </c>
      <c r="C99" s="2" t="s">
        <v>38</v>
      </c>
      <c r="D99">
        <v>0.96755646811601803</v>
      </c>
      <c r="E99" t="s">
        <v>151</v>
      </c>
    </row>
    <row r="100" spans="1:5">
      <c r="A100" s="2">
        <v>99</v>
      </c>
      <c r="B100" s="2" t="s">
        <v>138</v>
      </c>
      <c r="C100" s="2" t="s">
        <v>40</v>
      </c>
      <c r="D100">
        <v>0.98171189255930935</v>
      </c>
      <c r="E100" t="s">
        <v>151</v>
      </c>
    </row>
    <row r="101" spans="1:5">
      <c r="A101" s="2">
        <v>100</v>
      </c>
      <c r="B101" s="2" t="s">
        <v>139</v>
      </c>
      <c r="C101" s="2" t="s">
        <v>36</v>
      </c>
      <c r="D101">
        <v>0.99079852203160257</v>
      </c>
      <c r="E101" t="s">
        <v>151</v>
      </c>
    </row>
  </sheetData>
  <sortState xmlns:xlrd2="http://schemas.microsoft.com/office/spreadsheetml/2017/richdata2" ref="I2:I102">
    <sortCondition ref="I2:I10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AE66-FF4C-441A-94CE-9BDD1515CC12}">
  <dimension ref="A1:BN104"/>
  <sheetViews>
    <sheetView zoomScale="80" workbookViewId="0">
      <selection activeCell="BJ20" sqref="BJ20"/>
    </sheetView>
  </sheetViews>
  <sheetFormatPr defaultRowHeight="15"/>
  <cols>
    <col min="4" max="4" width="20.140625" customWidth="1"/>
    <col min="9" max="9" width="10.85546875" customWidth="1"/>
    <col min="10" max="10" width="11" customWidth="1"/>
    <col min="11" max="11" width="19.7109375" customWidth="1"/>
    <col min="12" max="12" width="25.140625" customWidth="1"/>
    <col min="13" max="13" width="11.140625" customWidth="1"/>
    <col min="21" max="21" width="14.42578125" customWidth="1"/>
    <col min="23" max="23" width="12.85546875" customWidth="1"/>
    <col min="26" max="26" width="12.42578125" customWidth="1"/>
    <col min="29" max="29" width="26.140625" customWidth="1"/>
    <col min="41" max="41" width="18.85546875" customWidth="1"/>
    <col min="49" max="49" width="17.85546875" customWidth="1"/>
    <col min="56" max="56" width="11.42578125" customWidth="1"/>
    <col min="57" max="57" width="29.7109375" customWidth="1"/>
    <col min="59" max="59" width="14.7109375" customWidth="1"/>
    <col min="66" max="66" width="12.140625" customWidth="1"/>
  </cols>
  <sheetData>
    <row r="1" spans="1:66">
      <c r="A1" t="s">
        <v>158</v>
      </c>
      <c r="B1" t="s">
        <v>159</v>
      </c>
      <c r="D1" t="s">
        <v>162</v>
      </c>
      <c r="H1" t="s">
        <v>158</v>
      </c>
      <c r="I1" t="s">
        <v>166</v>
      </c>
      <c r="J1" t="s">
        <v>167</v>
      </c>
      <c r="K1" t="s">
        <v>172</v>
      </c>
      <c r="L1" t="s">
        <v>168</v>
      </c>
      <c r="R1" s="4" t="s">
        <v>181</v>
      </c>
      <c r="AO1" s="4" t="s">
        <v>215</v>
      </c>
      <c r="AV1" s="4" t="s">
        <v>219</v>
      </c>
      <c r="BD1" s="4" t="s">
        <v>230</v>
      </c>
    </row>
    <row r="2" spans="1:66">
      <c r="A2" cm="1">
        <f t="array" ref="A2:A101">_xlfn.SEQUENCE(100)</f>
        <v>1</v>
      </c>
      <c r="B2" t="s">
        <v>160</v>
      </c>
      <c r="D2">
        <f>COUNTIF(B2:B101,"HEAD")</f>
        <v>47</v>
      </c>
      <c r="H2" cm="1">
        <f t="array" ref="H2:H101">_xlfn.SEQUENCE(100)</f>
        <v>1</v>
      </c>
      <c r="I2" t="s">
        <v>160</v>
      </c>
      <c r="J2" t="s">
        <v>160</v>
      </c>
      <c r="K2" t="str">
        <f>I2&amp;J2</f>
        <v>HEADHEAD</v>
      </c>
      <c r="L2">
        <f>COUNTIF(I2:J101,"HEAD")</f>
        <v>93</v>
      </c>
      <c r="T2" t="s">
        <v>158</v>
      </c>
      <c r="U2" t="s">
        <v>182</v>
      </c>
    </row>
    <row r="3" spans="1:66">
      <c r="A3">
        <v>2</v>
      </c>
      <c r="B3" t="s">
        <v>161</v>
      </c>
      <c r="D3" t="s">
        <v>163</v>
      </c>
      <c r="H3">
        <v>2</v>
      </c>
      <c r="I3" t="s">
        <v>161</v>
      </c>
      <c r="J3" t="s">
        <v>161</v>
      </c>
      <c r="K3" t="str">
        <f t="shared" ref="K3:K66" si="0">I3&amp;J3</f>
        <v>TAILTAIL</v>
      </c>
      <c r="L3" t="s">
        <v>169</v>
      </c>
      <c r="T3" cm="1">
        <f t="array" ref="T3:T102">_xlfn.SEQUENCE(100)</f>
        <v>1</v>
      </c>
      <c r="U3">
        <v>3</v>
      </c>
      <c r="W3" t="s">
        <v>183</v>
      </c>
      <c r="BD3" t="s">
        <v>344</v>
      </c>
    </row>
    <row r="4" spans="1:66">
      <c r="A4">
        <v>3</v>
      </c>
      <c r="B4" t="s">
        <v>160</v>
      </c>
      <c r="D4">
        <f>COUNTIF(B2:B101,"TAIL")</f>
        <v>53</v>
      </c>
      <c r="H4">
        <v>3</v>
      </c>
      <c r="I4" t="s">
        <v>160</v>
      </c>
      <c r="J4" t="s">
        <v>161</v>
      </c>
      <c r="K4" t="str">
        <f t="shared" si="0"/>
        <v>HEADTAIL</v>
      </c>
      <c r="L4">
        <f>COUNTIF(I2:J101,"TAIL")</f>
        <v>107</v>
      </c>
      <c r="T4">
        <v>2</v>
      </c>
      <c r="U4">
        <v>5</v>
      </c>
      <c r="W4">
        <f>COUNTIF(U3:U102,6)</f>
        <v>20</v>
      </c>
      <c r="AO4" t="s">
        <v>216</v>
      </c>
      <c r="AP4" t="s">
        <v>217</v>
      </c>
      <c r="AV4" t="s">
        <v>158</v>
      </c>
      <c r="AW4" t="s">
        <v>220</v>
      </c>
      <c r="AY4" t="s">
        <v>222</v>
      </c>
    </row>
    <row r="5" spans="1:66">
      <c r="A5">
        <v>4</v>
      </c>
      <c r="B5" t="s">
        <v>161</v>
      </c>
      <c r="H5">
        <v>4</v>
      </c>
      <c r="I5" t="s">
        <v>161</v>
      </c>
      <c r="J5" t="s">
        <v>161</v>
      </c>
      <c r="K5" t="str">
        <f t="shared" si="0"/>
        <v>TAILTAIL</v>
      </c>
      <c r="T5">
        <v>3</v>
      </c>
      <c r="U5">
        <v>2</v>
      </c>
      <c r="W5" t="s">
        <v>184</v>
      </c>
      <c r="AO5" t="s">
        <v>208</v>
      </c>
      <c r="AP5">
        <v>2</v>
      </c>
      <c r="AR5" t="s">
        <v>211</v>
      </c>
      <c r="AV5" cm="1">
        <f t="array" ref="AV5:AV104">_xlfn.SEQUENCE(100)</f>
        <v>1</v>
      </c>
      <c r="AW5">
        <v>31</v>
      </c>
      <c r="AY5">
        <f>COUNTIF(AW5:AW104,"&gt;70")</f>
        <v>28</v>
      </c>
      <c r="BD5" t="s">
        <v>345</v>
      </c>
    </row>
    <row r="6" spans="1:66">
      <c r="A6">
        <v>5</v>
      </c>
      <c r="B6" t="s">
        <v>161</v>
      </c>
      <c r="D6" t="s">
        <v>164</v>
      </c>
      <c r="H6">
        <v>5</v>
      </c>
      <c r="I6" t="s">
        <v>161</v>
      </c>
      <c r="J6" t="s">
        <v>160</v>
      </c>
      <c r="K6" t="str">
        <f t="shared" si="0"/>
        <v>TAILHEAD</v>
      </c>
      <c r="L6" t="s">
        <v>170</v>
      </c>
      <c r="T6">
        <v>4</v>
      </c>
      <c r="U6">
        <v>5</v>
      </c>
      <c r="W6">
        <f>COUNTIF(U3:U102,6)/100</f>
        <v>0.2</v>
      </c>
      <c r="X6" s="3">
        <v>0.2</v>
      </c>
      <c r="AO6" t="s">
        <v>208</v>
      </c>
      <c r="AP6">
        <v>5</v>
      </c>
      <c r="AR6">
        <f>COUNTIF(AO5:AO54,"YES")</f>
        <v>28</v>
      </c>
      <c r="AS6">
        <f>AR6/50</f>
        <v>0.56000000000000005</v>
      </c>
      <c r="AV6">
        <v>2</v>
      </c>
      <c r="AW6">
        <v>84</v>
      </c>
    </row>
    <row r="7" spans="1:66" ht="18">
      <c r="A7">
        <v>6</v>
      </c>
      <c r="B7" t="s">
        <v>161</v>
      </c>
      <c r="D7">
        <f>COUNTIF(B2:B101,"HEAD")/100</f>
        <v>0.47</v>
      </c>
      <c r="E7" s="3">
        <v>0.47</v>
      </c>
      <c r="H7">
        <v>6</v>
      </c>
      <c r="I7" t="s">
        <v>161</v>
      </c>
      <c r="J7" t="s">
        <v>161</v>
      </c>
      <c r="K7" t="str">
        <f t="shared" si="0"/>
        <v>TAILTAIL</v>
      </c>
      <c r="L7">
        <f>L2/200</f>
        <v>0.46500000000000002</v>
      </c>
      <c r="M7" s="3">
        <v>0.46</v>
      </c>
      <c r="T7">
        <v>5</v>
      </c>
      <c r="U7">
        <v>3</v>
      </c>
      <c r="AC7" s="4" t="s">
        <v>202</v>
      </c>
      <c r="AG7" s="4" t="s">
        <v>203</v>
      </c>
      <c r="AO7" t="s">
        <v>209</v>
      </c>
      <c r="AP7">
        <v>3</v>
      </c>
      <c r="AR7" t="s">
        <v>185</v>
      </c>
      <c r="AV7">
        <v>3</v>
      </c>
      <c r="AW7">
        <v>16</v>
      </c>
      <c r="AY7" t="s">
        <v>221</v>
      </c>
      <c r="BD7" s="19" t="s">
        <v>346</v>
      </c>
      <c r="BJ7" s="1" t="s">
        <v>361</v>
      </c>
      <c r="BK7" s="1" t="s">
        <v>362</v>
      </c>
      <c r="BL7" s="1" t="s">
        <v>363</v>
      </c>
      <c r="BN7" s="1" t="s">
        <v>368</v>
      </c>
    </row>
    <row r="8" spans="1:66">
      <c r="A8">
        <v>7</v>
      </c>
      <c r="B8" t="s">
        <v>160</v>
      </c>
      <c r="D8" t="s">
        <v>165</v>
      </c>
      <c r="H8">
        <v>7</v>
      </c>
      <c r="I8" t="s">
        <v>160</v>
      </c>
      <c r="J8" t="s">
        <v>161</v>
      </c>
      <c r="K8" t="str">
        <f t="shared" si="0"/>
        <v>HEADTAIL</v>
      </c>
      <c r="L8" t="s">
        <v>171</v>
      </c>
      <c r="T8">
        <v>6</v>
      </c>
      <c r="U8">
        <v>5</v>
      </c>
      <c r="W8" t="s">
        <v>185</v>
      </c>
      <c r="X8">
        <f>COUNTIF(U3:U102,5)</f>
        <v>20</v>
      </c>
      <c r="AI8" s="4" t="s">
        <v>214</v>
      </c>
      <c r="AO8" t="s">
        <v>209</v>
      </c>
      <c r="AP8">
        <v>5</v>
      </c>
      <c r="AR8">
        <f>COUNTIF(AP5:AP54,5)</f>
        <v>6</v>
      </c>
      <c r="AS8">
        <f>AR8/50</f>
        <v>0.12</v>
      </c>
      <c r="AV8">
        <v>4</v>
      </c>
      <c r="AW8">
        <v>51</v>
      </c>
      <c r="AY8">
        <f>COUNTIF(AW5:AW104,"&gt;70")/100</f>
        <v>0.28000000000000003</v>
      </c>
      <c r="BJ8" s="2" t="s">
        <v>364</v>
      </c>
      <c r="BK8" s="2" t="s">
        <v>365</v>
      </c>
      <c r="BL8" s="2">
        <v>30</v>
      </c>
    </row>
    <row r="9" spans="1:66">
      <c r="A9">
        <v>8</v>
      </c>
      <c r="B9" t="s">
        <v>161</v>
      </c>
      <c r="D9">
        <f>D4/100</f>
        <v>0.53</v>
      </c>
      <c r="E9" s="3">
        <v>0.53</v>
      </c>
      <c r="H9">
        <v>8</v>
      </c>
      <c r="I9" t="s">
        <v>161</v>
      </c>
      <c r="J9" t="s">
        <v>161</v>
      </c>
      <c r="K9" t="str">
        <f t="shared" si="0"/>
        <v>TAILTAIL</v>
      </c>
      <c r="L9">
        <f>107/200</f>
        <v>0.53500000000000003</v>
      </c>
      <c r="M9" s="3">
        <v>0.53</v>
      </c>
      <c r="T9">
        <v>7</v>
      </c>
      <c r="U9">
        <v>3</v>
      </c>
      <c r="W9" t="s">
        <v>186</v>
      </c>
      <c r="Z9" s="4" t="s">
        <v>195</v>
      </c>
      <c r="AF9" t="s">
        <v>204</v>
      </c>
      <c r="AG9" t="s">
        <v>207</v>
      </c>
      <c r="AO9" t="s">
        <v>208</v>
      </c>
      <c r="AP9">
        <v>1</v>
      </c>
      <c r="AV9">
        <v>5</v>
      </c>
      <c r="AW9">
        <v>29</v>
      </c>
      <c r="AY9" s="3">
        <f>AY8</f>
        <v>0.28000000000000003</v>
      </c>
      <c r="BD9" t="s">
        <v>347</v>
      </c>
      <c r="BJ9" s="2" t="s">
        <v>364</v>
      </c>
      <c r="BK9" s="2" t="s">
        <v>366</v>
      </c>
      <c r="BL9" s="2">
        <v>20</v>
      </c>
    </row>
    <row r="10" spans="1:66">
      <c r="A10">
        <v>9</v>
      </c>
      <c r="B10" t="s">
        <v>161</v>
      </c>
      <c r="H10">
        <v>9</v>
      </c>
      <c r="I10" t="s">
        <v>161</v>
      </c>
      <c r="J10" t="s">
        <v>161</v>
      </c>
      <c r="K10" t="str">
        <f t="shared" si="0"/>
        <v>TAILTAIL</v>
      </c>
      <c r="T10">
        <v>8</v>
      </c>
      <c r="U10">
        <v>3</v>
      </c>
      <c r="W10">
        <f>COUNTIF(U3:U102,5)/100</f>
        <v>0.2</v>
      </c>
      <c r="X10" s="3">
        <f>W10</f>
        <v>0.2</v>
      </c>
      <c r="AF10" t="s">
        <v>205</v>
      </c>
      <c r="AG10" t="s">
        <v>208</v>
      </c>
      <c r="AI10" t="s">
        <v>210</v>
      </c>
      <c r="AO10" t="s">
        <v>208</v>
      </c>
      <c r="AP10">
        <v>4</v>
      </c>
      <c r="AR10" t="s">
        <v>218</v>
      </c>
      <c r="AV10">
        <v>6</v>
      </c>
      <c r="AW10">
        <v>45</v>
      </c>
      <c r="BJ10" s="2" t="s">
        <v>367</v>
      </c>
      <c r="BK10" s="2" t="s">
        <v>365</v>
      </c>
      <c r="BL10" s="2">
        <v>40</v>
      </c>
    </row>
    <row r="11" spans="1:66">
      <c r="A11">
        <v>10</v>
      </c>
      <c r="B11" t="s">
        <v>161</v>
      </c>
      <c r="H11">
        <v>10</v>
      </c>
      <c r="I11" t="s">
        <v>161</v>
      </c>
      <c r="J11" t="s">
        <v>161</v>
      </c>
      <c r="K11" t="str">
        <f t="shared" si="0"/>
        <v>TAILTAIL</v>
      </c>
      <c r="L11" t="s">
        <v>173</v>
      </c>
      <c r="T11">
        <v>9</v>
      </c>
      <c r="U11">
        <v>5</v>
      </c>
      <c r="AC11" t="s">
        <v>193</v>
      </c>
      <c r="AF11" t="s">
        <v>205</v>
      </c>
      <c r="AG11" t="s">
        <v>208</v>
      </c>
      <c r="AI11">
        <f>COUNTIF(AF10:AF14,"MALE")</f>
        <v>3</v>
      </c>
      <c r="AO11" t="s">
        <v>209</v>
      </c>
      <c r="AP11">
        <v>1</v>
      </c>
      <c r="AR11">
        <f>COUNTIFS(AO5:AO54,"YES",AP5:AP54,5)/50</f>
        <v>0.06</v>
      </c>
      <c r="AV11">
        <v>7</v>
      </c>
      <c r="AW11">
        <v>46</v>
      </c>
      <c r="BD11" t="s">
        <v>348</v>
      </c>
      <c r="BJ11" s="2" t="s">
        <v>367</v>
      </c>
      <c r="BK11" s="2" t="s">
        <v>366</v>
      </c>
      <c r="BL11" s="2">
        <v>10</v>
      </c>
    </row>
    <row r="12" spans="1:66">
      <c r="A12">
        <v>11</v>
      </c>
      <c r="B12" t="s">
        <v>160</v>
      </c>
      <c r="H12">
        <v>11</v>
      </c>
      <c r="I12" t="s">
        <v>160</v>
      </c>
      <c r="J12" t="s">
        <v>161</v>
      </c>
      <c r="K12" t="str">
        <f t="shared" si="0"/>
        <v>HEADTAIL</v>
      </c>
      <c r="L12">
        <f>COUNTIF(K2:K101,"HEADTAIL")</f>
        <v>26</v>
      </c>
      <c r="T12">
        <v>10</v>
      </c>
      <c r="U12">
        <v>6</v>
      </c>
      <c r="W12" t="s">
        <v>187</v>
      </c>
      <c r="X12">
        <f>COUNTIF(U3:U102,4)</f>
        <v>18</v>
      </c>
      <c r="AC12" t="s">
        <v>194</v>
      </c>
      <c r="AF12" t="s">
        <v>206</v>
      </c>
      <c r="AG12" t="s">
        <v>209</v>
      </c>
      <c r="AI12" t="s">
        <v>211</v>
      </c>
      <c r="AO12" t="s">
        <v>209</v>
      </c>
      <c r="AP12">
        <v>6</v>
      </c>
      <c r="AV12">
        <v>8</v>
      </c>
      <c r="AW12">
        <v>7</v>
      </c>
      <c r="AY12" t="s">
        <v>337</v>
      </c>
      <c r="BD12" s="20"/>
    </row>
    <row r="13" spans="1:66">
      <c r="A13">
        <v>12</v>
      </c>
      <c r="B13" t="s">
        <v>161</v>
      </c>
      <c r="H13">
        <v>12</v>
      </c>
      <c r="I13" t="s">
        <v>161</v>
      </c>
      <c r="J13" t="s">
        <v>160</v>
      </c>
      <c r="K13" t="str">
        <f t="shared" si="0"/>
        <v>TAILHEAD</v>
      </c>
      <c r="L13" t="s">
        <v>176</v>
      </c>
      <c r="T13">
        <v>11</v>
      </c>
      <c r="U13">
        <v>6</v>
      </c>
      <c r="W13" t="s">
        <v>188</v>
      </c>
      <c r="AF13" t="s">
        <v>206</v>
      </c>
      <c r="AG13" t="s">
        <v>208</v>
      </c>
      <c r="AI13">
        <f>COUNTIF(AG10:AG14,"YES")</f>
        <v>3</v>
      </c>
      <c r="AO13" t="s">
        <v>208</v>
      </c>
      <c r="AP13">
        <v>4</v>
      </c>
      <c r="AV13">
        <v>9</v>
      </c>
      <c r="AW13">
        <v>99</v>
      </c>
      <c r="AY13" s="17"/>
      <c r="BD13" s="21" t="s">
        <v>349</v>
      </c>
    </row>
    <row r="14" spans="1:66">
      <c r="A14">
        <v>13</v>
      </c>
      <c r="B14" t="s">
        <v>161</v>
      </c>
      <c r="H14">
        <v>13</v>
      </c>
      <c r="I14" t="s">
        <v>161</v>
      </c>
      <c r="J14" t="s">
        <v>160</v>
      </c>
      <c r="K14" t="str">
        <f t="shared" si="0"/>
        <v>TAILHEAD</v>
      </c>
      <c r="L14">
        <f>L12/100</f>
        <v>0.26</v>
      </c>
      <c r="M14" s="3">
        <v>0.26</v>
      </c>
      <c r="T14">
        <v>12</v>
      </c>
      <c r="U14">
        <v>1</v>
      </c>
      <c r="W14">
        <f>X12/100</f>
        <v>0.18</v>
      </c>
      <c r="X14" s="3">
        <f>W14</f>
        <v>0.18</v>
      </c>
      <c r="AC14" s="4" t="s">
        <v>196</v>
      </c>
      <c r="AF14" t="s">
        <v>205</v>
      </c>
      <c r="AG14" t="s">
        <v>209</v>
      </c>
      <c r="AI14" t="s">
        <v>212</v>
      </c>
      <c r="AO14" t="s">
        <v>209</v>
      </c>
      <c r="AP14">
        <v>4</v>
      </c>
      <c r="AV14">
        <v>10</v>
      </c>
      <c r="AW14">
        <v>83</v>
      </c>
      <c r="AY14" s="18" t="s">
        <v>338</v>
      </c>
    </row>
    <row r="15" spans="1:66">
      <c r="A15">
        <v>14</v>
      </c>
      <c r="B15" t="s">
        <v>161</v>
      </c>
      <c r="H15">
        <v>14</v>
      </c>
      <c r="I15" t="s">
        <v>161</v>
      </c>
      <c r="J15" t="s">
        <v>160</v>
      </c>
      <c r="K15" t="str">
        <f t="shared" si="0"/>
        <v>TAILHEAD</v>
      </c>
      <c r="T15">
        <v>13</v>
      </c>
      <c r="U15">
        <v>3</v>
      </c>
      <c r="AI15">
        <f>(COUNTIF(AF10:AF14,"MALE")+COUNTIF(AG10:AG14,"YES"))-(COUNTIFS(AF10:AF14,"MALE",AG10:AG14,"YES"))</f>
        <v>4</v>
      </c>
      <c r="AO15" t="s">
        <v>208</v>
      </c>
      <c r="AP15">
        <v>4</v>
      </c>
      <c r="AV15">
        <v>11</v>
      </c>
      <c r="AW15">
        <v>27</v>
      </c>
      <c r="AY15" s="17"/>
      <c r="BJ15" t="s">
        <v>369</v>
      </c>
    </row>
    <row r="16" spans="1:66">
      <c r="A16">
        <v>15</v>
      </c>
      <c r="B16" t="s">
        <v>161</v>
      </c>
      <c r="H16">
        <v>15</v>
      </c>
      <c r="I16" t="s">
        <v>161</v>
      </c>
      <c r="J16" t="s">
        <v>161</v>
      </c>
      <c r="K16" t="str">
        <f t="shared" si="0"/>
        <v>TAILTAIL</v>
      </c>
      <c r="L16" t="s">
        <v>174</v>
      </c>
      <c r="M16" s="3"/>
      <c r="T16">
        <v>14</v>
      </c>
      <c r="U16">
        <v>5</v>
      </c>
      <c r="W16" t="s">
        <v>189</v>
      </c>
      <c r="X16">
        <f>COUNTIF(U3:U102,3)</f>
        <v>15</v>
      </c>
      <c r="AC16" t="s">
        <v>195</v>
      </c>
      <c r="AO16" t="s">
        <v>208</v>
      </c>
      <c r="AP16">
        <v>2</v>
      </c>
      <c r="AV16">
        <v>12</v>
      </c>
      <c r="AW16">
        <v>66</v>
      </c>
      <c r="AY16" s="18" t="s">
        <v>339</v>
      </c>
      <c r="BD16" s="1" t="s">
        <v>350</v>
      </c>
      <c r="BE16" s="1" t="s">
        <v>351</v>
      </c>
      <c r="BJ16" t="s">
        <v>370</v>
      </c>
    </row>
    <row r="17" spans="1:62">
      <c r="A17">
        <v>16</v>
      </c>
      <c r="B17" t="s">
        <v>160</v>
      </c>
      <c r="H17">
        <v>16</v>
      </c>
      <c r="I17" t="s">
        <v>160</v>
      </c>
      <c r="J17" t="s">
        <v>160</v>
      </c>
      <c r="K17" t="str">
        <f t="shared" si="0"/>
        <v>HEADHEAD</v>
      </c>
      <c r="L17">
        <f>COUNTIF(K2:K101,"TAILHEAD")</f>
        <v>25</v>
      </c>
      <c r="T17">
        <v>15</v>
      </c>
      <c r="U17">
        <v>1</v>
      </c>
      <c r="W17" t="s">
        <v>190</v>
      </c>
      <c r="AC17">
        <f>(COUNTIF(U3:U102,2)+COUNTIF(U3:U102,4))/100</f>
        <v>0.32</v>
      </c>
      <c r="AI17" t="s">
        <v>213</v>
      </c>
      <c r="AO17" t="s">
        <v>208</v>
      </c>
      <c r="AP17">
        <v>3</v>
      </c>
      <c r="AV17">
        <v>13</v>
      </c>
      <c r="AW17">
        <v>36</v>
      </c>
      <c r="AY17" s="18" t="s">
        <v>340</v>
      </c>
      <c r="BD17" s="2" t="s">
        <v>352</v>
      </c>
      <c r="BE17" s="2" t="s">
        <v>235</v>
      </c>
      <c r="BJ17" t="s">
        <v>371</v>
      </c>
    </row>
    <row r="18" spans="1:62">
      <c r="A18">
        <v>17</v>
      </c>
      <c r="B18" t="s">
        <v>161</v>
      </c>
      <c r="H18">
        <v>17</v>
      </c>
      <c r="I18" t="s">
        <v>161</v>
      </c>
      <c r="J18" t="s">
        <v>160</v>
      </c>
      <c r="K18" t="str">
        <f t="shared" si="0"/>
        <v>TAILHEAD</v>
      </c>
      <c r="L18" t="s">
        <v>177</v>
      </c>
      <c r="T18">
        <v>16</v>
      </c>
      <c r="U18">
        <v>3</v>
      </c>
      <c r="W18">
        <f>X16/100</f>
        <v>0.15</v>
      </c>
      <c r="X18" s="3">
        <v>0.15</v>
      </c>
      <c r="AI18">
        <f>COUNTIF(AF10:AF14,"MALE")/5+(COUNTIF(AG10:AG14,"YES")/5-(COUNTIFS(AF10:AF14,"MALE",AG10:AG14,"YES")/5))</f>
        <v>0.79999999999999993</v>
      </c>
      <c r="AJ18" s="3">
        <v>0.08</v>
      </c>
      <c r="AO18" t="s">
        <v>208</v>
      </c>
      <c r="AP18">
        <v>2</v>
      </c>
      <c r="AV18">
        <v>14</v>
      </c>
      <c r="AW18">
        <v>4</v>
      </c>
      <c r="BD18" s="2" t="s">
        <v>147</v>
      </c>
      <c r="BE18" s="2" t="s">
        <v>353</v>
      </c>
    </row>
    <row r="19" spans="1:62" ht="24" customHeight="1">
      <c r="A19">
        <v>18</v>
      </c>
      <c r="B19" t="s">
        <v>160</v>
      </c>
      <c r="H19">
        <v>18</v>
      </c>
      <c r="I19" t="s">
        <v>160</v>
      </c>
      <c r="J19" t="s">
        <v>160</v>
      </c>
      <c r="K19" t="str">
        <f t="shared" si="0"/>
        <v>HEADHEAD</v>
      </c>
      <c r="L19">
        <f>L17/100</f>
        <v>0.25</v>
      </c>
      <c r="M19" s="3">
        <v>0.25</v>
      </c>
      <c r="T19">
        <v>17</v>
      </c>
      <c r="U19">
        <v>4</v>
      </c>
      <c r="AC19" t="s">
        <v>199</v>
      </c>
      <c r="AI19">
        <f>AI15/5</f>
        <v>0.8</v>
      </c>
      <c r="AJ19" s="3">
        <v>0.08</v>
      </c>
      <c r="AO19" t="s">
        <v>209</v>
      </c>
      <c r="AP19">
        <v>5</v>
      </c>
      <c r="AV19">
        <v>15</v>
      </c>
      <c r="AW19">
        <v>86</v>
      </c>
      <c r="AY19" t="s">
        <v>341</v>
      </c>
      <c r="BD19" s="2" t="s">
        <v>149</v>
      </c>
      <c r="BE19" s="2" t="s">
        <v>354</v>
      </c>
      <c r="BJ19" t="s">
        <v>372</v>
      </c>
    </row>
    <row r="20" spans="1:62" ht="30">
      <c r="A20">
        <v>19</v>
      </c>
      <c r="B20" t="s">
        <v>161</v>
      </c>
      <c r="H20">
        <v>19</v>
      </c>
      <c r="I20" t="s">
        <v>161</v>
      </c>
      <c r="J20" t="s">
        <v>161</v>
      </c>
      <c r="K20" t="str">
        <f t="shared" si="0"/>
        <v>TAILTAIL</v>
      </c>
      <c r="T20">
        <v>18</v>
      </c>
      <c r="U20">
        <v>2</v>
      </c>
      <c r="W20" t="s">
        <v>191</v>
      </c>
      <c r="X20">
        <f>COUNTIF(U3:U102,2)</f>
        <v>14</v>
      </c>
      <c r="AC20" t="s">
        <v>200</v>
      </c>
      <c r="AO20" t="s">
        <v>209</v>
      </c>
      <c r="AP20">
        <v>3</v>
      </c>
      <c r="AV20">
        <v>16</v>
      </c>
      <c r="AW20">
        <v>99</v>
      </c>
      <c r="AY20" s="17"/>
      <c r="BD20" s="2" t="s">
        <v>355</v>
      </c>
      <c r="BE20" s="2" t="s">
        <v>356</v>
      </c>
      <c r="BJ20">
        <f>30/50</f>
        <v>0.6</v>
      </c>
    </row>
    <row r="21" spans="1:62" ht="30" customHeight="1">
      <c r="A21">
        <v>20</v>
      </c>
      <c r="B21" t="s">
        <v>160</v>
      </c>
      <c r="H21">
        <v>20</v>
      </c>
      <c r="I21" t="s">
        <v>160</v>
      </c>
      <c r="J21" t="s">
        <v>161</v>
      </c>
      <c r="K21" t="str">
        <f t="shared" si="0"/>
        <v>HEADTAIL</v>
      </c>
      <c r="L21" t="s">
        <v>175</v>
      </c>
      <c r="T21">
        <v>19</v>
      </c>
      <c r="U21">
        <v>2</v>
      </c>
      <c r="W21" t="s">
        <v>192</v>
      </c>
      <c r="AI21">
        <f>(COUNTIF(AF10:AF14,AF11)/5+COUNTIF(AG10:AG14,AG13)/5-COUNTIFS(AF10:AF14,AF14,AG10:AG14,AG11)/5)</f>
        <v>0.79999999999999993</v>
      </c>
      <c r="AO21" t="s">
        <v>209</v>
      </c>
      <c r="AP21">
        <v>3</v>
      </c>
      <c r="AV21">
        <v>17</v>
      </c>
      <c r="AW21">
        <v>72</v>
      </c>
      <c r="AY21" s="18" t="s">
        <v>342</v>
      </c>
      <c r="BD21" s="2" t="s">
        <v>357</v>
      </c>
      <c r="BE21" s="2" t="s">
        <v>358</v>
      </c>
    </row>
    <row r="22" spans="1:62" ht="22.5" customHeight="1">
      <c r="A22">
        <v>21</v>
      </c>
      <c r="B22" t="s">
        <v>160</v>
      </c>
      <c r="H22">
        <v>21</v>
      </c>
      <c r="I22" t="s">
        <v>160</v>
      </c>
      <c r="J22" t="s">
        <v>161</v>
      </c>
      <c r="K22" t="str">
        <f t="shared" si="0"/>
        <v>HEADTAIL</v>
      </c>
      <c r="L22">
        <f>COUNTIF(K2:K101,"HEADHEAD")</f>
        <v>21</v>
      </c>
      <c r="T22">
        <v>20</v>
      </c>
      <c r="U22">
        <v>3</v>
      </c>
      <c r="W22">
        <f>X20/100</f>
        <v>0.14000000000000001</v>
      </c>
      <c r="X22" s="3">
        <v>0.14000000000000001</v>
      </c>
      <c r="AC22" t="s">
        <v>201</v>
      </c>
      <c r="AO22" t="s">
        <v>208</v>
      </c>
      <c r="AP22">
        <v>6</v>
      </c>
      <c r="AV22">
        <v>18</v>
      </c>
      <c r="AW22">
        <v>10</v>
      </c>
      <c r="AY22" s="17"/>
      <c r="BD22" s="2" t="s">
        <v>359</v>
      </c>
      <c r="BE22" s="2" t="s">
        <v>360</v>
      </c>
      <c r="BG22" t="s">
        <v>373</v>
      </c>
      <c r="BH22" t="s">
        <v>374</v>
      </c>
    </row>
    <row r="23" spans="1:62">
      <c r="A23">
        <v>22</v>
      </c>
      <c r="B23" t="s">
        <v>161</v>
      </c>
      <c r="H23">
        <v>22</v>
      </c>
      <c r="I23" t="s">
        <v>161</v>
      </c>
      <c r="J23" t="s">
        <v>160</v>
      </c>
      <c r="K23" t="str">
        <f t="shared" si="0"/>
        <v>TAILHEAD</v>
      </c>
      <c r="L23" t="s">
        <v>178</v>
      </c>
      <c r="T23">
        <v>21</v>
      </c>
      <c r="U23">
        <v>4</v>
      </c>
      <c r="AC23">
        <f>W10+W26</f>
        <v>0.33</v>
      </c>
      <c r="AO23" t="s">
        <v>209</v>
      </c>
      <c r="AP23">
        <v>3</v>
      </c>
      <c r="AV23">
        <v>19</v>
      </c>
      <c r="AW23">
        <v>73</v>
      </c>
      <c r="AY23" s="18" t="s">
        <v>339</v>
      </c>
    </row>
    <row r="24" spans="1:62">
      <c r="A24">
        <v>23</v>
      </c>
      <c r="B24" t="s">
        <v>160</v>
      </c>
      <c r="H24">
        <v>23</v>
      </c>
      <c r="I24" t="s">
        <v>160</v>
      </c>
      <c r="J24" t="s">
        <v>161</v>
      </c>
      <c r="K24" t="str">
        <f t="shared" si="0"/>
        <v>HEADTAIL</v>
      </c>
      <c r="L24">
        <f>21/100</f>
        <v>0.21</v>
      </c>
      <c r="M24" s="3">
        <v>0.21</v>
      </c>
      <c r="T24">
        <v>22</v>
      </c>
      <c r="U24">
        <v>5</v>
      </c>
      <c r="W24" t="s">
        <v>197</v>
      </c>
      <c r="X24">
        <f>COUNTIF(U3:U102,1)</f>
        <v>13</v>
      </c>
      <c r="AC24">
        <f>(COUNTIF(U3:U102,5)+COUNTIF(U3:U102,1))/100</f>
        <v>0.33</v>
      </c>
      <c r="AO24" t="s">
        <v>209</v>
      </c>
      <c r="AP24">
        <v>1</v>
      </c>
      <c r="AV24">
        <v>20</v>
      </c>
      <c r="AW24">
        <v>56</v>
      </c>
      <c r="AY24" s="18" t="s">
        <v>343</v>
      </c>
    </row>
    <row r="25" spans="1:62">
      <c r="A25">
        <v>24</v>
      </c>
      <c r="B25" t="s">
        <v>161</v>
      </c>
      <c r="H25">
        <v>24</v>
      </c>
      <c r="I25" t="s">
        <v>161</v>
      </c>
      <c r="J25" t="s">
        <v>161</v>
      </c>
      <c r="K25" t="str">
        <f t="shared" si="0"/>
        <v>TAILTAIL</v>
      </c>
      <c r="T25">
        <v>23</v>
      </c>
      <c r="U25">
        <v>6</v>
      </c>
      <c r="W25" t="s">
        <v>198</v>
      </c>
      <c r="AO25" t="s">
        <v>209</v>
      </c>
      <c r="AP25">
        <v>4</v>
      </c>
      <c r="AV25">
        <v>21</v>
      </c>
      <c r="AW25">
        <v>68</v>
      </c>
    </row>
    <row r="26" spans="1:62">
      <c r="A26">
        <v>25</v>
      </c>
      <c r="B26" t="s">
        <v>160</v>
      </c>
      <c r="H26">
        <v>25</v>
      </c>
      <c r="I26" t="s">
        <v>160</v>
      </c>
      <c r="J26" t="s">
        <v>161</v>
      </c>
      <c r="K26" t="str">
        <f t="shared" si="0"/>
        <v>HEADTAIL</v>
      </c>
      <c r="L26" t="s">
        <v>180</v>
      </c>
      <c r="T26">
        <v>24</v>
      </c>
      <c r="U26">
        <v>1</v>
      </c>
      <c r="W26">
        <f>COUNTIF(U3:U102,1)/100</f>
        <v>0.13</v>
      </c>
      <c r="X26" s="3">
        <f>W26</f>
        <v>0.13</v>
      </c>
      <c r="AO26" t="s">
        <v>208</v>
      </c>
      <c r="AP26">
        <v>3</v>
      </c>
      <c r="AV26">
        <v>22</v>
      </c>
      <c r="AW26">
        <v>66</v>
      </c>
    </row>
    <row r="27" spans="1:62">
      <c r="A27">
        <v>26</v>
      </c>
      <c r="B27" t="s">
        <v>160</v>
      </c>
      <c r="H27">
        <v>26</v>
      </c>
      <c r="I27" t="s">
        <v>160</v>
      </c>
      <c r="J27" t="s">
        <v>161</v>
      </c>
      <c r="K27" t="str">
        <f t="shared" si="0"/>
        <v>HEADTAIL</v>
      </c>
      <c r="L27">
        <f>COUNTIF(K2:K101,"TAILTAIL")</f>
        <v>28</v>
      </c>
      <c r="T27">
        <v>25</v>
      </c>
      <c r="U27">
        <v>5</v>
      </c>
      <c r="AO27" t="s">
        <v>208</v>
      </c>
      <c r="AP27">
        <v>5</v>
      </c>
      <c r="AV27">
        <v>23</v>
      </c>
      <c r="AW27">
        <v>8</v>
      </c>
    </row>
    <row r="28" spans="1:62">
      <c r="A28">
        <v>27</v>
      </c>
      <c r="B28" t="s">
        <v>160</v>
      </c>
      <c r="H28">
        <v>27</v>
      </c>
      <c r="I28" t="s">
        <v>160</v>
      </c>
      <c r="J28" t="s">
        <v>160</v>
      </c>
      <c r="K28" t="str">
        <f t="shared" si="0"/>
        <v>HEADHEAD</v>
      </c>
      <c r="L28" t="s">
        <v>179</v>
      </c>
      <c r="T28">
        <v>26</v>
      </c>
      <c r="U28">
        <v>6</v>
      </c>
      <c r="AO28" t="s">
        <v>208</v>
      </c>
      <c r="AP28">
        <v>1</v>
      </c>
      <c r="AV28">
        <v>24</v>
      </c>
      <c r="AW28">
        <v>86</v>
      </c>
    </row>
    <row r="29" spans="1:62">
      <c r="A29">
        <v>28</v>
      </c>
      <c r="B29" t="s">
        <v>160</v>
      </c>
      <c r="H29">
        <v>28</v>
      </c>
      <c r="I29" t="s">
        <v>160</v>
      </c>
      <c r="J29" t="s">
        <v>160</v>
      </c>
      <c r="K29" t="str">
        <f t="shared" si="0"/>
        <v>HEADHEAD</v>
      </c>
      <c r="L29">
        <f>28/100</f>
        <v>0.28000000000000003</v>
      </c>
      <c r="M29" s="3">
        <v>0.28000000000000003</v>
      </c>
      <c r="T29">
        <v>27</v>
      </c>
      <c r="U29">
        <v>6</v>
      </c>
      <c r="AO29" t="s">
        <v>208</v>
      </c>
      <c r="AP29">
        <v>2</v>
      </c>
      <c r="AV29">
        <v>25</v>
      </c>
      <c r="AW29">
        <v>68</v>
      </c>
    </row>
    <row r="30" spans="1:62">
      <c r="A30">
        <v>29</v>
      </c>
      <c r="B30" t="s">
        <v>161</v>
      </c>
      <c r="H30">
        <v>29</v>
      </c>
      <c r="I30" t="s">
        <v>161</v>
      </c>
      <c r="J30" t="s">
        <v>160</v>
      </c>
      <c r="K30" t="str">
        <f t="shared" si="0"/>
        <v>TAILHEAD</v>
      </c>
      <c r="T30">
        <v>28</v>
      </c>
      <c r="U30">
        <v>5</v>
      </c>
      <c r="AO30" t="s">
        <v>208</v>
      </c>
      <c r="AP30">
        <v>3</v>
      </c>
      <c r="AV30">
        <v>26</v>
      </c>
      <c r="AW30">
        <v>48</v>
      </c>
    </row>
    <row r="31" spans="1:62">
      <c r="A31">
        <v>30</v>
      </c>
      <c r="B31" t="s">
        <v>160</v>
      </c>
      <c r="H31">
        <v>30</v>
      </c>
      <c r="I31" t="s">
        <v>160</v>
      </c>
      <c r="J31" t="s">
        <v>161</v>
      </c>
      <c r="K31" t="str">
        <f t="shared" si="0"/>
        <v>HEADTAIL</v>
      </c>
      <c r="T31">
        <v>29</v>
      </c>
      <c r="U31">
        <v>6</v>
      </c>
      <c r="AO31" t="s">
        <v>209</v>
      </c>
      <c r="AP31">
        <v>3</v>
      </c>
      <c r="AV31">
        <v>27</v>
      </c>
      <c r="AW31">
        <v>29</v>
      </c>
    </row>
    <row r="32" spans="1:62">
      <c r="A32">
        <v>31</v>
      </c>
      <c r="B32" t="s">
        <v>160</v>
      </c>
      <c r="H32">
        <v>31</v>
      </c>
      <c r="I32" t="s">
        <v>160</v>
      </c>
      <c r="J32" t="s">
        <v>161</v>
      </c>
      <c r="K32" t="str">
        <f t="shared" si="0"/>
        <v>HEADTAIL</v>
      </c>
      <c r="T32">
        <v>30</v>
      </c>
      <c r="U32">
        <v>2</v>
      </c>
      <c r="AO32" t="s">
        <v>208</v>
      </c>
      <c r="AP32">
        <v>6</v>
      </c>
      <c r="AV32">
        <v>28</v>
      </c>
      <c r="AW32">
        <v>59</v>
      </c>
    </row>
    <row r="33" spans="1:49">
      <c r="A33">
        <v>32</v>
      </c>
      <c r="B33" t="s">
        <v>160</v>
      </c>
      <c r="H33">
        <v>32</v>
      </c>
      <c r="I33" t="s">
        <v>160</v>
      </c>
      <c r="J33" t="s">
        <v>161</v>
      </c>
      <c r="K33" t="str">
        <f t="shared" si="0"/>
        <v>HEADTAIL</v>
      </c>
      <c r="T33">
        <v>31</v>
      </c>
      <c r="U33">
        <v>4</v>
      </c>
      <c r="AO33" t="s">
        <v>208</v>
      </c>
      <c r="AP33">
        <v>3</v>
      </c>
      <c r="AV33">
        <v>29</v>
      </c>
      <c r="AW33">
        <v>61</v>
      </c>
    </row>
    <row r="34" spans="1:49">
      <c r="A34">
        <v>33</v>
      </c>
      <c r="B34" t="s">
        <v>161</v>
      </c>
      <c r="H34">
        <v>33</v>
      </c>
      <c r="I34" t="s">
        <v>161</v>
      </c>
      <c r="J34" t="s">
        <v>160</v>
      </c>
      <c r="K34" t="str">
        <f t="shared" si="0"/>
        <v>TAILHEAD</v>
      </c>
      <c r="T34">
        <v>32</v>
      </c>
      <c r="U34">
        <v>1</v>
      </c>
      <c r="AO34" t="s">
        <v>208</v>
      </c>
      <c r="AP34">
        <v>1</v>
      </c>
      <c r="AV34">
        <v>30</v>
      </c>
      <c r="AW34">
        <v>44</v>
      </c>
    </row>
    <row r="35" spans="1:49">
      <c r="A35">
        <v>34</v>
      </c>
      <c r="B35" t="s">
        <v>161</v>
      </c>
      <c r="H35">
        <v>34</v>
      </c>
      <c r="I35" t="s">
        <v>161</v>
      </c>
      <c r="J35" t="s">
        <v>161</v>
      </c>
      <c r="K35" t="str">
        <f t="shared" si="0"/>
        <v>TAILTAIL</v>
      </c>
      <c r="T35">
        <v>33</v>
      </c>
      <c r="U35">
        <v>5</v>
      </c>
      <c r="AO35" t="s">
        <v>208</v>
      </c>
      <c r="AP35">
        <v>6</v>
      </c>
      <c r="AV35">
        <v>31</v>
      </c>
      <c r="AW35">
        <v>75</v>
      </c>
    </row>
    <row r="36" spans="1:49">
      <c r="A36">
        <v>35</v>
      </c>
      <c r="B36" t="s">
        <v>161</v>
      </c>
      <c r="H36">
        <v>35</v>
      </c>
      <c r="I36" t="s">
        <v>161</v>
      </c>
      <c r="J36" t="s">
        <v>161</v>
      </c>
      <c r="K36" t="str">
        <f t="shared" si="0"/>
        <v>TAILTAIL</v>
      </c>
      <c r="T36">
        <v>34</v>
      </c>
      <c r="U36">
        <v>5</v>
      </c>
      <c r="AO36" t="s">
        <v>208</v>
      </c>
      <c r="AP36">
        <v>3</v>
      </c>
      <c r="AV36">
        <v>32</v>
      </c>
      <c r="AW36">
        <v>55</v>
      </c>
    </row>
    <row r="37" spans="1:49">
      <c r="A37">
        <v>36</v>
      </c>
      <c r="B37" t="s">
        <v>160</v>
      </c>
      <c r="H37">
        <v>36</v>
      </c>
      <c r="I37" t="s">
        <v>160</v>
      </c>
      <c r="J37" t="s">
        <v>160</v>
      </c>
      <c r="K37" t="str">
        <f t="shared" si="0"/>
        <v>HEADHEAD</v>
      </c>
      <c r="T37">
        <v>35</v>
      </c>
      <c r="U37">
        <v>4</v>
      </c>
      <c r="AO37" t="s">
        <v>209</v>
      </c>
      <c r="AP37">
        <v>1</v>
      </c>
      <c r="AV37">
        <v>33</v>
      </c>
      <c r="AW37">
        <v>43</v>
      </c>
    </row>
    <row r="38" spans="1:49">
      <c r="A38">
        <v>37</v>
      </c>
      <c r="B38" t="s">
        <v>161</v>
      </c>
      <c r="H38">
        <v>37</v>
      </c>
      <c r="I38" t="s">
        <v>161</v>
      </c>
      <c r="J38" t="s">
        <v>161</v>
      </c>
      <c r="K38" t="str">
        <f t="shared" si="0"/>
        <v>TAILTAIL</v>
      </c>
      <c r="T38">
        <v>36</v>
      </c>
      <c r="U38">
        <v>5</v>
      </c>
      <c r="AO38" t="s">
        <v>209</v>
      </c>
      <c r="AP38">
        <v>4</v>
      </c>
      <c r="AV38">
        <v>34</v>
      </c>
      <c r="AW38">
        <v>42</v>
      </c>
    </row>
    <row r="39" spans="1:49">
      <c r="A39">
        <v>38</v>
      </c>
      <c r="B39" t="s">
        <v>160</v>
      </c>
      <c r="H39">
        <v>38</v>
      </c>
      <c r="I39" t="s">
        <v>160</v>
      </c>
      <c r="J39" t="s">
        <v>161</v>
      </c>
      <c r="K39" t="str">
        <f t="shared" si="0"/>
        <v>HEADTAIL</v>
      </c>
      <c r="T39">
        <v>37</v>
      </c>
      <c r="U39">
        <v>6</v>
      </c>
      <c r="AO39" t="s">
        <v>208</v>
      </c>
      <c r="AP39">
        <v>2</v>
      </c>
      <c r="AV39">
        <v>35</v>
      </c>
      <c r="AW39">
        <v>48</v>
      </c>
    </row>
    <row r="40" spans="1:49">
      <c r="A40">
        <v>39</v>
      </c>
      <c r="B40" t="s">
        <v>161</v>
      </c>
      <c r="H40">
        <v>39</v>
      </c>
      <c r="I40" t="s">
        <v>161</v>
      </c>
      <c r="J40" t="s">
        <v>161</v>
      </c>
      <c r="K40" t="str">
        <f t="shared" si="0"/>
        <v>TAILTAIL</v>
      </c>
      <c r="T40">
        <v>38</v>
      </c>
      <c r="U40">
        <v>2</v>
      </c>
      <c r="AO40" t="s">
        <v>208</v>
      </c>
      <c r="AP40">
        <v>3</v>
      </c>
      <c r="AV40">
        <v>36</v>
      </c>
      <c r="AW40">
        <v>100</v>
      </c>
    </row>
    <row r="41" spans="1:49">
      <c r="A41">
        <v>40</v>
      </c>
      <c r="B41" t="s">
        <v>160</v>
      </c>
      <c r="H41">
        <v>40</v>
      </c>
      <c r="I41" t="s">
        <v>160</v>
      </c>
      <c r="J41" t="s">
        <v>161</v>
      </c>
      <c r="K41" t="str">
        <f t="shared" si="0"/>
        <v>HEADTAIL</v>
      </c>
      <c r="T41">
        <v>39</v>
      </c>
      <c r="U41">
        <v>1</v>
      </c>
      <c r="AO41" t="s">
        <v>209</v>
      </c>
      <c r="AP41">
        <v>4</v>
      </c>
      <c r="AV41">
        <v>37</v>
      </c>
      <c r="AW41">
        <v>98</v>
      </c>
    </row>
    <row r="42" spans="1:49">
      <c r="A42">
        <v>41</v>
      </c>
      <c r="B42" t="s">
        <v>161</v>
      </c>
      <c r="H42">
        <v>41</v>
      </c>
      <c r="I42" t="s">
        <v>161</v>
      </c>
      <c r="J42" t="s">
        <v>161</v>
      </c>
      <c r="K42" t="str">
        <f t="shared" si="0"/>
        <v>TAILTAIL</v>
      </c>
      <c r="T42">
        <v>40</v>
      </c>
      <c r="U42">
        <v>6</v>
      </c>
      <c r="AO42" t="s">
        <v>208</v>
      </c>
      <c r="AP42">
        <v>6</v>
      </c>
      <c r="AV42">
        <v>38</v>
      </c>
      <c r="AW42">
        <v>72</v>
      </c>
    </row>
    <row r="43" spans="1:49">
      <c r="A43">
        <v>42</v>
      </c>
      <c r="B43" t="s">
        <v>161</v>
      </c>
      <c r="H43">
        <v>42</v>
      </c>
      <c r="I43" t="s">
        <v>161</v>
      </c>
      <c r="J43" t="s">
        <v>161</v>
      </c>
      <c r="K43" t="str">
        <f t="shared" si="0"/>
        <v>TAILTAIL</v>
      </c>
      <c r="T43">
        <v>41</v>
      </c>
      <c r="U43">
        <v>3</v>
      </c>
      <c r="AO43" t="s">
        <v>209</v>
      </c>
      <c r="AP43">
        <v>1</v>
      </c>
      <c r="AV43">
        <v>39</v>
      </c>
      <c r="AW43">
        <v>5</v>
      </c>
    </row>
    <row r="44" spans="1:49">
      <c r="A44">
        <v>43</v>
      </c>
      <c r="B44" t="s">
        <v>160</v>
      </c>
      <c r="H44">
        <v>43</v>
      </c>
      <c r="I44" t="s">
        <v>160</v>
      </c>
      <c r="J44" t="s">
        <v>161</v>
      </c>
      <c r="K44" t="str">
        <f t="shared" si="0"/>
        <v>HEADTAIL</v>
      </c>
      <c r="T44">
        <v>42</v>
      </c>
      <c r="U44">
        <v>5</v>
      </c>
      <c r="AO44" t="s">
        <v>208</v>
      </c>
      <c r="AP44">
        <v>1</v>
      </c>
      <c r="AV44">
        <v>40</v>
      </c>
      <c r="AW44">
        <v>65</v>
      </c>
    </row>
    <row r="45" spans="1:49">
      <c r="A45">
        <v>44</v>
      </c>
      <c r="B45" t="s">
        <v>161</v>
      </c>
      <c r="H45">
        <v>44</v>
      </c>
      <c r="I45" t="s">
        <v>161</v>
      </c>
      <c r="J45" t="s">
        <v>161</v>
      </c>
      <c r="K45" t="str">
        <f t="shared" si="0"/>
        <v>TAILTAIL</v>
      </c>
      <c r="T45">
        <v>43</v>
      </c>
      <c r="U45">
        <v>2</v>
      </c>
      <c r="AO45" t="s">
        <v>208</v>
      </c>
      <c r="AP45">
        <v>2</v>
      </c>
      <c r="AV45">
        <v>41</v>
      </c>
      <c r="AW45">
        <v>64</v>
      </c>
    </row>
    <row r="46" spans="1:49">
      <c r="A46">
        <v>45</v>
      </c>
      <c r="B46" t="s">
        <v>160</v>
      </c>
      <c r="H46">
        <v>45</v>
      </c>
      <c r="I46" t="s">
        <v>160</v>
      </c>
      <c r="J46" t="s">
        <v>160</v>
      </c>
      <c r="K46" t="str">
        <f t="shared" si="0"/>
        <v>HEADHEAD</v>
      </c>
      <c r="T46">
        <v>44</v>
      </c>
      <c r="U46">
        <v>4</v>
      </c>
      <c r="AO46" t="s">
        <v>208</v>
      </c>
      <c r="AP46">
        <v>5</v>
      </c>
      <c r="AV46">
        <v>42</v>
      </c>
      <c r="AW46">
        <v>43</v>
      </c>
    </row>
    <row r="47" spans="1:49">
      <c r="A47">
        <v>46</v>
      </c>
      <c r="B47" t="s">
        <v>161</v>
      </c>
      <c r="H47">
        <v>46</v>
      </c>
      <c r="I47" t="s">
        <v>161</v>
      </c>
      <c r="J47" t="s">
        <v>160</v>
      </c>
      <c r="K47" t="str">
        <f t="shared" si="0"/>
        <v>TAILHEAD</v>
      </c>
      <c r="T47">
        <v>45</v>
      </c>
      <c r="U47">
        <v>2</v>
      </c>
      <c r="AO47" t="s">
        <v>209</v>
      </c>
      <c r="AP47">
        <v>1</v>
      </c>
      <c r="AV47">
        <v>43</v>
      </c>
      <c r="AW47">
        <v>35</v>
      </c>
    </row>
    <row r="48" spans="1:49">
      <c r="A48">
        <v>47</v>
      </c>
      <c r="B48" t="s">
        <v>161</v>
      </c>
      <c r="H48">
        <v>47</v>
      </c>
      <c r="I48" t="s">
        <v>161</v>
      </c>
      <c r="J48" t="s">
        <v>161</v>
      </c>
      <c r="K48" t="str">
        <f t="shared" si="0"/>
        <v>TAILTAIL</v>
      </c>
      <c r="T48">
        <v>46</v>
      </c>
      <c r="U48">
        <v>5</v>
      </c>
      <c r="AO48" t="s">
        <v>209</v>
      </c>
      <c r="AP48">
        <v>3</v>
      </c>
      <c r="AV48">
        <v>44</v>
      </c>
      <c r="AW48">
        <v>90</v>
      </c>
    </row>
    <row r="49" spans="1:49">
      <c r="A49">
        <v>48</v>
      </c>
      <c r="B49" t="s">
        <v>160</v>
      </c>
      <c r="H49">
        <v>48</v>
      </c>
      <c r="I49" t="s">
        <v>160</v>
      </c>
      <c r="J49" t="s">
        <v>160</v>
      </c>
      <c r="K49" t="str">
        <f t="shared" si="0"/>
        <v>HEADHEAD</v>
      </c>
      <c r="T49">
        <v>47</v>
      </c>
      <c r="U49">
        <v>4</v>
      </c>
      <c r="AO49" t="s">
        <v>209</v>
      </c>
      <c r="AP49">
        <v>2</v>
      </c>
      <c r="AV49">
        <v>45</v>
      </c>
      <c r="AW49">
        <v>69</v>
      </c>
    </row>
    <row r="50" spans="1:49">
      <c r="A50">
        <v>49</v>
      </c>
      <c r="B50" t="s">
        <v>161</v>
      </c>
      <c r="H50">
        <v>49</v>
      </c>
      <c r="I50" t="s">
        <v>161</v>
      </c>
      <c r="J50" t="s">
        <v>160</v>
      </c>
      <c r="K50" t="str">
        <f t="shared" si="0"/>
        <v>TAILHEAD</v>
      </c>
      <c r="T50">
        <v>48</v>
      </c>
      <c r="U50">
        <v>4</v>
      </c>
      <c r="AO50" t="s">
        <v>208</v>
      </c>
      <c r="AP50">
        <v>3</v>
      </c>
      <c r="AV50">
        <v>46</v>
      </c>
      <c r="AW50">
        <v>93</v>
      </c>
    </row>
    <row r="51" spans="1:49">
      <c r="A51">
        <v>50</v>
      </c>
      <c r="B51" t="s">
        <v>161</v>
      </c>
      <c r="H51">
        <v>50</v>
      </c>
      <c r="I51" t="s">
        <v>161</v>
      </c>
      <c r="J51" t="s">
        <v>160</v>
      </c>
      <c r="K51" t="str">
        <f t="shared" si="0"/>
        <v>TAILHEAD</v>
      </c>
      <c r="T51">
        <v>49</v>
      </c>
      <c r="U51">
        <v>4</v>
      </c>
      <c r="AO51" t="s">
        <v>209</v>
      </c>
      <c r="AP51">
        <v>2</v>
      </c>
      <c r="AV51">
        <v>47</v>
      </c>
      <c r="AW51">
        <v>51</v>
      </c>
    </row>
    <row r="52" spans="1:49">
      <c r="A52">
        <v>51</v>
      </c>
      <c r="B52" t="s">
        <v>161</v>
      </c>
      <c r="H52">
        <v>51</v>
      </c>
      <c r="I52" t="s">
        <v>161</v>
      </c>
      <c r="J52" t="s">
        <v>161</v>
      </c>
      <c r="K52" t="str">
        <f t="shared" si="0"/>
        <v>TAILTAIL</v>
      </c>
      <c r="T52">
        <v>50</v>
      </c>
      <c r="U52">
        <v>5</v>
      </c>
      <c r="AO52" t="s">
        <v>209</v>
      </c>
      <c r="AP52">
        <v>5</v>
      </c>
      <c r="AV52">
        <v>48</v>
      </c>
      <c r="AW52">
        <v>21</v>
      </c>
    </row>
    <row r="53" spans="1:49">
      <c r="A53">
        <v>52</v>
      </c>
      <c r="B53" t="s">
        <v>161</v>
      </c>
      <c r="H53">
        <v>52</v>
      </c>
      <c r="I53" t="s">
        <v>161</v>
      </c>
      <c r="J53" t="s">
        <v>161</v>
      </c>
      <c r="K53" t="str">
        <f t="shared" si="0"/>
        <v>TAILTAIL</v>
      </c>
      <c r="T53">
        <v>51</v>
      </c>
      <c r="U53">
        <v>5</v>
      </c>
      <c r="AO53" t="s">
        <v>208</v>
      </c>
      <c r="AP53">
        <v>3</v>
      </c>
      <c r="AV53">
        <v>49</v>
      </c>
      <c r="AW53">
        <v>69</v>
      </c>
    </row>
    <row r="54" spans="1:49">
      <c r="A54">
        <v>53</v>
      </c>
      <c r="B54" t="s">
        <v>161</v>
      </c>
      <c r="H54">
        <v>53</v>
      </c>
      <c r="I54" t="s">
        <v>161</v>
      </c>
      <c r="J54" t="s">
        <v>161</v>
      </c>
      <c r="K54" t="str">
        <f t="shared" si="0"/>
        <v>TAILTAIL</v>
      </c>
      <c r="T54">
        <v>52</v>
      </c>
      <c r="U54">
        <v>2</v>
      </c>
      <c r="AO54" t="s">
        <v>209</v>
      </c>
      <c r="AP54">
        <v>6</v>
      </c>
      <c r="AV54">
        <v>50</v>
      </c>
      <c r="AW54">
        <v>50</v>
      </c>
    </row>
    <row r="55" spans="1:49">
      <c r="A55">
        <v>54</v>
      </c>
      <c r="B55" t="s">
        <v>161</v>
      </c>
      <c r="H55">
        <v>54</v>
      </c>
      <c r="I55" t="s">
        <v>161</v>
      </c>
      <c r="J55" t="s">
        <v>160</v>
      </c>
      <c r="K55" t="str">
        <f t="shared" si="0"/>
        <v>TAILHEAD</v>
      </c>
      <c r="T55">
        <v>53</v>
      </c>
      <c r="U55">
        <v>3</v>
      </c>
      <c r="AV55">
        <v>51</v>
      </c>
      <c r="AW55">
        <v>13</v>
      </c>
    </row>
    <row r="56" spans="1:49">
      <c r="A56">
        <v>55</v>
      </c>
      <c r="B56" t="s">
        <v>160</v>
      </c>
      <c r="H56">
        <v>55</v>
      </c>
      <c r="I56" t="s">
        <v>160</v>
      </c>
      <c r="J56" t="s">
        <v>161</v>
      </c>
      <c r="K56" t="str">
        <f t="shared" si="0"/>
        <v>HEADTAIL</v>
      </c>
      <c r="T56">
        <v>54</v>
      </c>
      <c r="U56">
        <v>1</v>
      </c>
      <c r="AV56">
        <v>52</v>
      </c>
      <c r="AW56">
        <v>92</v>
      </c>
    </row>
    <row r="57" spans="1:49">
      <c r="A57">
        <v>56</v>
      </c>
      <c r="B57" t="s">
        <v>161</v>
      </c>
      <c r="H57">
        <v>56</v>
      </c>
      <c r="I57" t="s">
        <v>161</v>
      </c>
      <c r="J57" t="s">
        <v>160</v>
      </c>
      <c r="K57" t="str">
        <f t="shared" si="0"/>
        <v>TAILHEAD</v>
      </c>
      <c r="T57">
        <v>55</v>
      </c>
      <c r="U57">
        <v>6</v>
      </c>
      <c r="AV57">
        <v>53</v>
      </c>
      <c r="AW57">
        <v>74</v>
      </c>
    </row>
    <row r="58" spans="1:49">
      <c r="A58">
        <v>57</v>
      </c>
      <c r="B58" t="s">
        <v>160</v>
      </c>
      <c r="H58">
        <v>57</v>
      </c>
      <c r="I58" t="s">
        <v>160</v>
      </c>
      <c r="J58" t="s">
        <v>160</v>
      </c>
      <c r="K58" t="str">
        <f t="shared" si="0"/>
        <v>HEADHEAD</v>
      </c>
      <c r="T58">
        <v>56</v>
      </c>
      <c r="U58">
        <v>4</v>
      </c>
      <c r="AV58">
        <v>54</v>
      </c>
      <c r="AW58">
        <v>33</v>
      </c>
    </row>
    <row r="59" spans="1:49">
      <c r="A59">
        <v>58</v>
      </c>
      <c r="B59" t="s">
        <v>161</v>
      </c>
      <c r="H59">
        <v>58</v>
      </c>
      <c r="I59" t="s">
        <v>161</v>
      </c>
      <c r="J59" t="s">
        <v>161</v>
      </c>
      <c r="K59" t="str">
        <f t="shared" si="0"/>
        <v>TAILTAIL</v>
      </c>
      <c r="T59">
        <v>57</v>
      </c>
      <c r="U59">
        <v>4</v>
      </c>
      <c r="AV59">
        <v>55</v>
      </c>
      <c r="AW59">
        <v>6</v>
      </c>
    </row>
    <row r="60" spans="1:49">
      <c r="A60">
        <v>59</v>
      </c>
      <c r="B60" t="s">
        <v>161</v>
      </c>
      <c r="H60">
        <v>59</v>
      </c>
      <c r="I60" t="s">
        <v>161</v>
      </c>
      <c r="J60" t="s">
        <v>160</v>
      </c>
      <c r="K60" t="str">
        <f t="shared" si="0"/>
        <v>TAILHEAD</v>
      </c>
      <c r="T60">
        <v>58</v>
      </c>
      <c r="U60">
        <v>4</v>
      </c>
      <c r="AV60">
        <v>56</v>
      </c>
      <c r="AW60">
        <v>89</v>
      </c>
    </row>
    <row r="61" spans="1:49">
      <c r="A61">
        <v>60</v>
      </c>
      <c r="B61" t="s">
        <v>160</v>
      </c>
      <c r="H61">
        <v>60</v>
      </c>
      <c r="I61" t="s">
        <v>160</v>
      </c>
      <c r="J61" t="s">
        <v>161</v>
      </c>
      <c r="K61" t="str">
        <f t="shared" si="0"/>
        <v>HEADTAIL</v>
      </c>
      <c r="T61">
        <v>59</v>
      </c>
      <c r="U61">
        <v>6</v>
      </c>
      <c r="AV61">
        <v>57</v>
      </c>
      <c r="AW61">
        <v>17</v>
      </c>
    </row>
    <row r="62" spans="1:49">
      <c r="A62">
        <v>61</v>
      </c>
      <c r="B62" t="s">
        <v>161</v>
      </c>
      <c r="H62">
        <v>61</v>
      </c>
      <c r="I62" t="s">
        <v>161</v>
      </c>
      <c r="J62" t="s">
        <v>161</v>
      </c>
      <c r="K62" t="str">
        <f t="shared" si="0"/>
        <v>TAILTAIL</v>
      </c>
      <c r="T62">
        <v>60</v>
      </c>
      <c r="U62">
        <v>6</v>
      </c>
      <c r="AV62">
        <v>58</v>
      </c>
      <c r="AW62">
        <v>46</v>
      </c>
    </row>
    <row r="63" spans="1:49">
      <c r="A63">
        <v>62</v>
      </c>
      <c r="B63" t="s">
        <v>161</v>
      </c>
      <c r="H63">
        <v>62</v>
      </c>
      <c r="I63" t="s">
        <v>161</v>
      </c>
      <c r="J63" t="s">
        <v>161</v>
      </c>
      <c r="K63" t="str">
        <f t="shared" si="0"/>
        <v>TAILTAIL</v>
      </c>
      <c r="T63">
        <v>61</v>
      </c>
      <c r="U63">
        <v>3</v>
      </c>
      <c r="AV63">
        <v>59</v>
      </c>
      <c r="AW63">
        <v>52</v>
      </c>
    </row>
    <row r="64" spans="1:49">
      <c r="A64">
        <v>63</v>
      </c>
      <c r="B64" t="s">
        <v>160</v>
      </c>
      <c r="H64">
        <v>63</v>
      </c>
      <c r="I64" t="s">
        <v>160</v>
      </c>
      <c r="J64" t="s">
        <v>160</v>
      </c>
      <c r="K64" t="str">
        <f t="shared" si="0"/>
        <v>HEADHEAD</v>
      </c>
      <c r="T64">
        <v>62</v>
      </c>
      <c r="U64">
        <v>6</v>
      </c>
      <c r="AV64">
        <v>60</v>
      </c>
      <c r="AW64">
        <v>85</v>
      </c>
    </row>
    <row r="65" spans="1:49">
      <c r="A65">
        <v>64</v>
      </c>
      <c r="B65" t="s">
        <v>160</v>
      </c>
      <c r="H65">
        <v>64</v>
      </c>
      <c r="I65" t="s">
        <v>160</v>
      </c>
      <c r="J65" t="s">
        <v>161</v>
      </c>
      <c r="K65" t="str">
        <f t="shared" si="0"/>
        <v>HEADTAIL</v>
      </c>
      <c r="T65">
        <v>63</v>
      </c>
      <c r="U65">
        <v>2</v>
      </c>
      <c r="AV65">
        <v>61</v>
      </c>
      <c r="AW65">
        <v>51</v>
      </c>
    </row>
    <row r="66" spans="1:49">
      <c r="A66">
        <v>65</v>
      </c>
      <c r="B66" t="s">
        <v>160</v>
      </c>
      <c r="H66">
        <v>65</v>
      </c>
      <c r="I66" t="s">
        <v>160</v>
      </c>
      <c r="J66" t="s">
        <v>161</v>
      </c>
      <c r="K66" t="str">
        <f t="shared" si="0"/>
        <v>HEADTAIL</v>
      </c>
      <c r="T66">
        <v>64</v>
      </c>
      <c r="U66">
        <v>6</v>
      </c>
      <c r="AV66">
        <v>62</v>
      </c>
      <c r="AW66">
        <v>83</v>
      </c>
    </row>
    <row r="67" spans="1:49">
      <c r="A67">
        <v>66</v>
      </c>
      <c r="B67" t="s">
        <v>160</v>
      </c>
      <c r="H67">
        <v>66</v>
      </c>
      <c r="I67" t="s">
        <v>160</v>
      </c>
      <c r="J67" t="s">
        <v>161</v>
      </c>
      <c r="K67" t="str">
        <f t="shared" ref="K67:K101" si="1">I67&amp;J67</f>
        <v>HEADTAIL</v>
      </c>
      <c r="T67">
        <v>65</v>
      </c>
      <c r="U67">
        <v>1</v>
      </c>
      <c r="AV67">
        <v>63</v>
      </c>
      <c r="AW67">
        <v>36</v>
      </c>
    </row>
    <row r="68" spans="1:49">
      <c r="A68">
        <v>67</v>
      </c>
      <c r="B68" t="s">
        <v>161</v>
      </c>
      <c r="H68">
        <v>67</v>
      </c>
      <c r="I68" t="s">
        <v>161</v>
      </c>
      <c r="J68" t="s">
        <v>160</v>
      </c>
      <c r="K68" t="str">
        <f t="shared" si="1"/>
        <v>TAILHEAD</v>
      </c>
      <c r="T68">
        <v>66</v>
      </c>
      <c r="U68">
        <v>6</v>
      </c>
      <c r="AV68">
        <v>64</v>
      </c>
      <c r="AW68">
        <v>90</v>
      </c>
    </row>
    <row r="69" spans="1:49">
      <c r="A69">
        <v>68</v>
      </c>
      <c r="B69" t="s">
        <v>160</v>
      </c>
      <c r="H69">
        <v>68</v>
      </c>
      <c r="I69" t="s">
        <v>160</v>
      </c>
      <c r="J69" t="s">
        <v>161</v>
      </c>
      <c r="K69" t="str">
        <f t="shared" si="1"/>
        <v>HEADTAIL</v>
      </c>
      <c r="T69">
        <v>67</v>
      </c>
      <c r="U69">
        <v>4</v>
      </c>
      <c r="AV69">
        <v>65</v>
      </c>
      <c r="AW69">
        <v>24</v>
      </c>
    </row>
    <row r="70" spans="1:49">
      <c r="A70">
        <v>69</v>
      </c>
      <c r="B70" t="s">
        <v>161</v>
      </c>
      <c r="H70">
        <v>69</v>
      </c>
      <c r="I70" t="s">
        <v>161</v>
      </c>
      <c r="J70" t="s">
        <v>161</v>
      </c>
      <c r="K70" t="str">
        <f t="shared" si="1"/>
        <v>TAILTAIL</v>
      </c>
      <c r="T70">
        <v>68</v>
      </c>
      <c r="U70">
        <v>4</v>
      </c>
      <c r="AV70">
        <v>66</v>
      </c>
      <c r="AW70">
        <v>44</v>
      </c>
    </row>
    <row r="71" spans="1:49">
      <c r="A71">
        <v>70</v>
      </c>
      <c r="B71" t="s">
        <v>161</v>
      </c>
      <c r="H71">
        <v>70</v>
      </c>
      <c r="I71" t="s">
        <v>161</v>
      </c>
      <c r="J71" t="s">
        <v>160</v>
      </c>
      <c r="K71" t="str">
        <f t="shared" si="1"/>
        <v>TAILHEAD</v>
      </c>
      <c r="T71">
        <v>69</v>
      </c>
      <c r="U71">
        <v>1</v>
      </c>
      <c r="AV71">
        <v>67</v>
      </c>
      <c r="AW71">
        <v>29</v>
      </c>
    </row>
    <row r="72" spans="1:49">
      <c r="A72">
        <v>71</v>
      </c>
      <c r="B72" t="s">
        <v>160</v>
      </c>
      <c r="H72">
        <v>71</v>
      </c>
      <c r="I72" t="s">
        <v>160</v>
      </c>
      <c r="J72" t="s">
        <v>160</v>
      </c>
      <c r="K72" t="str">
        <f t="shared" si="1"/>
        <v>HEADHEAD</v>
      </c>
      <c r="T72">
        <v>70</v>
      </c>
      <c r="U72">
        <v>2</v>
      </c>
      <c r="AV72">
        <v>68</v>
      </c>
      <c r="AW72">
        <v>64</v>
      </c>
    </row>
    <row r="73" spans="1:49">
      <c r="A73">
        <v>72</v>
      </c>
      <c r="B73" t="s">
        <v>160</v>
      </c>
      <c r="H73">
        <v>72</v>
      </c>
      <c r="I73" t="s">
        <v>160</v>
      </c>
      <c r="J73" t="s">
        <v>161</v>
      </c>
      <c r="K73" t="str">
        <f t="shared" si="1"/>
        <v>HEADTAIL</v>
      </c>
      <c r="T73">
        <v>71</v>
      </c>
      <c r="U73">
        <v>2</v>
      </c>
      <c r="AV73">
        <v>69</v>
      </c>
      <c r="AW73">
        <v>91</v>
      </c>
    </row>
    <row r="74" spans="1:49">
      <c r="A74">
        <v>73</v>
      </c>
      <c r="B74" t="s">
        <v>161</v>
      </c>
      <c r="H74">
        <v>73</v>
      </c>
      <c r="I74" t="s">
        <v>161</v>
      </c>
      <c r="J74" t="s">
        <v>160</v>
      </c>
      <c r="K74" t="str">
        <f t="shared" si="1"/>
        <v>TAILHEAD</v>
      </c>
      <c r="T74">
        <v>72</v>
      </c>
      <c r="U74">
        <v>4</v>
      </c>
      <c r="AV74">
        <v>70</v>
      </c>
      <c r="AW74">
        <v>86</v>
      </c>
    </row>
    <row r="75" spans="1:49">
      <c r="A75">
        <v>74</v>
      </c>
      <c r="B75" t="s">
        <v>160</v>
      </c>
      <c r="H75">
        <v>74</v>
      </c>
      <c r="I75" t="s">
        <v>160</v>
      </c>
      <c r="J75" t="s">
        <v>161</v>
      </c>
      <c r="K75" t="str">
        <f t="shared" si="1"/>
        <v>HEADTAIL</v>
      </c>
      <c r="T75">
        <v>73</v>
      </c>
      <c r="U75">
        <v>4</v>
      </c>
      <c r="AV75">
        <v>71</v>
      </c>
      <c r="AW75">
        <v>33</v>
      </c>
    </row>
    <row r="76" spans="1:49">
      <c r="A76">
        <v>75</v>
      </c>
      <c r="B76" t="s">
        <v>161</v>
      </c>
      <c r="H76">
        <v>75</v>
      </c>
      <c r="I76" t="s">
        <v>161</v>
      </c>
      <c r="J76" t="s">
        <v>160</v>
      </c>
      <c r="K76" t="str">
        <f t="shared" si="1"/>
        <v>TAILHEAD</v>
      </c>
      <c r="T76">
        <v>74</v>
      </c>
      <c r="U76">
        <v>1</v>
      </c>
      <c r="AV76">
        <v>72</v>
      </c>
      <c r="AW76">
        <v>66</v>
      </c>
    </row>
    <row r="77" spans="1:49">
      <c r="A77">
        <v>76</v>
      </c>
      <c r="B77" t="s">
        <v>160</v>
      </c>
      <c r="H77">
        <v>76</v>
      </c>
      <c r="I77" t="s">
        <v>160</v>
      </c>
      <c r="J77" t="s">
        <v>161</v>
      </c>
      <c r="K77" t="str">
        <f t="shared" si="1"/>
        <v>HEADTAIL</v>
      </c>
      <c r="T77">
        <v>75</v>
      </c>
      <c r="U77">
        <v>3</v>
      </c>
      <c r="AV77">
        <v>73</v>
      </c>
      <c r="AW77">
        <v>18</v>
      </c>
    </row>
    <row r="78" spans="1:49">
      <c r="A78">
        <v>77</v>
      </c>
      <c r="B78" t="s">
        <v>160</v>
      </c>
      <c r="H78">
        <v>77</v>
      </c>
      <c r="I78" t="s">
        <v>160</v>
      </c>
      <c r="J78" t="s">
        <v>160</v>
      </c>
      <c r="K78" t="str">
        <f t="shared" si="1"/>
        <v>HEADHEAD</v>
      </c>
      <c r="T78">
        <v>76</v>
      </c>
      <c r="U78">
        <v>3</v>
      </c>
      <c r="AV78">
        <v>74</v>
      </c>
      <c r="AW78">
        <v>57</v>
      </c>
    </row>
    <row r="79" spans="1:49">
      <c r="A79">
        <v>78</v>
      </c>
      <c r="B79" t="s">
        <v>160</v>
      </c>
      <c r="H79">
        <v>78</v>
      </c>
      <c r="I79" t="s">
        <v>160</v>
      </c>
      <c r="J79" t="s">
        <v>161</v>
      </c>
      <c r="K79" t="str">
        <f t="shared" si="1"/>
        <v>HEADTAIL</v>
      </c>
      <c r="T79">
        <v>77</v>
      </c>
      <c r="U79">
        <v>6</v>
      </c>
      <c r="AV79">
        <v>75</v>
      </c>
      <c r="AW79">
        <v>95</v>
      </c>
    </row>
    <row r="80" spans="1:49">
      <c r="A80">
        <v>79</v>
      </c>
      <c r="B80" t="s">
        <v>160</v>
      </c>
      <c r="H80">
        <v>79</v>
      </c>
      <c r="I80" t="s">
        <v>160</v>
      </c>
      <c r="J80" t="s">
        <v>161</v>
      </c>
      <c r="K80" t="str">
        <f t="shared" si="1"/>
        <v>HEADTAIL</v>
      </c>
      <c r="T80">
        <v>78</v>
      </c>
      <c r="U80">
        <v>2</v>
      </c>
      <c r="AV80">
        <v>76</v>
      </c>
      <c r="AW80">
        <v>100</v>
      </c>
    </row>
    <row r="81" spans="1:49">
      <c r="A81">
        <v>80</v>
      </c>
      <c r="B81" t="s">
        <v>161</v>
      </c>
      <c r="H81">
        <v>80</v>
      </c>
      <c r="I81" t="s">
        <v>161</v>
      </c>
      <c r="J81" t="s">
        <v>160</v>
      </c>
      <c r="K81" t="str">
        <f t="shared" si="1"/>
        <v>TAILHEAD</v>
      </c>
      <c r="T81">
        <v>79</v>
      </c>
      <c r="U81">
        <v>4</v>
      </c>
      <c r="AV81">
        <v>77</v>
      </c>
      <c r="AW81">
        <v>22</v>
      </c>
    </row>
    <row r="82" spans="1:49">
      <c r="A82">
        <v>81</v>
      </c>
      <c r="B82" t="s">
        <v>160</v>
      </c>
      <c r="H82">
        <v>81</v>
      </c>
      <c r="I82" t="s">
        <v>160</v>
      </c>
      <c r="J82" t="s">
        <v>160</v>
      </c>
      <c r="K82" t="str">
        <f t="shared" si="1"/>
        <v>HEADHEAD</v>
      </c>
      <c r="T82">
        <v>80</v>
      </c>
      <c r="U82">
        <v>1</v>
      </c>
      <c r="AV82">
        <v>78</v>
      </c>
      <c r="AW82">
        <v>53</v>
      </c>
    </row>
    <row r="83" spans="1:49">
      <c r="A83">
        <v>82</v>
      </c>
      <c r="B83" t="s">
        <v>160</v>
      </c>
      <c r="H83">
        <v>82</v>
      </c>
      <c r="I83" t="s">
        <v>160</v>
      </c>
      <c r="J83" t="s">
        <v>160</v>
      </c>
      <c r="K83" t="str">
        <f t="shared" si="1"/>
        <v>HEADHEAD</v>
      </c>
      <c r="T83">
        <v>81</v>
      </c>
      <c r="U83">
        <v>6</v>
      </c>
      <c r="AV83">
        <v>79</v>
      </c>
      <c r="AW83">
        <v>66</v>
      </c>
    </row>
    <row r="84" spans="1:49">
      <c r="A84">
        <v>83</v>
      </c>
      <c r="B84" t="s">
        <v>160</v>
      </c>
      <c r="H84">
        <v>83</v>
      </c>
      <c r="I84" t="s">
        <v>160</v>
      </c>
      <c r="J84" t="s">
        <v>160</v>
      </c>
      <c r="K84" t="str">
        <f t="shared" si="1"/>
        <v>HEADHEAD</v>
      </c>
      <c r="T84">
        <v>82</v>
      </c>
      <c r="U84">
        <v>2</v>
      </c>
      <c r="AV84">
        <v>80</v>
      </c>
      <c r="AW84">
        <v>85</v>
      </c>
    </row>
    <row r="85" spans="1:49">
      <c r="A85">
        <v>84</v>
      </c>
      <c r="B85" t="s">
        <v>161</v>
      </c>
      <c r="H85">
        <v>84</v>
      </c>
      <c r="I85" t="s">
        <v>161</v>
      </c>
      <c r="J85" t="s">
        <v>160</v>
      </c>
      <c r="K85" t="str">
        <f t="shared" si="1"/>
        <v>TAILHEAD</v>
      </c>
      <c r="T85">
        <v>83</v>
      </c>
      <c r="U85">
        <v>5</v>
      </c>
      <c r="AV85">
        <v>81</v>
      </c>
      <c r="AW85">
        <v>52</v>
      </c>
    </row>
    <row r="86" spans="1:49">
      <c r="A86">
        <v>85</v>
      </c>
      <c r="B86" t="s">
        <v>161</v>
      </c>
      <c r="H86">
        <v>85</v>
      </c>
      <c r="I86" t="s">
        <v>161</v>
      </c>
      <c r="J86" t="s">
        <v>160</v>
      </c>
      <c r="K86" t="str">
        <f t="shared" si="1"/>
        <v>TAILHEAD</v>
      </c>
      <c r="T86">
        <v>84</v>
      </c>
      <c r="U86">
        <v>6</v>
      </c>
      <c r="AV86">
        <v>82</v>
      </c>
      <c r="AW86">
        <v>44</v>
      </c>
    </row>
    <row r="87" spans="1:49">
      <c r="A87">
        <v>86</v>
      </c>
      <c r="B87" t="s">
        <v>160</v>
      </c>
      <c r="H87">
        <v>86</v>
      </c>
      <c r="I87" t="s">
        <v>160</v>
      </c>
      <c r="J87" t="s">
        <v>160</v>
      </c>
      <c r="K87" t="str">
        <f t="shared" si="1"/>
        <v>HEADHEAD</v>
      </c>
      <c r="T87">
        <v>85</v>
      </c>
      <c r="U87">
        <v>3</v>
      </c>
      <c r="AV87">
        <v>83</v>
      </c>
      <c r="AW87">
        <v>83</v>
      </c>
    </row>
    <row r="88" spans="1:49">
      <c r="A88">
        <v>87</v>
      </c>
      <c r="B88" t="s">
        <v>160</v>
      </c>
      <c r="H88">
        <v>87</v>
      </c>
      <c r="I88" t="s">
        <v>160</v>
      </c>
      <c r="J88" t="s">
        <v>160</v>
      </c>
      <c r="K88" t="str">
        <f t="shared" si="1"/>
        <v>HEADHEAD</v>
      </c>
      <c r="T88">
        <v>86</v>
      </c>
      <c r="U88">
        <v>5</v>
      </c>
      <c r="AV88">
        <v>84</v>
      </c>
      <c r="AW88">
        <v>63</v>
      </c>
    </row>
    <row r="89" spans="1:49">
      <c r="A89">
        <v>88</v>
      </c>
      <c r="B89" t="s">
        <v>160</v>
      </c>
      <c r="H89">
        <v>88</v>
      </c>
      <c r="I89" t="s">
        <v>160</v>
      </c>
      <c r="J89" t="s">
        <v>160</v>
      </c>
      <c r="K89" t="str">
        <f t="shared" si="1"/>
        <v>HEADHEAD</v>
      </c>
      <c r="T89">
        <v>87</v>
      </c>
      <c r="U89">
        <v>1</v>
      </c>
      <c r="AV89">
        <v>85</v>
      </c>
      <c r="AW89">
        <v>43</v>
      </c>
    </row>
    <row r="90" spans="1:49">
      <c r="A90">
        <v>89</v>
      </c>
      <c r="B90" t="s">
        <v>160</v>
      </c>
      <c r="H90">
        <v>89</v>
      </c>
      <c r="I90" t="s">
        <v>160</v>
      </c>
      <c r="J90" t="s">
        <v>161</v>
      </c>
      <c r="K90" t="str">
        <f t="shared" si="1"/>
        <v>HEADTAIL</v>
      </c>
      <c r="T90">
        <v>88</v>
      </c>
      <c r="U90">
        <v>3</v>
      </c>
      <c r="AV90">
        <v>86</v>
      </c>
      <c r="AW90">
        <v>54</v>
      </c>
    </row>
    <row r="91" spans="1:49">
      <c r="A91">
        <v>90</v>
      </c>
      <c r="B91" t="s">
        <v>161</v>
      </c>
      <c r="H91">
        <v>90</v>
      </c>
      <c r="I91" t="s">
        <v>161</v>
      </c>
      <c r="J91" t="s">
        <v>161</v>
      </c>
      <c r="K91" t="str">
        <f t="shared" si="1"/>
        <v>TAILTAIL</v>
      </c>
      <c r="T91">
        <v>89</v>
      </c>
      <c r="U91">
        <v>3</v>
      </c>
      <c r="AV91">
        <v>87</v>
      </c>
      <c r="AW91">
        <v>19</v>
      </c>
    </row>
    <row r="92" spans="1:49">
      <c r="A92">
        <v>91</v>
      </c>
      <c r="B92" t="s">
        <v>160</v>
      </c>
      <c r="H92">
        <v>91</v>
      </c>
      <c r="I92" t="s">
        <v>160</v>
      </c>
      <c r="J92" t="s">
        <v>160</v>
      </c>
      <c r="K92" t="str">
        <f t="shared" si="1"/>
        <v>HEADHEAD</v>
      </c>
      <c r="T92">
        <v>90</v>
      </c>
      <c r="U92">
        <v>4</v>
      </c>
      <c r="AV92">
        <v>88</v>
      </c>
      <c r="AW92">
        <v>94</v>
      </c>
    </row>
    <row r="93" spans="1:49">
      <c r="A93">
        <v>92</v>
      </c>
      <c r="B93" t="s">
        <v>161</v>
      </c>
      <c r="H93">
        <v>92</v>
      </c>
      <c r="I93" t="s">
        <v>161</v>
      </c>
      <c r="J93" t="s">
        <v>160</v>
      </c>
      <c r="K93" t="str">
        <f t="shared" si="1"/>
        <v>TAILHEAD</v>
      </c>
      <c r="T93">
        <v>91</v>
      </c>
      <c r="U93">
        <v>5</v>
      </c>
      <c r="AV93">
        <v>89</v>
      </c>
      <c r="AW93">
        <v>70</v>
      </c>
    </row>
    <row r="94" spans="1:49">
      <c r="A94">
        <v>93</v>
      </c>
      <c r="B94" t="s">
        <v>161</v>
      </c>
      <c r="H94">
        <v>93</v>
      </c>
      <c r="I94" t="s">
        <v>161</v>
      </c>
      <c r="J94" t="s">
        <v>161</v>
      </c>
      <c r="K94" t="str">
        <f t="shared" si="1"/>
        <v>TAILTAIL</v>
      </c>
      <c r="T94">
        <v>92</v>
      </c>
      <c r="U94">
        <v>1</v>
      </c>
      <c r="AV94">
        <v>90</v>
      </c>
      <c r="AW94">
        <v>37</v>
      </c>
    </row>
    <row r="95" spans="1:49">
      <c r="A95">
        <v>94</v>
      </c>
      <c r="B95" t="s">
        <v>161</v>
      </c>
      <c r="H95">
        <v>94</v>
      </c>
      <c r="I95" t="s">
        <v>161</v>
      </c>
      <c r="J95" t="s">
        <v>161</v>
      </c>
      <c r="K95" t="str">
        <f t="shared" si="1"/>
        <v>TAILTAIL</v>
      </c>
      <c r="T95">
        <v>93</v>
      </c>
      <c r="U95">
        <v>6</v>
      </c>
      <c r="AV95">
        <v>91</v>
      </c>
      <c r="AW95">
        <v>61</v>
      </c>
    </row>
    <row r="96" spans="1:49">
      <c r="A96">
        <v>95</v>
      </c>
      <c r="B96" t="s">
        <v>161</v>
      </c>
      <c r="H96">
        <v>95</v>
      </c>
      <c r="I96" t="s">
        <v>161</v>
      </c>
      <c r="J96" t="s">
        <v>160</v>
      </c>
      <c r="K96" t="str">
        <f t="shared" si="1"/>
        <v>TAILHEAD</v>
      </c>
      <c r="T96">
        <v>94</v>
      </c>
      <c r="U96">
        <v>5</v>
      </c>
      <c r="AV96">
        <v>92</v>
      </c>
      <c r="AW96">
        <v>57</v>
      </c>
    </row>
    <row r="97" spans="1:49">
      <c r="A97">
        <v>96</v>
      </c>
      <c r="B97" t="s">
        <v>161</v>
      </c>
      <c r="H97">
        <v>96</v>
      </c>
      <c r="I97" t="s">
        <v>161</v>
      </c>
      <c r="J97" t="s">
        <v>161</v>
      </c>
      <c r="K97" t="str">
        <f t="shared" si="1"/>
        <v>TAILTAIL</v>
      </c>
      <c r="T97">
        <v>95</v>
      </c>
      <c r="U97">
        <v>6</v>
      </c>
      <c r="AV97">
        <v>93</v>
      </c>
      <c r="AW97">
        <v>37</v>
      </c>
    </row>
    <row r="98" spans="1:49">
      <c r="A98">
        <v>97</v>
      </c>
      <c r="B98" t="s">
        <v>160</v>
      </c>
      <c r="H98">
        <v>97</v>
      </c>
      <c r="I98" t="s">
        <v>160</v>
      </c>
      <c r="J98" t="s">
        <v>160</v>
      </c>
      <c r="K98" t="str">
        <f t="shared" si="1"/>
        <v>HEADHEAD</v>
      </c>
      <c r="T98">
        <v>96</v>
      </c>
      <c r="U98">
        <v>6</v>
      </c>
      <c r="AV98">
        <v>94</v>
      </c>
      <c r="AW98">
        <v>89</v>
      </c>
    </row>
    <row r="99" spans="1:49">
      <c r="A99">
        <v>98</v>
      </c>
      <c r="B99" t="s">
        <v>161</v>
      </c>
      <c r="H99">
        <v>98</v>
      </c>
      <c r="I99" t="s">
        <v>161</v>
      </c>
      <c r="J99" t="s">
        <v>160</v>
      </c>
      <c r="K99" t="str">
        <f t="shared" si="1"/>
        <v>TAILHEAD</v>
      </c>
      <c r="T99">
        <v>97</v>
      </c>
      <c r="U99">
        <v>4</v>
      </c>
      <c r="AV99">
        <v>95</v>
      </c>
      <c r="AW99">
        <v>46</v>
      </c>
    </row>
    <row r="100" spans="1:49">
      <c r="A100">
        <v>99</v>
      </c>
      <c r="B100" t="s">
        <v>160</v>
      </c>
      <c r="H100">
        <v>99</v>
      </c>
      <c r="I100" t="s">
        <v>160</v>
      </c>
      <c r="J100" t="s">
        <v>160</v>
      </c>
      <c r="K100" t="str">
        <f t="shared" si="1"/>
        <v>HEADHEAD</v>
      </c>
      <c r="T100">
        <v>98</v>
      </c>
      <c r="U100">
        <v>1</v>
      </c>
      <c r="AV100">
        <v>96</v>
      </c>
      <c r="AW100">
        <v>37</v>
      </c>
    </row>
    <row r="101" spans="1:49">
      <c r="A101">
        <v>100</v>
      </c>
      <c r="B101" t="s">
        <v>161</v>
      </c>
      <c r="H101">
        <v>100</v>
      </c>
      <c r="I101" t="s">
        <v>161</v>
      </c>
      <c r="J101" t="s">
        <v>160</v>
      </c>
      <c r="K101" t="str">
        <f t="shared" si="1"/>
        <v>TAILHEAD</v>
      </c>
      <c r="T101">
        <v>99</v>
      </c>
      <c r="U101">
        <v>5</v>
      </c>
      <c r="AV101">
        <v>97</v>
      </c>
      <c r="AW101">
        <v>22</v>
      </c>
    </row>
    <row r="102" spans="1:49">
      <c r="T102">
        <v>100</v>
      </c>
      <c r="U102">
        <v>2</v>
      </c>
      <c r="AV102">
        <v>98</v>
      </c>
      <c r="AW102">
        <v>59</v>
      </c>
    </row>
    <row r="103" spans="1:49">
      <c r="AV103">
        <v>99</v>
      </c>
      <c r="AW103">
        <v>38</v>
      </c>
    </row>
    <row r="104" spans="1:49">
      <c r="AV104">
        <v>100</v>
      </c>
      <c r="AW104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3D0F-2950-4A78-BEEF-6277A52492D7}">
  <dimension ref="E1:AY29"/>
  <sheetViews>
    <sheetView zoomScale="80" workbookViewId="0">
      <selection activeCell="R17" sqref="R17"/>
    </sheetView>
  </sheetViews>
  <sheetFormatPr defaultRowHeight="15"/>
  <cols>
    <col min="4" max="4" width="10.28515625" customWidth="1"/>
    <col min="5" max="5" width="24.42578125" customWidth="1"/>
    <col min="9" max="9" width="10.85546875" customWidth="1"/>
    <col min="10" max="10" width="11" customWidth="1"/>
    <col min="11" max="11" width="13.42578125" customWidth="1"/>
    <col min="12" max="12" width="11.85546875" customWidth="1"/>
    <col min="13" max="13" width="11.140625" customWidth="1"/>
    <col min="21" max="21" width="14.42578125" customWidth="1"/>
    <col min="23" max="23" width="12.85546875" customWidth="1"/>
    <col min="26" max="26" width="12.42578125" customWidth="1"/>
    <col min="29" max="29" width="26.140625" customWidth="1"/>
    <col min="41" max="41" width="18.85546875" customWidth="1"/>
    <col min="49" max="49" width="17.85546875" customWidth="1"/>
  </cols>
  <sheetData>
    <row r="1" spans="5:51">
      <c r="G1" s="26" t="s">
        <v>231</v>
      </c>
      <c r="H1" s="26"/>
      <c r="I1" s="26"/>
      <c r="J1" s="26"/>
      <c r="R1" s="4"/>
      <c r="AO1" s="4"/>
      <c r="AV1" s="4"/>
    </row>
    <row r="2" spans="5:51">
      <c r="G2" s="26"/>
      <c r="H2" s="26"/>
      <c r="I2" s="26"/>
      <c r="J2" s="26"/>
    </row>
    <row r="3" spans="5:51">
      <c r="G3" s="26"/>
      <c r="H3" s="26"/>
      <c r="I3" s="26"/>
      <c r="J3" s="26"/>
    </row>
    <row r="5" spans="5:51">
      <c r="E5" t="s">
        <v>258</v>
      </c>
      <c r="F5" t="s">
        <v>419</v>
      </c>
    </row>
    <row r="6" spans="5:51">
      <c r="E6" t="s">
        <v>259</v>
      </c>
      <c r="F6">
        <v>9900</v>
      </c>
      <c r="H6" t="s">
        <v>268</v>
      </c>
      <c r="X6" s="3"/>
    </row>
    <row r="7" spans="5:51">
      <c r="E7" s="3" t="s">
        <v>260</v>
      </c>
      <c r="F7">
        <v>200</v>
      </c>
      <c r="M7" s="3"/>
      <c r="AC7" s="4"/>
      <c r="AG7" s="4"/>
    </row>
    <row r="8" spans="5:51">
      <c r="E8" t="s">
        <v>261</v>
      </c>
      <c r="F8" s="3">
        <v>0.95</v>
      </c>
      <c r="AI8" s="4"/>
    </row>
    <row r="9" spans="5:51">
      <c r="E9" s="3" t="s">
        <v>262</v>
      </c>
      <c r="F9" s="3">
        <v>0.05</v>
      </c>
      <c r="M9" s="3"/>
      <c r="Z9" s="4"/>
      <c r="AY9" s="3"/>
    </row>
    <row r="10" spans="5:51">
      <c r="X10" s="3"/>
    </row>
    <row r="11" spans="5:51">
      <c r="E11" s="3" t="s">
        <v>263</v>
      </c>
      <c r="F11">
        <f>F5/F7</f>
        <v>50</v>
      </c>
    </row>
    <row r="12" spans="5:51">
      <c r="E12" t="s">
        <v>264</v>
      </c>
      <c r="F12">
        <f>F5/F6</f>
        <v>1.0101010101010102</v>
      </c>
      <c r="I12" t="s">
        <v>348</v>
      </c>
      <c r="K12" t="s">
        <v>416</v>
      </c>
    </row>
    <row r="13" spans="5:51">
      <c r="E13" s="3" t="s">
        <v>265</v>
      </c>
      <c r="F13">
        <f>F8*F11</f>
        <v>47.5</v>
      </c>
      <c r="I13" s="20"/>
    </row>
    <row r="14" spans="5:51">
      <c r="E14" t="s">
        <v>266</v>
      </c>
      <c r="F14">
        <f>F8*F12</f>
        <v>0.95959595959595956</v>
      </c>
      <c r="I14" s="21" t="s">
        <v>349</v>
      </c>
      <c r="M14" s="3"/>
      <c r="X14" s="3"/>
      <c r="AC14" s="4"/>
    </row>
    <row r="15" spans="5:51">
      <c r="E15" s="8" t="s">
        <v>267</v>
      </c>
      <c r="F15" s="4">
        <f>F13*F14</f>
        <v>45.580808080808076</v>
      </c>
    </row>
    <row r="16" spans="5:51">
      <c r="E16" s="4" t="s">
        <v>231</v>
      </c>
      <c r="F16" s="4">
        <f>F13/F15</f>
        <v>1.0421052631578949</v>
      </c>
      <c r="I16" t="s">
        <v>417</v>
      </c>
      <c r="M16" s="3"/>
    </row>
    <row r="17" spans="9:36">
      <c r="I17" t="s">
        <v>418</v>
      </c>
    </row>
    <row r="18" spans="9:36">
      <c r="X18" s="3"/>
      <c r="AJ18" s="3"/>
    </row>
    <row r="19" spans="9:36">
      <c r="M19" s="3"/>
      <c r="AJ19" s="3"/>
    </row>
    <row r="22" spans="9:36">
      <c r="X22" s="3"/>
    </row>
    <row r="24" spans="9:36">
      <c r="M24" s="3"/>
    </row>
    <row r="26" spans="9:36">
      <c r="X26" s="3"/>
    </row>
    <row r="29" spans="9:36">
      <c r="M29" s="3"/>
    </row>
  </sheetData>
  <mergeCells count="1">
    <mergeCell ref="G1:J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0334-CAA8-4CFE-9E73-73321F43600E}">
  <dimension ref="A1:H15"/>
  <sheetViews>
    <sheetView workbookViewId="0">
      <selection activeCell="B15" sqref="B15"/>
    </sheetView>
  </sheetViews>
  <sheetFormatPr defaultRowHeight="15"/>
  <cols>
    <col min="5" max="5" width="10.5703125" customWidth="1"/>
  </cols>
  <sheetData>
    <row r="1" spans="1:8">
      <c r="E1" s="4" t="s">
        <v>223</v>
      </c>
    </row>
    <row r="2" spans="1:8">
      <c r="A2" s="4"/>
      <c r="B2" s="4" t="s">
        <v>227</v>
      </c>
      <c r="C2" s="4"/>
    </row>
    <row r="3" spans="1:8">
      <c r="A3" s="4" t="s">
        <v>147</v>
      </c>
      <c r="B3" s="4" t="s">
        <v>149</v>
      </c>
      <c r="C3" s="4" t="s">
        <v>150</v>
      </c>
      <c r="E3" s="27" t="s">
        <v>224</v>
      </c>
      <c r="F3" s="28"/>
      <c r="G3" s="28"/>
      <c r="H3" s="28"/>
    </row>
    <row r="4" spans="1:8">
      <c r="A4">
        <v>10</v>
      </c>
      <c r="B4">
        <v>10</v>
      </c>
      <c r="C4">
        <v>22</v>
      </c>
      <c r="E4" s="28"/>
      <c r="F4" s="28"/>
      <c r="G4" s="28"/>
      <c r="H4" s="28"/>
    </row>
    <row r="5" spans="1:8">
      <c r="A5">
        <v>9550</v>
      </c>
      <c r="B5">
        <v>11</v>
      </c>
      <c r="C5">
        <v>64</v>
      </c>
      <c r="E5" s="28"/>
      <c r="F5" s="28"/>
      <c r="G5" s="28"/>
      <c r="H5" s="28"/>
    </row>
    <row r="6" spans="1:8">
      <c r="A6">
        <v>258</v>
      </c>
      <c r="B6">
        <v>-8</v>
      </c>
      <c r="C6">
        <v>4</v>
      </c>
      <c r="E6" s="28"/>
      <c r="F6" s="28"/>
      <c r="G6" s="28"/>
      <c r="H6" s="28"/>
    </row>
    <row r="7" spans="1:8">
      <c r="A7">
        <v>93</v>
      </c>
      <c r="B7">
        <v>59</v>
      </c>
      <c r="C7">
        <v>8</v>
      </c>
      <c r="E7" s="28"/>
      <c r="F7" s="28"/>
      <c r="G7" s="28"/>
      <c r="H7" s="28"/>
    </row>
    <row r="8" spans="1:8">
      <c r="A8">
        <v>10</v>
      </c>
      <c r="B8">
        <v>-971</v>
      </c>
      <c r="C8">
        <v>2</v>
      </c>
      <c r="E8" s="28"/>
      <c r="F8" s="28"/>
      <c r="G8" s="28"/>
      <c r="H8" s="28"/>
    </row>
    <row r="9" spans="1:8">
      <c r="A9">
        <v>11</v>
      </c>
      <c r="B9">
        <v>143</v>
      </c>
      <c r="C9">
        <v>20</v>
      </c>
      <c r="E9" s="28"/>
      <c r="F9" s="28"/>
      <c r="G9" s="28"/>
      <c r="H9" s="28"/>
    </row>
    <row r="10" spans="1:8">
      <c r="A10">
        <v>845</v>
      </c>
      <c r="B10">
        <v>325</v>
      </c>
      <c r="C10">
        <v>61</v>
      </c>
      <c r="E10" s="28"/>
      <c r="F10" s="28"/>
      <c r="G10" s="28"/>
      <c r="H10" s="28"/>
    </row>
    <row r="11" spans="1:8">
      <c r="A11">
        <v>28</v>
      </c>
      <c r="B11">
        <v>-512</v>
      </c>
      <c r="C11">
        <v>75</v>
      </c>
      <c r="E11" s="28"/>
      <c r="F11" s="28"/>
      <c r="G11" s="28"/>
      <c r="H11" s="28"/>
    </row>
    <row r="12" spans="1:8">
      <c r="A12">
        <v>64</v>
      </c>
      <c r="B12">
        <v>128</v>
      </c>
      <c r="C12">
        <v>56</v>
      </c>
      <c r="E12" s="28"/>
      <c r="F12" s="28"/>
      <c r="G12" s="28"/>
      <c r="H12" s="28"/>
    </row>
    <row r="13" spans="1:8">
      <c r="A13">
        <v>45</v>
      </c>
      <c r="B13">
        <v>25</v>
      </c>
      <c r="C13">
        <v>5</v>
      </c>
      <c r="E13" s="28"/>
      <c r="F13" s="28"/>
      <c r="G13" s="28"/>
      <c r="H13" s="28"/>
    </row>
    <row r="14" spans="1:8">
      <c r="E14" s="28"/>
      <c r="F14" s="28"/>
      <c r="G14" s="28"/>
      <c r="H14" s="28"/>
    </row>
    <row r="15" spans="1:8">
      <c r="A15" s="5">
        <f>SKEW(A4:A13)</f>
        <v>3.1203987346190361</v>
      </c>
      <c r="B15" s="5">
        <f>SKEW(B4:B13)</f>
        <v>-1.7918430035262203</v>
      </c>
      <c r="C15" s="5">
        <f>SKEW(C4:C13)</f>
        <v>0.41427061193233977</v>
      </c>
      <c r="E15" s="4" t="s">
        <v>225</v>
      </c>
      <c r="F15" s="4"/>
      <c r="G15" s="4"/>
    </row>
  </sheetData>
  <mergeCells count="1">
    <mergeCell ref="E3:H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6C1D-8186-426C-9EB8-72422307B465}">
  <dimension ref="A1:K17"/>
  <sheetViews>
    <sheetView zoomScale="95" workbookViewId="0">
      <selection activeCell="H17" sqref="H17"/>
    </sheetView>
  </sheetViews>
  <sheetFormatPr defaultRowHeight="15"/>
  <cols>
    <col min="9" max="9" width="11" customWidth="1"/>
  </cols>
  <sheetData>
    <row r="1" spans="1:11">
      <c r="I1" s="4" t="s">
        <v>226</v>
      </c>
    </row>
    <row r="2" spans="1:11">
      <c r="A2" s="27" t="s">
        <v>229</v>
      </c>
      <c r="B2" s="27"/>
      <c r="C2" s="27"/>
      <c r="D2" s="27"/>
      <c r="E2" s="27"/>
      <c r="F2" s="4"/>
      <c r="G2" s="4"/>
      <c r="H2" s="4"/>
      <c r="I2" s="4"/>
      <c r="J2" s="4"/>
      <c r="K2" s="4"/>
    </row>
    <row r="3" spans="1:11">
      <c r="A3" s="27"/>
      <c r="B3" s="27"/>
      <c r="C3" s="27"/>
      <c r="D3" s="27"/>
      <c r="E3" s="27"/>
      <c r="F3" s="4"/>
      <c r="G3" s="4" t="s">
        <v>227</v>
      </c>
      <c r="H3" s="4"/>
      <c r="K3" s="4" t="s">
        <v>228</v>
      </c>
    </row>
    <row r="4" spans="1:11">
      <c r="A4" s="27"/>
      <c r="B4" s="27"/>
      <c r="C4" s="27"/>
      <c r="D4" s="27"/>
      <c r="E4" s="27"/>
      <c r="F4" s="4"/>
      <c r="G4" s="4" t="s">
        <v>147</v>
      </c>
      <c r="H4" s="4" t="s">
        <v>149</v>
      </c>
      <c r="I4" s="4" t="s">
        <v>150</v>
      </c>
      <c r="J4" s="4" t="s">
        <v>236</v>
      </c>
      <c r="K4" s="4" t="s">
        <v>237</v>
      </c>
    </row>
    <row r="5" spans="1:11">
      <c r="A5" s="27"/>
      <c r="B5" s="27"/>
      <c r="C5" s="27"/>
      <c r="D5" s="27"/>
      <c r="E5" s="27"/>
      <c r="G5">
        <v>10</v>
      </c>
      <c r="H5">
        <v>60</v>
      </c>
      <c r="I5">
        <v>69</v>
      </c>
    </row>
    <row r="6" spans="1:11">
      <c r="A6" s="27"/>
      <c r="B6" s="27"/>
      <c r="C6" s="27"/>
      <c r="D6" s="27"/>
      <c r="E6" s="27"/>
      <c r="G6">
        <v>20</v>
      </c>
      <c r="H6">
        <v>30</v>
      </c>
      <c r="I6">
        <v>79</v>
      </c>
    </row>
    <row r="7" spans="1:11">
      <c r="A7" s="27"/>
      <c r="B7" s="27"/>
      <c r="C7" s="27"/>
      <c r="D7" s="27"/>
      <c r="E7" s="27"/>
      <c r="G7">
        <v>30</v>
      </c>
      <c r="H7">
        <v>100</v>
      </c>
      <c r="I7">
        <v>85</v>
      </c>
    </row>
    <row r="8" spans="1:11">
      <c r="A8" s="27"/>
      <c r="B8" s="27"/>
      <c r="C8" s="27"/>
      <c r="D8" s="27"/>
      <c r="E8" s="27"/>
      <c r="G8">
        <v>45</v>
      </c>
      <c r="H8">
        <v>90</v>
      </c>
      <c r="I8">
        <v>84</v>
      </c>
    </row>
    <row r="9" spans="1:11">
      <c r="A9" s="27"/>
      <c r="B9" s="27"/>
      <c r="C9" s="27"/>
      <c r="D9" s="27"/>
      <c r="E9" s="27"/>
      <c r="G9">
        <v>56</v>
      </c>
      <c r="H9">
        <v>60</v>
      </c>
      <c r="I9">
        <v>68</v>
      </c>
    </row>
    <row r="10" spans="1:11">
      <c r="A10" s="27"/>
      <c r="B10" s="27"/>
      <c r="C10" s="27"/>
      <c r="D10" s="27"/>
      <c r="E10" s="27"/>
      <c r="G10">
        <v>60</v>
      </c>
      <c r="H10">
        <v>50</v>
      </c>
      <c r="I10">
        <v>78</v>
      </c>
    </row>
    <row r="11" spans="1:11">
      <c r="A11" s="27"/>
      <c r="B11" s="27"/>
      <c r="C11" s="27"/>
      <c r="D11" s="27"/>
      <c r="E11" s="27"/>
      <c r="G11">
        <v>70</v>
      </c>
      <c r="H11">
        <v>75</v>
      </c>
      <c r="I11">
        <v>92</v>
      </c>
    </row>
    <row r="12" spans="1:11">
      <c r="A12" s="27"/>
      <c r="B12" s="27"/>
      <c r="C12" s="27"/>
      <c r="D12" s="27"/>
      <c r="E12" s="27"/>
      <c r="G12">
        <v>88</v>
      </c>
      <c r="H12">
        <v>45</v>
      </c>
      <c r="I12">
        <v>23</v>
      </c>
    </row>
    <row r="13" spans="1:11">
      <c r="A13" s="27"/>
      <c r="B13" s="27"/>
      <c r="C13" s="27"/>
      <c r="D13" s="27"/>
      <c r="E13" s="27"/>
      <c r="G13">
        <v>90</v>
      </c>
      <c r="H13">
        <v>60</v>
      </c>
      <c r="I13">
        <v>99</v>
      </c>
    </row>
    <row r="14" spans="1:11">
      <c r="A14" s="27"/>
      <c r="B14" s="27"/>
      <c r="C14" s="27"/>
      <c r="D14" s="27"/>
      <c r="E14" s="27"/>
      <c r="G14">
        <v>99</v>
      </c>
      <c r="H14">
        <v>87</v>
      </c>
      <c r="I14">
        <v>100</v>
      </c>
    </row>
    <row r="15" spans="1:11">
      <c r="A15" s="27"/>
      <c r="B15" s="27"/>
      <c r="C15" s="27"/>
      <c r="D15" s="27"/>
      <c r="E15" s="27"/>
      <c r="G15">
        <v>100</v>
      </c>
      <c r="H15">
        <v>5</v>
      </c>
      <c r="I15">
        <v>100</v>
      </c>
    </row>
    <row r="16" spans="1:11">
      <c r="A16" s="27"/>
      <c r="B16" s="27"/>
      <c r="C16" s="27"/>
      <c r="D16" s="27"/>
      <c r="E16" s="27"/>
    </row>
    <row r="17" spans="7:9">
      <c r="G17" s="6">
        <f>KURT(G5:G15)</f>
        <v>-1.2879377856872503</v>
      </c>
      <c r="H17" s="6">
        <f>KURT(H5:H15)</f>
        <v>0.16928369026977386</v>
      </c>
      <c r="I17" s="6">
        <f>KURT(I5:I15)</f>
        <v>4.2693282339341385</v>
      </c>
    </row>
  </sheetData>
  <mergeCells count="1">
    <mergeCell ref="A2:E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E9F9-70F0-4803-B23E-1D68614D4B24}">
  <dimension ref="B1:J15"/>
  <sheetViews>
    <sheetView workbookViewId="0">
      <selection activeCell="D20" sqref="D20"/>
    </sheetView>
  </sheetViews>
  <sheetFormatPr defaultRowHeight="15"/>
  <cols>
    <col min="2" max="2" width="13" customWidth="1"/>
    <col min="3" max="3" width="11.140625" customWidth="1"/>
    <col min="4" max="4" width="15.42578125" customWidth="1"/>
  </cols>
  <sheetData>
    <row r="1" spans="2:10">
      <c r="G1" s="29" t="s">
        <v>232</v>
      </c>
      <c r="H1" s="30"/>
      <c r="I1" s="30"/>
      <c r="J1" s="30"/>
    </row>
    <row r="2" spans="2:10">
      <c r="G2" s="30"/>
      <c r="H2" s="30"/>
      <c r="I2" s="30"/>
      <c r="J2" s="30"/>
    </row>
    <row r="3" spans="2:10">
      <c r="G3" s="30"/>
      <c r="H3" s="30"/>
      <c r="I3" s="30"/>
      <c r="J3" s="30"/>
    </row>
    <row r="5" spans="2:10">
      <c r="B5" t="s">
        <v>233</v>
      </c>
      <c r="C5" t="s">
        <v>234</v>
      </c>
      <c r="D5" t="s">
        <v>235</v>
      </c>
    </row>
    <row r="6" spans="2:10">
      <c r="B6">
        <v>1</v>
      </c>
      <c r="C6">
        <v>4</v>
      </c>
      <c r="D6">
        <f>_xlfn.POISSON.DIST(B6,C6,FALSE)</f>
        <v>7.3262555554936715E-2</v>
      </c>
    </row>
    <row r="7" spans="2:10">
      <c r="B7">
        <v>2</v>
      </c>
      <c r="C7">
        <v>4</v>
      </c>
      <c r="D7">
        <f t="shared" ref="D7:D15" si="0">_xlfn.POISSON.DIST(B7,C7,FALSE)</f>
        <v>0.14652511110987346</v>
      </c>
    </row>
    <row r="8" spans="2:10">
      <c r="B8">
        <v>3</v>
      </c>
      <c r="C8">
        <v>4</v>
      </c>
      <c r="D8">
        <f t="shared" si="0"/>
        <v>0.19536681481316462</v>
      </c>
    </row>
    <row r="9" spans="2:10">
      <c r="B9">
        <v>4</v>
      </c>
      <c r="C9">
        <v>4</v>
      </c>
      <c r="D9">
        <f t="shared" si="0"/>
        <v>0.19536681481316462</v>
      </c>
    </row>
    <row r="10" spans="2:10">
      <c r="B10">
        <v>5</v>
      </c>
      <c r="C10">
        <v>4</v>
      </c>
      <c r="D10">
        <f t="shared" si="0"/>
        <v>0.1562934518505317</v>
      </c>
    </row>
    <row r="11" spans="2:10">
      <c r="B11">
        <v>6</v>
      </c>
      <c r="C11">
        <v>4</v>
      </c>
      <c r="D11">
        <f t="shared" si="0"/>
        <v>0.10419563456702115</v>
      </c>
    </row>
    <row r="12" spans="2:10">
      <c r="B12">
        <v>7</v>
      </c>
      <c r="C12">
        <v>4</v>
      </c>
      <c r="D12">
        <f>_xlfn.POISSON.DIST(B12,C12,FALSE)</f>
        <v>5.9540362609726373E-2</v>
      </c>
    </row>
    <row r="13" spans="2:10">
      <c r="B13">
        <v>8</v>
      </c>
      <c r="C13">
        <v>4</v>
      </c>
      <c r="D13">
        <f t="shared" si="0"/>
        <v>2.9770181304863183E-2</v>
      </c>
    </row>
    <row r="14" spans="2:10">
      <c r="B14">
        <v>9</v>
      </c>
      <c r="C14">
        <v>4</v>
      </c>
      <c r="D14">
        <f t="shared" si="0"/>
        <v>1.3231191691050297E-2</v>
      </c>
    </row>
    <row r="15" spans="2:10">
      <c r="B15">
        <v>10</v>
      </c>
      <c r="C15">
        <v>4</v>
      </c>
      <c r="D15">
        <f t="shared" si="0"/>
        <v>5.2924766764201169E-3</v>
      </c>
    </row>
  </sheetData>
  <mergeCells count="1">
    <mergeCell ref="G1:J3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2654-5B6C-4889-8FD3-9F2C8242207B}">
  <dimension ref="C1:P14"/>
  <sheetViews>
    <sheetView workbookViewId="0">
      <selection activeCell="G10" sqref="G10"/>
    </sheetView>
  </sheetViews>
  <sheetFormatPr defaultRowHeight="15"/>
  <cols>
    <col min="3" max="3" width="15.140625" customWidth="1"/>
    <col min="4" max="4" width="13.85546875" customWidth="1"/>
    <col min="5" max="5" width="17.140625" customWidth="1"/>
    <col min="6" max="6" width="12.28515625" customWidth="1"/>
    <col min="7" max="7" width="15" customWidth="1"/>
    <col min="8" max="8" width="11.28515625" customWidth="1"/>
    <col min="10" max="10" width="11.140625" customWidth="1"/>
    <col min="11" max="11" width="12" bestFit="1" customWidth="1"/>
  </cols>
  <sheetData>
    <row r="1" spans="3:16">
      <c r="M1" s="30" t="s">
        <v>238</v>
      </c>
      <c r="N1" s="30"/>
      <c r="O1" s="30"/>
      <c r="P1" s="30"/>
    </row>
    <row r="2" spans="3:16">
      <c r="M2" s="30"/>
      <c r="N2" s="30"/>
      <c r="O2" s="30"/>
      <c r="P2" s="30"/>
    </row>
    <row r="3" spans="3:16">
      <c r="C3" t="s">
        <v>240</v>
      </c>
      <c r="D3" t="s">
        <v>241</v>
      </c>
      <c r="E3" t="s">
        <v>242</v>
      </c>
      <c r="F3" t="s">
        <v>239</v>
      </c>
      <c r="G3" t="s">
        <v>243</v>
      </c>
    </row>
    <row r="4" spans="3:16">
      <c r="C4">
        <v>0</v>
      </c>
      <c r="D4">
        <v>10</v>
      </c>
      <c r="E4">
        <v>0.5</v>
      </c>
      <c r="F4">
        <f>_xlfn.BINOM.DIST(C4,D4,E4,FALSE)</f>
        <v>9.765625E-4</v>
      </c>
      <c r="G4">
        <f>_xlfn.BINOM.DIST(C4,D4,E4,TRUE)</f>
        <v>9.765625E-4</v>
      </c>
    </row>
    <row r="5" spans="3:16">
      <c r="C5">
        <v>1</v>
      </c>
      <c r="D5">
        <v>10</v>
      </c>
      <c r="E5">
        <v>0.5</v>
      </c>
      <c r="F5">
        <f t="shared" ref="F5:F14" si="0">_xlfn.BINOM.DIST(C5,D5,E5,FALSE)</f>
        <v>9.7656250000000017E-3</v>
      </c>
      <c r="G5">
        <f t="shared" ref="G5:G14" si="1">_xlfn.BINOM.DIST(C5,D5,E5,TRUE)</f>
        <v>1.0742187500000003E-2</v>
      </c>
    </row>
    <row r="6" spans="3:16">
      <c r="C6">
        <v>2</v>
      </c>
      <c r="D6">
        <v>10</v>
      </c>
      <c r="E6">
        <v>0.5</v>
      </c>
      <c r="F6">
        <f t="shared" si="0"/>
        <v>4.3945312499999972E-2</v>
      </c>
      <c r="G6">
        <f t="shared" si="1"/>
        <v>5.46875E-2</v>
      </c>
    </row>
    <row r="7" spans="3:16">
      <c r="C7">
        <v>3</v>
      </c>
      <c r="D7">
        <v>10</v>
      </c>
      <c r="E7">
        <v>0.5</v>
      </c>
      <c r="F7">
        <f t="shared" si="0"/>
        <v>0.11718750000000003</v>
      </c>
      <c r="G7">
        <f t="shared" si="1"/>
        <v>0.17187500000000006</v>
      </c>
    </row>
    <row r="8" spans="3:16">
      <c r="C8">
        <v>4</v>
      </c>
      <c r="D8">
        <v>10</v>
      </c>
      <c r="E8">
        <v>0.5</v>
      </c>
      <c r="F8">
        <f t="shared" si="0"/>
        <v>0.20507812500000006</v>
      </c>
      <c r="G8">
        <f t="shared" si="1"/>
        <v>0.376953125</v>
      </c>
    </row>
    <row r="9" spans="3:16">
      <c r="C9">
        <v>5</v>
      </c>
      <c r="D9">
        <v>10</v>
      </c>
      <c r="E9">
        <v>0.5</v>
      </c>
      <c r="F9">
        <f t="shared" si="0"/>
        <v>0.24609375000000008</v>
      </c>
      <c r="G9">
        <f t="shared" si="1"/>
        <v>0.623046875</v>
      </c>
    </row>
    <row r="10" spans="3:16">
      <c r="C10">
        <v>6</v>
      </c>
      <c r="D10">
        <v>10</v>
      </c>
      <c r="E10">
        <v>0.5</v>
      </c>
      <c r="F10">
        <f t="shared" si="0"/>
        <v>0.20507812500000006</v>
      </c>
      <c r="G10">
        <f t="shared" si="1"/>
        <v>0.828125</v>
      </c>
    </row>
    <row r="11" spans="3:16">
      <c r="C11">
        <v>7</v>
      </c>
      <c r="D11">
        <v>10</v>
      </c>
      <c r="E11">
        <v>0.5</v>
      </c>
      <c r="F11">
        <f t="shared" si="0"/>
        <v>0.11718750000000003</v>
      </c>
      <c r="G11">
        <f t="shared" si="1"/>
        <v>0.9453125</v>
      </c>
    </row>
    <row r="12" spans="3:16">
      <c r="C12">
        <v>8</v>
      </c>
      <c r="D12">
        <v>10</v>
      </c>
      <c r="E12">
        <v>0.5</v>
      </c>
      <c r="F12">
        <f t="shared" si="0"/>
        <v>4.3945312499999986E-2</v>
      </c>
      <c r="G12">
        <f t="shared" si="1"/>
        <v>0.9892578125</v>
      </c>
    </row>
    <row r="13" spans="3:16">
      <c r="C13">
        <v>9</v>
      </c>
      <c r="D13">
        <v>10</v>
      </c>
      <c r="E13">
        <v>0.5</v>
      </c>
      <c r="F13">
        <f t="shared" si="0"/>
        <v>9.7656250000000017E-3</v>
      </c>
      <c r="G13">
        <f t="shared" si="1"/>
        <v>0.9990234375</v>
      </c>
    </row>
    <row r="14" spans="3:16">
      <c r="C14">
        <v>10</v>
      </c>
      <c r="D14">
        <v>10</v>
      </c>
      <c r="E14">
        <v>0.5</v>
      </c>
      <c r="F14">
        <f t="shared" si="0"/>
        <v>9.765625E-4</v>
      </c>
      <c r="G14">
        <f t="shared" si="1"/>
        <v>1</v>
      </c>
    </row>
  </sheetData>
  <mergeCells count="1">
    <mergeCell ref="M1:P2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E59A-F054-432E-BB64-2595EBA691A5}">
  <dimension ref="D1:P14"/>
  <sheetViews>
    <sheetView topLeftCell="B1" workbookViewId="0">
      <selection activeCell="F8" sqref="F8"/>
    </sheetView>
  </sheetViews>
  <sheetFormatPr defaultRowHeight="15"/>
  <cols>
    <col min="3" max="3" width="13.42578125" customWidth="1"/>
    <col min="4" max="4" width="13.85546875" customWidth="1"/>
    <col min="5" max="5" width="17.140625" customWidth="1"/>
    <col min="6" max="6" width="18.140625" customWidth="1"/>
    <col min="7" max="7" width="12.28515625" customWidth="1"/>
    <col min="8" max="8" width="11.28515625" customWidth="1"/>
    <col min="10" max="10" width="11.140625" customWidth="1"/>
    <col min="11" max="11" width="12" bestFit="1" customWidth="1"/>
  </cols>
  <sheetData>
    <row r="1" spans="4:16">
      <c r="M1" s="30" t="s">
        <v>255</v>
      </c>
      <c r="N1" s="30"/>
      <c r="O1" s="30"/>
      <c r="P1" s="30"/>
    </row>
    <row r="2" spans="4:16">
      <c r="D2" t="s">
        <v>269</v>
      </c>
      <c r="E2" t="s">
        <v>270</v>
      </c>
      <c r="F2" t="s">
        <v>271</v>
      </c>
      <c r="G2" t="s">
        <v>272</v>
      </c>
      <c r="M2" s="30"/>
      <c r="N2" s="30"/>
      <c r="O2" s="30"/>
      <c r="P2" s="30"/>
    </row>
    <row r="3" spans="4:16">
      <c r="D3" t="s">
        <v>244</v>
      </c>
      <c r="E3" t="s">
        <v>242</v>
      </c>
      <c r="F3" t="s">
        <v>256</v>
      </c>
      <c r="G3" t="s">
        <v>257</v>
      </c>
    </row>
    <row r="4" spans="4:16">
      <c r="D4" t="e" cm="1" vm="1">
        <f t="array" aca="1" ref="D4" ca="1">_xlfn.SEQUENCE(10,1,1,1)</f>
        <v>#VALUE!</v>
      </c>
      <c r="E4">
        <v>0.5</v>
      </c>
      <c r="F4">
        <f ca="1">RAND()*(100-10)+10</f>
        <v>60.961798914382456</v>
      </c>
      <c r="G4">
        <f ca="1">RANDBETWEEN(0,10)</f>
        <v>5</v>
      </c>
    </row>
    <row r="5" spans="4:16">
      <c r="E5">
        <v>0.5</v>
      </c>
      <c r="F5">
        <f t="shared" ref="F5:F14" ca="1" si="0">RAND()*(100-10)+10</f>
        <v>60.923759906060212</v>
      </c>
      <c r="G5">
        <f t="shared" ref="G5:G14" ca="1" si="1">RANDBETWEEN(0,10)</f>
        <v>1</v>
      </c>
    </row>
    <row r="6" spans="4:16">
      <c r="E6">
        <v>0.5</v>
      </c>
      <c r="F6">
        <f t="shared" ca="1" si="0"/>
        <v>19.770558693048052</v>
      </c>
      <c r="G6">
        <f t="shared" ca="1" si="1"/>
        <v>10</v>
      </c>
    </row>
    <row r="7" spans="4:16">
      <c r="E7">
        <v>0.5</v>
      </c>
      <c r="F7">
        <f t="shared" ca="1" si="0"/>
        <v>72.995712510003472</v>
      </c>
      <c r="G7">
        <f t="shared" ca="1" si="1"/>
        <v>10</v>
      </c>
    </row>
    <row r="8" spans="4:16">
      <c r="E8">
        <v>0.5</v>
      </c>
      <c r="F8">
        <f t="shared" ca="1" si="0"/>
        <v>86.271157481211389</v>
      </c>
      <c r="G8">
        <f t="shared" ca="1" si="1"/>
        <v>4</v>
      </c>
    </row>
    <row r="9" spans="4:16">
      <c r="E9">
        <v>0.5</v>
      </c>
      <c r="F9">
        <f t="shared" ca="1" si="0"/>
        <v>92.974267312843438</v>
      </c>
      <c r="G9">
        <f t="shared" ca="1" si="1"/>
        <v>6</v>
      </c>
    </row>
    <row r="10" spans="4:16">
      <c r="E10">
        <v>0.5</v>
      </c>
      <c r="F10">
        <f t="shared" ca="1" si="0"/>
        <v>12.95656979239293</v>
      </c>
      <c r="G10">
        <f t="shared" ca="1" si="1"/>
        <v>9</v>
      </c>
    </row>
    <row r="11" spans="4:16">
      <c r="E11">
        <v>0.5</v>
      </c>
      <c r="F11">
        <f t="shared" ca="1" si="0"/>
        <v>42.219859856765375</v>
      </c>
      <c r="G11">
        <f t="shared" ca="1" si="1"/>
        <v>9</v>
      </c>
    </row>
    <row r="12" spans="4:16">
      <c r="E12">
        <v>0.5</v>
      </c>
      <c r="F12">
        <f t="shared" ca="1" si="0"/>
        <v>21.301048165957027</v>
      </c>
      <c r="G12">
        <f t="shared" ca="1" si="1"/>
        <v>8</v>
      </c>
    </row>
    <row r="13" spans="4:16">
      <c r="E13">
        <v>0.5</v>
      </c>
      <c r="F13">
        <f t="shared" ca="1" si="0"/>
        <v>68.169936232361877</v>
      </c>
      <c r="G13">
        <f t="shared" ca="1" si="1"/>
        <v>10</v>
      </c>
    </row>
    <row r="14" spans="4:16">
      <c r="E14">
        <v>0.5</v>
      </c>
      <c r="F14">
        <f t="shared" ca="1" si="0"/>
        <v>42.778540054659757</v>
      </c>
      <c r="G14">
        <f t="shared" ca="1" si="1"/>
        <v>1</v>
      </c>
    </row>
  </sheetData>
  <mergeCells count="1">
    <mergeCell ref="M1:P2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3831-CC61-4A6C-B5B5-DA6F29F993BF}">
  <dimension ref="B1:T19"/>
  <sheetViews>
    <sheetView topLeftCell="H1" workbookViewId="0">
      <selection activeCell="F17" sqref="F17"/>
    </sheetView>
  </sheetViews>
  <sheetFormatPr defaultRowHeight="15"/>
  <cols>
    <col min="2" max="2" width="11.28515625" customWidth="1"/>
    <col min="3" max="3" width="12.85546875" customWidth="1"/>
    <col min="4" max="4" width="12.28515625" customWidth="1"/>
    <col min="5" max="5" width="16.5703125" customWidth="1"/>
    <col min="6" max="6" width="13.5703125" customWidth="1"/>
    <col min="19" max="19" width="13" customWidth="1"/>
  </cols>
  <sheetData>
    <row r="1" spans="2:20">
      <c r="G1" s="26" t="s">
        <v>248</v>
      </c>
      <c r="H1" s="26"/>
      <c r="I1" s="26"/>
      <c r="J1" s="26"/>
    </row>
    <row r="2" spans="2:20">
      <c r="G2" s="26"/>
      <c r="H2" s="26"/>
      <c r="I2" s="26"/>
      <c r="J2" s="26"/>
    </row>
    <row r="3" spans="2:20">
      <c r="B3" s="4" t="s">
        <v>25</v>
      </c>
      <c r="C3" s="4" t="s">
        <v>246</v>
      </c>
      <c r="D3" s="4" t="s">
        <v>244</v>
      </c>
      <c r="E3" s="4" t="s">
        <v>245</v>
      </c>
      <c r="G3" s="26"/>
      <c r="H3" s="26"/>
      <c r="I3" s="26"/>
      <c r="J3" s="26"/>
    </row>
    <row r="4" spans="2:20">
      <c r="B4">
        <v>6</v>
      </c>
      <c r="C4">
        <v>8</v>
      </c>
      <c r="D4" s="4">
        <f>AVERAGE(B4:B10)</f>
        <v>3.5</v>
      </c>
      <c r="E4" s="6">
        <f>AVERAGE(C4:C10)</f>
        <v>4.5714285714285712</v>
      </c>
      <c r="O4" t="s">
        <v>280</v>
      </c>
      <c r="P4" t="s">
        <v>281</v>
      </c>
      <c r="Q4" t="s">
        <v>282</v>
      </c>
      <c r="R4" t="s">
        <v>244</v>
      </c>
      <c r="S4" t="s">
        <v>245</v>
      </c>
    </row>
    <row r="5" spans="2:20">
      <c r="B5">
        <v>2.5</v>
      </c>
      <c r="C5">
        <v>1</v>
      </c>
      <c r="I5" t="s">
        <v>247</v>
      </c>
      <c r="O5">
        <v>1</v>
      </c>
      <c r="P5" s="3">
        <v>0.03</v>
      </c>
      <c r="Q5" s="3">
        <v>0.05</v>
      </c>
      <c r="R5" s="3">
        <f>AVERAGE(P5:P9)</f>
        <v>2.4E-2</v>
      </c>
      <c r="S5" s="3">
        <f>AVERAGE(Q5:Q9)</f>
        <v>4.1000000000000002E-2</v>
      </c>
    </row>
    <row r="6" spans="2:20">
      <c r="B6">
        <v>9</v>
      </c>
      <c r="C6">
        <v>0</v>
      </c>
      <c r="I6" t="s">
        <v>249</v>
      </c>
      <c r="O6">
        <v>2</v>
      </c>
      <c r="P6" s="3">
        <v>0.02</v>
      </c>
      <c r="Q6" s="9">
        <v>4.4999999999999998E-2</v>
      </c>
    </row>
    <row r="7" spans="2:20">
      <c r="B7">
        <v>4</v>
      </c>
      <c r="C7">
        <v>5</v>
      </c>
      <c r="O7">
        <v>3</v>
      </c>
      <c r="P7" s="3">
        <v>0.06</v>
      </c>
      <c r="Q7" s="3">
        <v>0.09</v>
      </c>
    </row>
    <row r="8" spans="2:20">
      <c r="B8">
        <v>2</v>
      </c>
      <c r="C8">
        <v>6</v>
      </c>
      <c r="I8" t="s">
        <v>254</v>
      </c>
      <c r="O8">
        <v>4</v>
      </c>
      <c r="P8" s="3">
        <v>0.01</v>
      </c>
      <c r="Q8" s="3">
        <v>0.01</v>
      </c>
    </row>
    <row r="9" spans="2:20">
      <c r="B9">
        <v>0</v>
      </c>
      <c r="C9">
        <v>4</v>
      </c>
      <c r="O9">
        <v>5</v>
      </c>
      <c r="P9" s="3">
        <v>0</v>
      </c>
      <c r="Q9" s="3">
        <v>0.01</v>
      </c>
    </row>
    <row r="10" spans="2:20">
      <c r="B10">
        <v>1</v>
      </c>
      <c r="C10">
        <v>8</v>
      </c>
    </row>
    <row r="11" spans="2:20">
      <c r="P11" t="s">
        <v>283</v>
      </c>
      <c r="Q11" t="s">
        <v>284</v>
      </c>
      <c r="R11" t="s">
        <v>252</v>
      </c>
      <c r="S11" t="s">
        <v>253</v>
      </c>
      <c r="T11" t="s">
        <v>248</v>
      </c>
    </row>
    <row r="12" spans="2:20">
      <c r="B12" s="4" t="s">
        <v>250</v>
      </c>
      <c r="C12" s="4" t="s">
        <v>251</v>
      </c>
      <c r="D12" s="4" t="s">
        <v>252</v>
      </c>
      <c r="E12" s="4" t="s">
        <v>253</v>
      </c>
      <c r="F12" s="4" t="s">
        <v>248</v>
      </c>
      <c r="P12" s="3">
        <f>P5-R5</f>
        <v>5.9999999999999984E-3</v>
      </c>
      <c r="Q12" s="3">
        <f>Q5-S5</f>
        <v>9.0000000000000011E-3</v>
      </c>
      <c r="R12" s="10">
        <f>P12*Q12</f>
        <v>5.3999999999999991E-5</v>
      </c>
      <c r="S12" s="10">
        <f>SUM(R12:R16)</f>
        <v>2.9799999999999996E-3</v>
      </c>
      <c r="T12">
        <f>S12/4</f>
        <v>7.4499999999999989E-4</v>
      </c>
    </row>
    <row r="13" spans="2:20">
      <c r="B13">
        <f>B4-D4</f>
        <v>2.5</v>
      </c>
      <c r="C13" s="7">
        <f>C4-E4</f>
        <v>3.4285714285714288</v>
      </c>
      <c r="D13">
        <f>B13*C13</f>
        <v>8.571428571428573</v>
      </c>
      <c r="E13">
        <f>SUM(D13:D19)</f>
        <v>-21.5</v>
      </c>
      <c r="F13" s="4">
        <f>E13/6</f>
        <v>-3.5833333333333335</v>
      </c>
      <c r="P13" s="3">
        <f>P6-R5</f>
        <v>-4.0000000000000001E-3</v>
      </c>
      <c r="Q13" s="9">
        <f>Q6-S5</f>
        <v>3.9999999999999966E-3</v>
      </c>
      <c r="R13" s="11">
        <f>P13*Q13</f>
        <v>-1.5999999999999986E-5</v>
      </c>
    </row>
    <row r="14" spans="2:20">
      <c r="B14">
        <f>B5-D4</f>
        <v>-1</v>
      </c>
      <c r="C14" s="7">
        <f>C5-E4</f>
        <v>-3.5714285714285712</v>
      </c>
      <c r="D14">
        <f t="shared" ref="D14:D19" si="0">B14*C14</f>
        <v>3.5714285714285712</v>
      </c>
      <c r="P14" s="3">
        <f>P7-R5</f>
        <v>3.5999999999999997E-2</v>
      </c>
      <c r="Q14" s="3">
        <f>Q7-S5</f>
        <v>4.8999999999999995E-2</v>
      </c>
      <c r="R14" s="11">
        <f>P14*Q14</f>
        <v>1.7639999999999997E-3</v>
      </c>
    </row>
    <row r="15" spans="2:20">
      <c r="B15">
        <f>B6-D4</f>
        <v>5.5</v>
      </c>
      <c r="C15" s="7">
        <f>C6-E4</f>
        <v>-4.5714285714285712</v>
      </c>
      <c r="D15">
        <f t="shared" si="0"/>
        <v>-25.142857142857142</v>
      </c>
      <c r="P15" s="3">
        <f>P8-R5</f>
        <v>-1.4E-2</v>
      </c>
      <c r="Q15" s="3">
        <f>Q8-S5</f>
        <v>-3.1E-2</v>
      </c>
      <c r="R15" s="11">
        <f>P15*Q15</f>
        <v>4.3400000000000003E-4</v>
      </c>
    </row>
    <row r="16" spans="2:20">
      <c r="B16">
        <f>B7-D4</f>
        <v>0.5</v>
      </c>
      <c r="C16" s="7">
        <f>C7-E4</f>
        <v>0.42857142857142883</v>
      </c>
      <c r="D16">
        <f t="shared" si="0"/>
        <v>0.21428571428571441</v>
      </c>
      <c r="P16" s="3">
        <f>P9-R5</f>
        <v>-2.4E-2</v>
      </c>
      <c r="Q16" s="3">
        <f>Q9-S5</f>
        <v>-3.1E-2</v>
      </c>
      <c r="R16" s="11">
        <f>P16*Q16</f>
        <v>7.4399999999999998E-4</v>
      </c>
    </row>
    <row r="17" spans="2:17">
      <c r="B17">
        <f>B8-D4</f>
        <v>-1.5</v>
      </c>
      <c r="C17" s="7">
        <f>C8-E4</f>
        <v>1.4285714285714288</v>
      </c>
      <c r="D17">
        <f t="shared" si="0"/>
        <v>-2.1428571428571432</v>
      </c>
      <c r="Q17" s="12"/>
    </row>
    <row r="18" spans="2:17">
      <c r="B18">
        <f>B9-D4</f>
        <v>-3.5</v>
      </c>
      <c r="C18" s="7">
        <f>C9-E4</f>
        <v>-0.57142857142857117</v>
      </c>
      <c r="D18">
        <f t="shared" si="0"/>
        <v>1.9999999999999991</v>
      </c>
    </row>
    <row r="19" spans="2:17">
      <c r="B19">
        <f>B10-D4</f>
        <v>-2.5</v>
      </c>
      <c r="C19" s="7">
        <f>C10-E4</f>
        <v>3.4285714285714288</v>
      </c>
      <c r="D19">
        <f t="shared" si="0"/>
        <v>-8.571428571428573</v>
      </c>
    </row>
  </sheetData>
  <mergeCells count="1">
    <mergeCell ref="G1:J3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9564-071F-4E70-910B-3352FE7D2E2D}">
  <dimension ref="B1:J19"/>
  <sheetViews>
    <sheetView workbookViewId="0">
      <selection activeCell="I14" sqref="I14"/>
    </sheetView>
  </sheetViews>
  <sheetFormatPr defaultRowHeight="15"/>
  <cols>
    <col min="3" max="3" width="12" customWidth="1"/>
    <col min="4" max="4" width="11.5703125" customWidth="1"/>
  </cols>
  <sheetData>
    <row r="1" spans="2:10">
      <c r="G1" s="30" t="s">
        <v>285</v>
      </c>
      <c r="H1" s="30"/>
      <c r="I1" s="30"/>
      <c r="J1" s="30"/>
    </row>
    <row r="2" spans="2:10">
      <c r="G2" s="30"/>
      <c r="H2" s="30"/>
      <c r="I2" s="30"/>
      <c r="J2" s="30"/>
    </row>
    <row r="3" spans="2:10">
      <c r="B3" s="4" t="s">
        <v>244</v>
      </c>
      <c r="C3" s="4" t="s">
        <v>245</v>
      </c>
      <c r="D3" s="4" t="s">
        <v>286</v>
      </c>
      <c r="E3">
        <f>AVERAGE(B4:B8)</f>
        <v>2.4</v>
      </c>
    </row>
    <row r="4" spans="2:10">
      <c r="B4">
        <v>2</v>
      </c>
      <c r="C4">
        <v>4</v>
      </c>
      <c r="D4" s="4" t="s">
        <v>287</v>
      </c>
      <c r="E4">
        <f>AVERAGE(C4:C8)</f>
        <v>3.9</v>
      </c>
    </row>
    <row r="5" spans="2:10">
      <c r="B5">
        <v>3</v>
      </c>
      <c r="C5">
        <v>4.5</v>
      </c>
    </row>
    <row r="6" spans="2:10">
      <c r="B6">
        <v>6</v>
      </c>
      <c r="C6">
        <v>6</v>
      </c>
      <c r="G6" s="4"/>
    </row>
    <row r="7" spans="2:10">
      <c r="B7">
        <v>0</v>
      </c>
      <c r="C7">
        <v>3</v>
      </c>
      <c r="G7" s="4"/>
    </row>
    <row r="8" spans="2:10">
      <c r="B8">
        <v>1</v>
      </c>
      <c r="C8">
        <v>2</v>
      </c>
    </row>
    <row r="10" spans="2:10">
      <c r="B10" s="4" t="s">
        <v>283</v>
      </c>
      <c r="C10" s="4" t="s">
        <v>284</v>
      </c>
      <c r="D10" s="4" t="s">
        <v>252</v>
      </c>
      <c r="E10" s="4" t="s">
        <v>288</v>
      </c>
      <c r="F10" s="4" t="s">
        <v>289</v>
      </c>
      <c r="H10" s="4" t="s">
        <v>290</v>
      </c>
    </row>
    <row r="11" spans="2:10">
      <c r="B11">
        <f>B4-E3</f>
        <v>-0.39999999999999991</v>
      </c>
      <c r="C11">
        <f>C4-E4</f>
        <v>0.10000000000000009</v>
      </c>
      <c r="D11">
        <f>B11*C11</f>
        <v>-4.0000000000000029E-2</v>
      </c>
      <c r="E11">
        <f t="shared" ref="E11:F15" si="0">B11*B11</f>
        <v>0.15999999999999992</v>
      </c>
      <c r="F11">
        <f t="shared" si="0"/>
        <v>1.0000000000000018E-2</v>
      </c>
      <c r="H11">
        <f>D17/(E18*F18)</f>
        <v>0.83610177090013382</v>
      </c>
    </row>
    <row r="12" spans="2:10">
      <c r="B12">
        <f>B5-E4</f>
        <v>-0.89999999999999991</v>
      </c>
      <c r="C12">
        <f>C5-E4</f>
        <v>0.60000000000000009</v>
      </c>
      <c r="D12">
        <f>B12*C12</f>
        <v>-0.54</v>
      </c>
      <c r="E12">
        <f t="shared" si="0"/>
        <v>0.80999999999999983</v>
      </c>
      <c r="F12">
        <f t="shared" si="0"/>
        <v>0.3600000000000001</v>
      </c>
    </row>
    <row r="13" spans="2:10">
      <c r="B13">
        <f>B6-E3</f>
        <v>3.6</v>
      </c>
      <c r="C13">
        <f>C6-E4</f>
        <v>2.1</v>
      </c>
      <c r="D13">
        <f>B13*C13</f>
        <v>7.5600000000000005</v>
      </c>
      <c r="E13">
        <f t="shared" si="0"/>
        <v>12.96</v>
      </c>
      <c r="F13">
        <f t="shared" si="0"/>
        <v>4.41</v>
      </c>
    </row>
    <row r="14" spans="2:10">
      <c r="B14">
        <f>B7-E3</f>
        <v>-2.4</v>
      </c>
      <c r="C14">
        <f>C7-E4</f>
        <v>-0.89999999999999991</v>
      </c>
      <c r="D14">
        <f>B14*C14</f>
        <v>2.1599999999999997</v>
      </c>
      <c r="E14">
        <f t="shared" si="0"/>
        <v>5.76</v>
      </c>
      <c r="F14">
        <f t="shared" si="0"/>
        <v>0.80999999999999983</v>
      </c>
    </row>
    <row r="15" spans="2:10">
      <c r="B15">
        <f>B8-E3</f>
        <v>-1.4</v>
      </c>
      <c r="C15">
        <f>C8-E4</f>
        <v>-1.9</v>
      </c>
      <c r="D15">
        <f>B15*C15</f>
        <v>2.6599999999999997</v>
      </c>
      <c r="E15">
        <f t="shared" si="0"/>
        <v>1.9599999999999997</v>
      </c>
      <c r="F15">
        <f t="shared" si="0"/>
        <v>3.61</v>
      </c>
    </row>
    <row r="16" spans="2:10">
      <c r="D16">
        <f>SUM(D11:D15)</f>
        <v>11.8</v>
      </c>
      <c r="E16">
        <f>SUM(E11:E15)</f>
        <v>21.65</v>
      </c>
      <c r="F16">
        <f>SUM(F11:F15)</f>
        <v>9.1999999999999993</v>
      </c>
    </row>
    <row r="17" spans="3:7">
      <c r="C17" s="4" t="s">
        <v>248</v>
      </c>
      <c r="D17">
        <f>D16/4</f>
        <v>2.95</v>
      </c>
      <c r="E17">
        <f>E16/4</f>
        <v>5.4124999999999996</v>
      </c>
      <c r="F17">
        <f>F16/4</f>
        <v>2.2999999999999998</v>
      </c>
      <c r="G17" s="4" t="s">
        <v>330</v>
      </c>
    </row>
    <row r="18" spans="3:7">
      <c r="D18" s="4" t="s">
        <v>329</v>
      </c>
      <c r="E18">
        <f>SQRT(E17)</f>
        <v>2.3264780248263683</v>
      </c>
      <c r="F18">
        <f>SQRT(F17)</f>
        <v>1.51657508881031</v>
      </c>
    </row>
    <row r="19" spans="3:7">
      <c r="D19" s="4" t="s">
        <v>252</v>
      </c>
      <c r="E19">
        <f>E18*F18</f>
        <v>3.5282786171162841</v>
      </c>
    </row>
  </sheetData>
  <mergeCells count="1">
    <mergeCell ref="G1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592E-0095-4E69-A030-7B1D00422D9F}">
  <dimension ref="A1:M33"/>
  <sheetViews>
    <sheetView workbookViewId="0">
      <selection activeCell="E11" sqref="E11"/>
    </sheetView>
  </sheetViews>
  <sheetFormatPr defaultRowHeight="15"/>
  <cols>
    <col min="7" max="7" width="19" customWidth="1"/>
    <col min="8" max="8" width="14.85546875" customWidth="1"/>
    <col min="9" max="9" width="15.42578125" customWidth="1"/>
    <col min="10" max="10" width="16" customWidth="1"/>
    <col min="11" max="11" width="14.85546875" customWidth="1"/>
    <col min="12" max="12" width="15.42578125" customWidth="1"/>
    <col min="13" max="13" width="16.140625" customWidth="1"/>
  </cols>
  <sheetData>
    <row r="1" spans="1:13">
      <c r="A1" t="s">
        <v>291</v>
      </c>
      <c r="B1" t="s">
        <v>292</v>
      </c>
      <c r="C1" t="s">
        <v>293</v>
      </c>
    </row>
    <row r="2" spans="1:13">
      <c r="A2">
        <v>25</v>
      </c>
      <c r="B2">
        <v>23</v>
      </c>
      <c r="C2">
        <v>0</v>
      </c>
      <c r="G2" t="s">
        <v>296</v>
      </c>
      <c r="K2" t="s">
        <v>307</v>
      </c>
    </row>
    <row r="3" spans="1:13" ht="15.75" thickBot="1">
      <c r="A3">
        <v>29</v>
      </c>
      <c r="B3">
        <v>24</v>
      </c>
      <c r="C3">
        <v>0</v>
      </c>
    </row>
    <row r="4" spans="1:13">
      <c r="A4">
        <v>24</v>
      </c>
      <c r="B4">
        <f>23</f>
        <v>23</v>
      </c>
      <c r="C4">
        <v>0</v>
      </c>
      <c r="G4" s="14"/>
      <c r="H4" s="14" t="s">
        <v>291</v>
      </c>
      <c r="I4" s="14" t="s">
        <v>292</v>
      </c>
      <c r="K4" s="14"/>
      <c r="L4" s="14" t="s">
        <v>291</v>
      </c>
      <c r="M4" s="14" t="s">
        <v>292</v>
      </c>
    </row>
    <row r="5" spans="1:13">
      <c r="A5">
        <v>25</v>
      </c>
      <c r="B5">
        <v>22</v>
      </c>
      <c r="C5">
        <v>0</v>
      </c>
      <c r="G5" t="s">
        <v>234</v>
      </c>
      <c r="H5">
        <v>28.2</v>
      </c>
      <c r="I5">
        <v>25.9</v>
      </c>
      <c r="K5" t="s">
        <v>234</v>
      </c>
      <c r="L5">
        <v>28.2</v>
      </c>
      <c r="M5">
        <v>25.9</v>
      </c>
    </row>
    <row r="6" spans="1:13">
      <c r="A6">
        <v>31</v>
      </c>
      <c r="B6">
        <v>21</v>
      </c>
      <c r="C6">
        <v>0</v>
      </c>
      <c r="G6" t="s">
        <v>297</v>
      </c>
      <c r="H6">
        <v>9.9555555555555966</v>
      </c>
      <c r="I6">
        <v>14.322222222222182</v>
      </c>
      <c r="K6" t="s">
        <v>297</v>
      </c>
      <c r="L6">
        <v>9.9555555555555966</v>
      </c>
      <c r="M6">
        <v>14.322222222222182</v>
      </c>
    </row>
    <row r="7" spans="1:13">
      <c r="A7">
        <v>32</v>
      </c>
      <c r="B7">
        <v>30</v>
      </c>
      <c r="C7">
        <v>0</v>
      </c>
      <c r="G7" t="s">
        <v>298</v>
      </c>
      <c r="H7">
        <v>10</v>
      </c>
      <c r="I7">
        <v>10</v>
      </c>
      <c r="K7" t="s">
        <v>298</v>
      </c>
      <c r="L7">
        <v>10</v>
      </c>
      <c r="M7">
        <v>10</v>
      </c>
    </row>
    <row r="8" spans="1:13">
      <c r="A8">
        <v>30</v>
      </c>
      <c r="B8">
        <v>32</v>
      </c>
      <c r="C8">
        <v>0</v>
      </c>
      <c r="G8" t="s">
        <v>299</v>
      </c>
      <c r="H8">
        <v>0.38336878858563883</v>
      </c>
      <c r="K8" t="s">
        <v>308</v>
      </c>
      <c r="L8">
        <v>12.138888888888889</v>
      </c>
    </row>
    <row r="9" spans="1:13">
      <c r="A9">
        <v>32</v>
      </c>
      <c r="B9">
        <v>27</v>
      </c>
      <c r="C9">
        <v>0</v>
      </c>
      <c r="G9" t="s">
        <v>300</v>
      </c>
      <c r="H9">
        <v>0</v>
      </c>
      <c r="K9" t="s">
        <v>300</v>
      </c>
      <c r="L9">
        <v>0</v>
      </c>
    </row>
    <row r="10" spans="1:13">
      <c r="A10">
        <v>29</v>
      </c>
      <c r="B10">
        <v>28</v>
      </c>
      <c r="C10">
        <v>0</v>
      </c>
      <c r="G10" t="s">
        <v>301</v>
      </c>
      <c r="H10">
        <v>9</v>
      </c>
      <c r="K10" t="s">
        <v>301</v>
      </c>
      <c r="L10">
        <v>18</v>
      </c>
    </row>
    <row r="11" spans="1:13">
      <c r="A11">
        <v>25</v>
      </c>
      <c r="B11">
        <v>29</v>
      </c>
      <c r="C11">
        <v>0</v>
      </c>
      <c r="G11" t="s">
        <v>302</v>
      </c>
      <c r="H11">
        <v>1.8703377008862212</v>
      </c>
      <c r="K11" t="s">
        <v>302</v>
      </c>
      <c r="L11">
        <v>1.476125796949926</v>
      </c>
    </row>
    <row r="12" spans="1:13">
      <c r="G12" t="s">
        <v>303</v>
      </c>
      <c r="H12">
        <v>4.7123920925732227E-2</v>
      </c>
      <c r="K12" t="s">
        <v>303</v>
      </c>
      <c r="L12">
        <v>7.8595175107379234E-2</v>
      </c>
    </row>
    <row r="13" spans="1:13">
      <c r="A13" t="s">
        <v>295</v>
      </c>
      <c r="G13" t="s">
        <v>304</v>
      </c>
      <c r="H13">
        <v>1.8331129326562374</v>
      </c>
      <c r="K13" t="s">
        <v>304</v>
      </c>
      <c r="L13">
        <v>1.7340636066175394</v>
      </c>
    </row>
    <row r="14" spans="1:13">
      <c r="A14" t="s">
        <v>294</v>
      </c>
      <c r="G14" t="s">
        <v>305</v>
      </c>
      <c r="H14">
        <v>9.4247841851464453E-2</v>
      </c>
      <c r="K14" t="s">
        <v>305</v>
      </c>
      <c r="L14">
        <v>0.15719035021475847</v>
      </c>
    </row>
    <row r="15" spans="1:13" ht="15.75" thickBot="1">
      <c r="G15" s="13" t="s">
        <v>306</v>
      </c>
      <c r="H15" s="13">
        <v>2.2621571627982053</v>
      </c>
      <c r="I15" s="13"/>
      <c r="K15" s="13" t="s">
        <v>306</v>
      </c>
      <c r="L15" s="13">
        <v>2.1009220402410378</v>
      </c>
      <c r="M15" s="13"/>
    </row>
    <row r="16" spans="1:13">
      <c r="B16" t="s">
        <v>309</v>
      </c>
    </row>
    <row r="17" spans="2:10">
      <c r="B17" t="s">
        <v>310</v>
      </c>
    </row>
    <row r="18" spans="2:10">
      <c r="B18" t="s">
        <v>311</v>
      </c>
    </row>
    <row r="20" spans="2:10">
      <c r="B20" t="s">
        <v>312</v>
      </c>
      <c r="H20" t="s">
        <v>307</v>
      </c>
    </row>
    <row r="21" spans="2:10" ht="15.75" thickBot="1">
      <c r="B21" t="s">
        <v>313</v>
      </c>
    </row>
    <row r="22" spans="2:10">
      <c r="H22" s="14"/>
      <c r="I22" s="14" t="s">
        <v>291</v>
      </c>
      <c r="J22" s="14" t="s">
        <v>293</v>
      </c>
    </row>
    <row r="23" spans="2:10">
      <c r="H23" t="s">
        <v>234</v>
      </c>
      <c r="I23">
        <v>28.2</v>
      </c>
      <c r="J23">
        <v>0</v>
      </c>
    </row>
    <row r="24" spans="2:10">
      <c r="H24" t="s">
        <v>297</v>
      </c>
      <c r="I24">
        <v>9.9555555555555966</v>
      </c>
      <c r="J24">
        <v>0</v>
      </c>
    </row>
    <row r="25" spans="2:10">
      <c r="H25" t="s">
        <v>298</v>
      </c>
      <c r="I25">
        <v>10</v>
      </c>
      <c r="J25">
        <v>10</v>
      </c>
    </row>
    <row r="26" spans="2:10">
      <c r="H26" t="s">
        <v>308</v>
      </c>
      <c r="I26">
        <v>4.9777777777777983</v>
      </c>
    </row>
    <row r="27" spans="2:10">
      <c r="H27" t="s">
        <v>300</v>
      </c>
      <c r="I27">
        <v>0</v>
      </c>
    </row>
    <row r="28" spans="2:10">
      <c r="C28" t="s">
        <v>332</v>
      </c>
      <c r="H28" t="s">
        <v>301</v>
      </c>
      <c r="I28">
        <v>18</v>
      </c>
    </row>
    <row r="29" spans="2:10">
      <c r="C29" t="s">
        <v>331</v>
      </c>
      <c r="H29" t="s">
        <v>302</v>
      </c>
      <c r="I29">
        <v>28.262876332238818</v>
      </c>
    </row>
    <row r="30" spans="2:10">
      <c r="H30" t="s">
        <v>303</v>
      </c>
      <c r="I30">
        <v>1.1482959061008248E-16</v>
      </c>
    </row>
    <row r="31" spans="2:10">
      <c r="H31" t="s">
        <v>304</v>
      </c>
      <c r="I31">
        <v>1.7340636066175394</v>
      </c>
    </row>
    <row r="32" spans="2:10">
      <c r="H32" t="s">
        <v>305</v>
      </c>
      <c r="I32">
        <v>2.2965918122016495E-16</v>
      </c>
    </row>
    <row r="33" spans="8:10" ht="15.75" thickBot="1">
      <c r="H33" s="13" t="s">
        <v>306</v>
      </c>
      <c r="I33" s="13">
        <v>2.1009220402410378</v>
      </c>
      <c r="J33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B70A-91D9-444A-8F7E-1F26FB3E17FE}">
  <dimension ref="A1:F27"/>
  <sheetViews>
    <sheetView workbookViewId="0">
      <selection activeCell="I17" sqref="I17"/>
    </sheetView>
  </sheetViews>
  <sheetFormatPr defaultRowHeight="15"/>
  <cols>
    <col min="4" max="4" width="18.5703125" customWidth="1"/>
    <col min="5" max="5" width="14" customWidth="1"/>
    <col min="6" max="6" width="14.85546875" customWidth="1"/>
  </cols>
  <sheetData>
    <row r="1" spans="1:5">
      <c r="A1" s="15" t="s">
        <v>291</v>
      </c>
      <c r="B1" s="15" t="s">
        <v>292</v>
      </c>
    </row>
    <row r="2" spans="1:5">
      <c r="A2" s="15">
        <v>25</v>
      </c>
      <c r="B2" s="15">
        <v>23</v>
      </c>
    </row>
    <row r="3" spans="1:5">
      <c r="A3" s="15">
        <v>29</v>
      </c>
      <c r="B3" s="15">
        <v>24</v>
      </c>
      <c r="D3" t="s">
        <v>315</v>
      </c>
    </row>
    <row r="4" spans="1:5">
      <c r="A4" s="15">
        <v>24</v>
      </c>
      <c r="B4" s="15">
        <f>23</f>
        <v>23</v>
      </c>
      <c r="D4" t="s">
        <v>314</v>
      </c>
    </row>
    <row r="5" spans="1:5">
      <c r="A5" s="15">
        <v>25</v>
      </c>
      <c r="B5" s="15">
        <v>22</v>
      </c>
    </row>
    <row r="6" spans="1:5">
      <c r="A6" s="15">
        <v>31</v>
      </c>
      <c r="B6" s="15">
        <v>21</v>
      </c>
      <c r="D6" t="s">
        <v>316</v>
      </c>
    </row>
    <row r="7" spans="1:5">
      <c r="A7" s="15">
        <v>32</v>
      </c>
      <c r="B7" s="15">
        <v>30</v>
      </c>
      <c r="D7" t="s">
        <v>317</v>
      </c>
    </row>
    <row r="8" spans="1:5">
      <c r="A8" s="15">
        <v>30</v>
      </c>
      <c r="B8" s="15">
        <v>32</v>
      </c>
    </row>
    <row r="9" spans="1:5">
      <c r="A9" s="15">
        <v>32</v>
      </c>
      <c r="B9" s="15">
        <v>27</v>
      </c>
      <c r="D9" t="s">
        <v>318</v>
      </c>
    </row>
    <row r="10" spans="1:5">
      <c r="A10" s="15">
        <v>29</v>
      </c>
      <c r="B10" s="15">
        <v>28</v>
      </c>
    </row>
    <row r="11" spans="1:5">
      <c r="A11" s="15">
        <v>25</v>
      </c>
      <c r="B11" s="15">
        <v>29</v>
      </c>
      <c r="D11" t="s">
        <v>319</v>
      </c>
    </row>
    <row r="13" spans="1:5">
      <c r="D13" t="s">
        <v>320</v>
      </c>
      <c r="E13" t="s">
        <v>321</v>
      </c>
    </row>
    <row r="14" spans="1:5">
      <c r="D14" s="16">
        <f>VAR(A2:A11)</f>
        <v>9.9555555555555966</v>
      </c>
      <c r="E14">
        <f>VAR(B2:B11)</f>
        <v>14.322222222222182</v>
      </c>
    </row>
    <row r="16" spans="1:5">
      <c r="D16" t="s">
        <v>322</v>
      </c>
    </row>
    <row r="17" spans="4:6" ht="15.75" thickBot="1"/>
    <row r="18" spans="4:6">
      <c r="D18" s="14"/>
      <c r="E18" s="14" t="s">
        <v>291</v>
      </c>
      <c r="F18" s="14" t="s">
        <v>292</v>
      </c>
    </row>
    <row r="19" spans="4:6">
      <c r="D19" t="s">
        <v>234</v>
      </c>
      <c r="E19">
        <v>28.2</v>
      </c>
      <c r="F19">
        <v>25.9</v>
      </c>
    </row>
    <row r="20" spans="4:6">
      <c r="D20" t="s">
        <v>323</v>
      </c>
      <c r="E20">
        <v>9.9555000000000007</v>
      </c>
      <c r="F20">
        <v>14.3222</v>
      </c>
    </row>
    <row r="21" spans="4:6">
      <c r="D21" t="s">
        <v>298</v>
      </c>
      <c r="E21">
        <v>10</v>
      </c>
      <c r="F21">
        <v>10</v>
      </c>
    </row>
    <row r="22" spans="4:6">
      <c r="D22" t="s">
        <v>300</v>
      </c>
      <c r="E22">
        <v>0</v>
      </c>
    </row>
    <row r="23" spans="4:6">
      <c r="D23" t="s">
        <v>324</v>
      </c>
      <c r="E23">
        <v>1.4761281614591719</v>
      </c>
    </row>
    <row r="24" spans="4:6">
      <c r="D24" t="s">
        <v>325</v>
      </c>
      <c r="E24">
        <v>6.9954745077380864E-2</v>
      </c>
    </row>
    <row r="25" spans="4:6">
      <c r="D25" t="s">
        <v>326</v>
      </c>
      <c r="E25">
        <v>1.6448536269514715</v>
      </c>
    </row>
    <row r="26" spans="4:6">
      <c r="D26" t="s">
        <v>327</v>
      </c>
      <c r="E26">
        <v>0.13990949015476173</v>
      </c>
    </row>
    <row r="27" spans="4:6" ht="15.75" thickBot="1">
      <c r="D27" s="13" t="s">
        <v>328</v>
      </c>
      <c r="E27" s="13">
        <v>1.9599639845400536</v>
      </c>
      <c r="F27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713-1467-47FF-9CB4-92E2F34A62AF}">
  <dimension ref="A1:AE32"/>
  <sheetViews>
    <sheetView topLeftCell="K1" zoomScale="89" workbookViewId="0">
      <selection activeCell="X47" sqref="X47"/>
    </sheetView>
  </sheetViews>
  <sheetFormatPr defaultRowHeight="15"/>
  <cols>
    <col min="3" max="3" width="11.28515625" customWidth="1"/>
    <col min="4" max="4" width="19.28515625" customWidth="1"/>
    <col min="13" max="13" width="14.28515625" customWidth="1"/>
    <col min="14" max="14" width="13.7109375" customWidth="1"/>
    <col min="17" max="17" width="12.85546875" customWidth="1"/>
    <col min="18" max="18" width="11.5703125" customWidth="1"/>
    <col min="19" max="19" width="11.42578125" customWidth="1"/>
    <col min="20" max="20" width="10.42578125" customWidth="1"/>
    <col min="21" max="21" width="12.140625" customWidth="1"/>
    <col min="22" max="22" width="10.28515625" customWidth="1"/>
    <col min="23" max="23" width="13" customWidth="1"/>
    <col min="25" max="25" width="18.42578125" customWidth="1"/>
    <col min="28" max="28" width="11.28515625" customWidth="1"/>
    <col min="29" max="29" width="10.7109375" customWidth="1"/>
    <col min="30" max="30" width="10.5703125" customWidth="1"/>
    <col min="31" max="31" width="10.28515625" customWidth="1"/>
  </cols>
  <sheetData>
    <row r="1" spans="1:29">
      <c r="A1" s="15" t="s">
        <v>291</v>
      </c>
      <c r="B1" s="15" t="s">
        <v>292</v>
      </c>
      <c r="M1" s="15" t="s">
        <v>291</v>
      </c>
      <c r="N1" s="15" t="s">
        <v>292</v>
      </c>
      <c r="O1" s="15" t="s">
        <v>406</v>
      </c>
    </row>
    <row r="2" spans="1:29">
      <c r="A2" s="15">
        <v>25</v>
      </c>
      <c r="B2" s="15">
        <v>23</v>
      </c>
      <c r="M2" s="15">
        <v>25</v>
      </c>
      <c r="N2" s="15">
        <v>23</v>
      </c>
      <c r="O2" s="15" t="s">
        <v>36</v>
      </c>
      <c r="Q2" s="1"/>
      <c r="R2" s="24" t="s">
        <v>36</v>
      </c>
      <c r="S2" s="24"/>
      <c r="T2" s="24" t="s">
        <v>38</v>
      </c>
      <c r="U2" s="24"/>
      <c r="V2" s="24" t="s">
        <v>407</v>
      </c>
      <c r="W2" s="24"/>
    </row>
    <row r="3" spans="1:29">
      <c r="A3" s="15">
        <v>29</v>
      </c>
      <c r="B3" s="15">
        <v>24</v>
      </c>
      <c r="D3" t="s">
        <v>375</v>
      </c>
      <c r="M3" s="15">
        <v>29</v>
      </c>
      <c r="N3" s="15">
        <v>24</v>
      </c>
      <c r="O3" s="15" t="s">
        <v>36</v>
      </c>
      <c r="Q3" s="2"/>
      <c r="R3" s="23" t="s">
        <v>367</v>
      </c>
      <c r="S3" s="23" t="s">
        <v>364</v>
      </c>
      <c r="T3" s="23" t="s">
        <v>367</v>
      </c>
      <c r="U3" s="23" t="s">
        <v>364</v>
      </c>
      <c r="V3" s="23" t="s">
        <v>367</v>
      </c>
      <c r="W3" s="23" t="s">
        <v>364</v>
      </c>
    </row>
    <row r="4" spans="1:29">
      <c r="A4" s="15">
        <v>24</v>
      </c>
      <c r="B4" s="15">
        <f>23</f>
        <v>23</v>
      </c>
      <c r="M4" s="15">
        <v>24</v>
      </c>
      <c r="N4" s="15">
        <f>23</f>
        <v>23</v>
      </c>
      <c r="O4" s="15" t="s">
        <v>36</v>
      </c>
      <c r="Q4" s="2">
        <v>1</v>
      </c>
      <c r="R4" s="23">
        <v>25</v>
      </c>
      <c r="S4" s="23">
        <v>23</v>
      </c>
      <c r="T4" s="23">
        <v>25</v>
      </c>
      <c r="U4" s="23">
        <v>22</v>
      </c>
      <c r="V4" s="23">
        <v>32</v>
      </c>
      <c r="W4" s="23">
        <v>27</v>
      </c>
    </row>
    <row r="5" spans="1:29" ht="15.75" thickBot="1">
      <c r="A5" s="15">
        <v>25</v>
      </c>
      <c r="B5" s="15">
        <v>22</v>
      </c>
      <c r="D5" t="s">
        <v>376</v>
      </c>
      <c r="M5" s="15">
        <v>25</v>
      </c>
      <c r="N5" s="15">
        <v>22</v>
      </c>
      <c r="O5" s="15" t="s">
        <v>38</v>
      </c>
      <c r="Q5" s="2">
        <v>2</v>
      </c>
      <c r="R5" s="23">
        <v>29</v>
      </c>
      <c r="S5" s="23">
        <v>24</v>
      </c>
      <c r="T5" s="23">
        <v>31</v>
      </c>
      <c r="U5" s="23">
        <v>21</v>
      </c>
      <c r="V5" s="23">
        <v>29</v>
      </c>
      <c r="W5" s="23">
        <v>28</v>
      </c>
    </row>
    <row r="6" spans="1:29">
      <c r="A6" s="15">
        <v>31</v>
      </c>
      <c r="B6" s="15">
        <v>21</v>
      </c>
      <c r="D6" s="14" t="s">
        <v>377</v>
      </c>
      <c r="E6" s="14" t="s">
        <v>378</v>
      </c>
      <c r="F6" s="14" t="s">
        <v>379</v>
      </c>
      <c r="G6" s="14" t="s">
        <v>380</v>
      </c>
      <c r="H6" s="14" t="s">
        <v>297</v>
      </c>
      <c r="M6" s="15">
        <v>31</v>
      </c>
      <c r="N6" s="15">
        <v>21</v>
      </c>
      <c r="O6" s="15" t="s">
        <v>38</v>
      </c>
      <c r="Q6" s="2">
        <v>3</v>
      </c>
      <c r="R6" s="23">
        <v>24</v>
      </c>
      <c r="S6" s="23">
        <v>23</v>
      </c>
      <c r="T6" s="23">
        <v>30</v>
      </c>
      <c r="U6" s="23">
        <v>32</v>
      </c>
      <c r="V6" s="23">
        <v>25</v>
      </c>
      <c r="W6" s="23">
        <v>29</v>
      </c>
    </row>
    <row r="7" spans="1:29">
      <c r="A7" s="15">
        <v>32</v>
      </c>
      <c r="B7" s="15">
        <v>30</v>
      </c>
      <c r="D7" t="s">
        <v>291</v>
      </c>
      <c r="E7">
        <v>10</v>
      </c>
      <c r="F7">
        <v>282</v>
      </c>
      <c r="G7">
        <v>28.2</v>
      </c>
      <c r="H7">
        <v>9.9555555555555966</v>
      </c>
      <c r="M7" s="15">
        <v>30</v>
      </c>
      <c r="N7" s="15">
        <v>32</v>
      </c>
      <c r="O7" s="15" t="s">
        <v>38</v>
      </c>
    </row>
    <row r="8" spans="1:29" ht="15.75" thickBot="1">
      <c r="A8" s="15">
        <v>30</v>
      </c>
      <c r="B8" s="15">
        <v>32</v>
      </c>
      <c r="D8" s="13" t="s">
        <v>292</v>
      </c>
      <c r="E8" s="13">
        <v>10</v>
      </c>
      <c r="F8" s="13">
        <v>259</v>
      </c>
      <c r="G8" s="13">
        <v>25.9</v>
      </c>
      <c r="H8" s="13">
        <v>14.322222222222182</v>
      </c>
      <c r="M8" s="15">
        <v>32</v>
      </c>
      <c r="N8" s="15">
        <v>27</v>
      </c>
      <c r="O8" s="15" t="s">
        <v>407</v>
      </c>
    </row>
    <row r="9" spans="1:29">
      <c r="A9" s="15">
        <v>32</v>
      </c>
      <c r="B9" s="15">
        <v>27</v>
      </c>
      <c r="M9" s="15">
        <v>29</v>
      </c>
      <c r="N9" s="15">
        <v>28</v>
      </c>
      <c r="O9" s="15" t="s">
        <v>407</v>
      </c>
      <c r="Q9" t="s">
        <v>408</v>
      </c>
      <c r="Y9" t="s">
        <v>413</v>
      </c>
    </row>
    <row r="10" spans="1:29" ht="15.75" thickBot="1">
      <c r="A10" s="15">
        <v>29</v>
      </c>
      <c r="B10" s="15">
        <v>28</v>
      </c>
      <c r="M10" s="15">
        <v>25</v>
      </c>
      <c r="N10" s="15">
        <v>29</v>
      </c>
      <c r="O10" s="15" t="s">
        <v>407</v>
      </c>
    </row>
    <row r="11" spans="1:29" ht="15.75" thickBot="1">
      <c r="A11" s="15">
        <v>25</v>
      </c>
      <c r="B11" s="15">
        <v>29</v>
      </c>
      <c r="D11" t="s">
        <v>381</v>
      </c>
      <c r="Q11" t="s">
        <v>376</v>
      </c>
      <c r="R11" t="s">
        <v>364</v>
      </c>
      <c r="S11" t="s">
        <v>367</v>
      </c>
      <c r="T11" t="s">
        <v>364</v>
      </c>
      <c r="U11" t="s">
        <v>367</v>
      </c>
      <c r="V11" t="s">
        <v>364</v>
      </c>
      <c r="W11" t="s">
        <v>390</v>
      </c>
      <c r="Y11" s="14" t="s">
        <v>376</v>
      </c>
      <c r="Z11" s="14" t="s">
        <v>378</v>
      </c>
      <c r="AA11" s="14" t="s">
        <v>379</v>
      </c>
      <c r="AB11" s="14" t="s">
        <v>380</v>
      </c>
      <c r="AC11" s="14" t="s">
        <v>297</v>
      </c>
    </row>
    <row r="12" spans="1:29" ht="15.75" thickBot="1">
      <c r="D12" s="14" t="s">
        <v>382</v>
      </c>
      <c r="E12" s="14" t="s">
        <v>383</v>
      </c>
      <c r="F12" s="14" t="s">
        <v>301</v>
      </c>
      <c r="G12" s="14" t="s">
        <v>384</v>
      </c>
      <c r="H12" s="14" t="s">
        <v>385</v>
      </c>
      <c r="I12" s="14" t="s">
        <v>386</v>
      </c>
      <c r="J12" s="14" t="s">
        <v>387</v>
      </c>
      <c r="Q12" s="25">
        <v>25</v>
      </c>
      <c r="R12" s="25"/>
      <c r="S12" s="25"/>
      <c r="T12" s="25"/>
      <c r="U12" s="25"/>
      <c r="V12" s="25"/>
      <c r="W12" s="25"/>
      <c r="Y12">
        <v>25</v>
      </c>
      <c r="Z12">
        <v>5</v>
      </c>
      <c r="AA12">
        <v>129</v>
      </c>
      <c r="AB12">
        <v>25.8</v>
      </c>
      <c r="AC12">
        <v>15.700000000000045</v>
      </c>
    </row>
    <row r="13" spans="1:29">
      <c r="D13" t="s">
        <v>388</v>
      </c>
      <c r="E13">
        <v>26.450000000000045</v>
      </c>
      <c r="F13">
        <v>1</v>
      </c>
      <c r="G13">
        <v>26.450000000000045</v>
      </c>
      <c r="H13">
        <v>2.1789473684210563</v>
      </c>
      <c r="I13">
        <v>0.15719035021475816</v>
      </c>
      <c r="J13">
        <v>4.4138734191705664</v>
      </c>
      <c r="Q13" t="s">
        <v>378</v>
      </c>
      <c r="R13">
        <v>3</v>
      </c>
      <c r="S13">
        <v>3</v>
      </c>
      <c r="T13">
        <v>3</v>
      </c>
      <c r="U13">
        <v>3</v>
      </c>
      <c r="V13">
        <v>3</v>
      </c>
      <c r="W13">
        <v>15</v>
      </c>
      <c r="Y13">
        <v>29</v>
      </c>
      <c r="Z13">
        <v>5</v>
      </c>
      <c r="AA13">
        <v>133</v>
      </c>
      <c r="AB13">
        <v>26.6</v>
      </c>
      <c r="AC13">
        <v>16.299999999999955</v>
      </c>
    </row>
    <row r="14" spans="1:29">
      <c r="D14" t="s">
        <v>389</v>
      </c>
      <c r="E14">
        <v>218.5</v>
      </c>
      <c r="F14">
        <v>18</v>
      </c>
      <c r="G14">
        <v>12.138888888888889</v>
      </c>
      <c r="Q14" t="s">
        <v>379</v>
      </c>
      <c r="R14">
        <v>70</v>
      </c>
      <c r="S14">
        <v>86</v>
      </c>
      <c r="T14">
        <v>75</v>
      </c>
      <c r="U14">
        <v>86</v>
      </c>
      <c r="V14">
        <v>84</v>
      </c>
      <c r="W14">
        <v>401</v>
      </c>
      <c r="Y14">
        <v>24</v>
      </c>
      <c r="Z14">
        <v>5</v>
      </c>
      <c r="AA14">
        <v>139</v>
      </c>
      <c r="AB14">
        <v>27.8</v>
      </c>
      <c r="AC14">
        <v>13.700000000000045</v>
      </c>
    </row>
    <row r="15" spans="1:29">
      <c r="Q15" t="s">
        <v>380</v>
      </c>
      <c r="R15">
        <v>23.333333333333332</v>
      </c>
      <c r="S15">
        <v>28.666666666666668</v>
      </c>
      <c r="T15">
        <v>25</v>
      </c>
      <c r="U15">
        <v>28.666666666666668</v>
      </c>
      <c r="V15">
        <v>28</v>
      </c>
      <c r="W15">
        <v>26.733333333333334</v>
      </c>
    </row>
    <row r="16" spans="1:29" ht="15.75" thickBot="1">
      <c r="D16" s="13" t="s">
        <v>390</v>
      </c>
      <c r="E16" s="13">
        <v>244.95000000000005</v>
      </c>
      <c r="F16" s="13">
        <v>19</v>
      </c>
      <c r="G16" s="13"/>
      <c r="H16" s="13"/>
      <c r="I16" s="13"/>
      <c r="J16" s="13"/>
      <c r="Q16" t="s">
        <v>297</v>
      </c>
      <c r="R16">
        <v>0.33333333333333337</v>
      </c>
      <c r="S16">
        <v>10.333333333333334</v>
      </c>
      <c r="T16">
        <v>37</v>
      </c>
      <c r="U16">
        <v>12.333333333333334</v>
      </c>
      <c r="V16">
        <v>1</v>
      </c>
      <c r="W16">
        <v>13.78095238095232</v>
      </c>
      <c r="Y16" t="s">
        <v>364</v>
      </c>
      <c r="Z16">
        <v>3</v>
      </c>
      <c r="AA16">
        <v>70</v>
      </c>
      <c r="AB16">
        <v>23.333333333333332</v>
      </c>
      <c r="AC16">
        <v>0.33333333333333337</v>
      </c>
    </row>
    <row r="17" spans="17:31">
      <c r="Y17" t="s">
        <v>367</v>
      </c>
      <c r="Z17">
        <v>3</v>
      </c>
      <c r="AA17">
        <v>86</v>
      </c>
      <c r="AB17">
        <v>28.666666666666668</v>
      </c>
      <c r="AC17">
        <v>10.333333333333334</v>
      </c>
    </row>
    <row r="18" spans="17:31" ht="15.75" thickBot="1">
      <c r="Q18" s="25" t="s">
        <v>390</v>
      </c>
      <c r="R18" s="25"/>
      <c r="S18" s="25"/>
      <c r="Y18" t="s">
        <v>364</v>
      </c>
      <c r="Z18">
        <v>3</v>
      </c>
      <c r="AA18">
        <v>75</v>
      </c>
      <c r="AB18">
        <v>25</v>
      </c>
      <c r="AC18">
        <v>37</v>
      </c>
    </row>
    <row r="19" spans="17:31">
      <c r="Q19" t="s">
        <v>378</v>
      </c>
      <c r="R19">
        <v>3</v>
      </c>
      <c r="S19">
        <v>3</v>
      </c>
      <c r="T19">
        <v>3</v>
      </c>
      <c r="U19">
        <v>3</v>
      </c>
      <c r="V19">
        <v>3</v>
      </c>
      <c r="Y19" t="s">
        <v>367</v>
      </c>
      <c r="Z19">
        <v>3</v>
      </c>
      <c r="AA19">
        <v>86</v>
      </c>
      <c r="AB19">
        <v>28.666666666666668</v>
      </c>
      <c r="AC19">
        <v>12.333333333333334</v>
      </c>
    </row>
    <row r="20" spans="17:31" ht="15.75" thickBot="1">
      <c r="Q20" t="s">
        <v>379</v>
      </c>
      <c r="R20">
        <v>70</v>
      </c>
      <c r="S20">
        <v>86</v>
      </c>
      <c r="T20">
        <v>75</v>
      </c>
      <c r="U20">
        <v>86</v>
      </c>
      <c r="V20">
        <v>84</v>
      </c>
      <c r="Y20" s="13" t="s">
        <v>364</v>
      </c>
      <c r="Z20" s="13">
        <v>3</v>
      </c>
      <c r="AA20" s="13">
        <v>84</v>
      </c>
      <c r="AB20" s="13">
        <v>28</v>
      </c>
      <c r="AC20" s="13">
        <v>1</v>
      </c>
    </row>
    <row r="21" spans="17:31">
      <c r="Q21" t="s">
        <v>380</v>
      </c>
      <c r="R21">
        <v>23.333333333333332</v>
      </c>
      <c r="S21">
        <v>28.666666666666668</v>
      </c>
      <c r="T21">
        <v>25</v>
      </c>
      <c r="U21">
        <v>28.666666666666668</v>
      </c>
      <c r="V21">
        <v>28</v>
      </c>
    </row>
    <row r="22" spans="17:31">
      <c r="Q22" t="s">
        <v>297</v>
      </c>
      <c r="R22">
        <v>0.33333333333333337</v>
      </c>
      <c r="S22">
        <v>10.333333333333334</v>
      </c>
      <c r="T22">
        <v>37</v>
      </c>
      <c r="U22">
        <v>12.333333333333334</v>
      </c>
      <c r="V22">
        <v>1</v>
      </c>
    </row>
    <row r="23" spans="17:31" ht="15.75" thickBot="1">
      <c r="Y23" t="s">
        <v>381</v>
      </c>
    </row>
    <row r="24" spans="17:31">
      <c r="Y24" s="14" t="s">
        <v>382</v>
      </c>
      <c r="Z24" s="14" t="s">
        <v>383</v>
      </c>
      <c r="AA24" s="14" t="s">
        <v>301</v>
      </c>
      <c r="AB24" s="14" t="s">
        <v>384</v>
      </c>
      <c r="AC24" s="14" t="s">
        <v>385</v>
      </c>
      <c r="AD24" s="14" t="s">
        <v>386</v>
      </c>
      <c r="AE24" s="14" t="s">
        <v>387</v>
      </c>
    </row>
    <row r="25" spans="17:31" ht="15.75" thickBot="1">
      <c r="Q25" t="s">
        <v>381</v>
      </c>
      <c r="Y25" t="s">
        <v>414</v>
      </c>
      <c r="Z25">
        <v>10.133333333333383</v>
      </c>
      <c r="AA25">
        <v>2</v>
      </c>
      <c r="AB25">
        <v>5.0666666666666913</v>
      </c>
      <c r="AC25">
        <v>0.36233611442193275</v>
      </c>
      <c r="AD25">
        <v>0.70690892860770971</v>
      </c>
      <c r="AE25">
        <v>4.4589701075245118</v>
      </c>
    </row>
    <row r="26" spans="17:31">
      <c r="Q26" s="14" t="s">
        <v>382</v>
      </c>
      <c r="R26" s="14" t="s">
        <v>383</v>
      </c>
      <c r="S26" s="14" t="s">
        <v>301</v>
      </c>
      <c r="T26" s="14" t="s">
        <v>384</v>
      </c>
      <c r="U26" s="14" t="s">
        <v>385</v>
      </c>
      <c r="V26" s="14" t="s">
        <v>386</v>
      </c>
      <c r="W26" s="14" t="s">
        <v>387</v>
      </c>
      <c r="Y26" t="s">
        <v>410</v>
      </c>
      <c r="Z26">
        <v>70.93333333333338</v>
      </c>
      <c r="AA26">
        <v>4</v>
      </c>
      <c r="AB26">
        <v>17.733333333333345</v>
      </c>
      <c r="AC26">
        <v>1.2681764004767593</v>
      </c>
      <c r="AD26">
        <v>0.35793528410635489</v>
      </c>
      <c r="AE26">
        <v>3.8378533545558975</v>
      </c>
    </row>
    <row r="27" spans="17:31">
      <c r="Q27" t="s">
        <v>409</v>
      </c>
      <c r="R27">
        <v>0</v>
      </c>
      <c r="S27">
        <v>0</v>
      </c>
      <c r="T27">
        <v>65535</v>
      </c>
      <c r="U27">
        <v>65535</v>
      </c>
      <c r="V27" t="e">
        <v>#NUM!</v>
      </c>
      <c r="W27" t="e">
        <v>#NUM!</v>
      </c>
      <c r="Y27" t="s">
        <v>415</v>
      </c>
      <c r="Z27">
        <v>111.86666666666663</v>
      </c>
      <c r="AA27">
        <v>8</v>
      </c>
      <c r="AB27">
        <v>13.983333333333329</v>
      </c>
    </row>
    <row r="28" spans="17:31">
      <c r="Q28" t="s">
        <v>410</v>
      </c>
      <c r="R28">
        <v>70.93333333333338</v>
      </c>
      <c r="S28">
        <v>4</v>
      </c>
      <c r="T28">
        <v>17.733333333333345</v>
      </c>
      <c r="U28">
        <v>1.4535519125683067</v>
      </c>
      <c r="V28">
        <v>0.28695842927231424</v>
      </c>
      <c r="W28">
        <v>3.4780496907652281</v>
      </c>
    </row>
    <row r="29" spans="17:31" ht="15.75" thickBot="1">
      <c r="Q29" t="s">
        <v>411</v>
      </c>
      <c r="R29">
        <v>0</v>
      </c>
      <c r="S29">
        <v>0</v>
      </c>
      <c r="T29">
        <v>65535</v>
      </c>
      <c r="U29">
        <v>65535</v>
      </c>
      <c r="V29" t="e">
        <v>#NUM!</v>
      </c>
      <c r="W29" t="e">
        <v>#NUM!</v>
      </c>
      <c r="Y29" s="13" t="s">
        <v>390</v>
      </c>
      <c r="Z29" s="13">
        <v>192.93333333333339</v>
      </c>
      <c r="AA29" s="13">
        <v>14</v>
      </c>
      <c r="AB29" s="13"/>
      <c r="AC29" s="13"/>
      <c r="AD29" s="13"/>
      <c r="AE29" s="13"/>
    </row>
    <row r="30" spans="17:31">
      <c r="Q30" t="s">
        <v>412</v>
      </c>
      <c r="R30">
        <v>122.00000000000001</v>
      </c>
      <c r="S30">
        <v>10</v>
      </c>
      <c r="T30">
        <v>12.200000000000001</v>
      </c>
    </row>
    <row r="32" spans="17:31" ht="15.75" thickBot="1">
      <c r="Q32" s="13" t="s">
        <v>390</v>
      </c>
      <c r="R32" s="13">
        <v>192.93333333333339</v>
      </c>
      <c r="S32" s="13">
        <v>14</v>
      </c>
      <c r="T32" s="13"/>
      <c r="U32" s="13"/>
      <c r="V32" s="13"/>
      <c r="W32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C307-C65E-4B88-A59E-7FB7909F4E34}">
  <dimension ref="A1:L19"/>
  <sheetViews>
    <sheetView tabSelected="1" topLeftCell="A2" workbookViewId="0">
      <selection activeCell="P10" sqref="P10"/>
    </sheetView>
  </sheetViews>
  <sheetFormatPr defaultRowHeight="15"/>
  <sheetData>
    <row r="1" spans="1:9">
      <c r="A1" s="15" t="s">
        <v>291</v>
      </c>
      <c r="B1" s="15" t="s">
        <v>292</v>
      </c>
    </row>
    <row r="2" spans="1:9">
      <c r="A2" s="15">
        <v>25</v>
      </c>
      <c r="B2" s="15">
        <v>23</v>
      </c>
      <c r="D2" t="s">
        <v>391</v>
      </c>
    </row>
    <row r="3" spans="1:9" ht="15.75" thickBot="1">
      <c r="A3" s="15">
        <v>29</v>
      </c>
      <c r="B3" s="15">
        <v>24</v>
      </c>
    </row>
    <row r="4" spans="1:9">
      <c r="A4" s="15">
        <v>24</v>
      </c>
      <c r="B4" s="15">
        <f>23</f>
        <v>23</v>
      </c>
      <c r="D4" s="22" t="s">
        <v>392</v>
      </c>
      <c r="E4" s="22"/>
    </row>
    <row r="5" spans="1:9">
      <c r="A5" s="15">
        <v>25</v>
      </c>
      <c r="B5" s="15">
        <v>22</v>
      </c>
      <c r="D5" t="s">
        <v>393</v>
      </c>
      <c r="E5">
        <v>0.38336878858563878</v>
      </c>
    </row>
    <row r="6" spans="1:9">
      <c r="A6" s="15">
        <v>31</v>
      </c>
      <c r="B6" s="15">
        <v>21</v>
      </c>
      <c r="D6" t="s">
        <v>394</v>
      </c>
      <c r="E6">
        <v>0.1469716280616202</v>
      </c>
    </row>
    <row r="7" spans="1:9">
      <c r="A7" s="15">
        <v>32</v>
      </c>
      <c r="B7" s="15">
        <v>30</v>
      </c>
      <c r="D7" t="s">
        <v>395</v>
      </c>
      <c r="E7">
        <v>4.0343081569322731E-2</v>
      </c>
    </row>
    <row r="8" spans="1:9">
      <c r="A8" s="15">
        <v>30</v>
      </c>
      <c r="B8" s="15">
        <v>32</v>
      </c>
      <c r="D8" t="s">
        <v>396</v>
      </c>
      <c r="E8">
        <v>3.0909412426815641</v>
      </c>
    </row>
    <row r="9" spans="1:9" ht="15.75" thickBot="1">
      <c r="A9" s="15">
        <v>32</v>
      </c>
      <c r="B9" s="15">
        <v>27</v>
      </c>
      <c r="D9" s="13" t="s">
        <v>298</v>
      </c>
      <c r="E9" s="13">
        <v>10</v>
      </c>
    </row>
    <row r="10" spans="1:9">
      <c r="A10" s="15">
        <v>29</v>
      </c>
      <c r="B10" s="15">
        <v>28</v>
      </c>
    </row>
    <row r="11" spans="1:9" ht="15.75" thickBot="1">
      <c r="A11" s="15">
        <v>25</v>
      </c>
      <c r="B11" s="15">
        <v>29</v>
      </c>
      <c r="D11" t="s">
        <v>381</v>
      </c>
    </row>
    <row r="12" spans="1:9">
      <c r="D12" s="14"/>
      <c r="E12" s="14" t="s">
        <v>301</v>
      </c>
      <c r="F12" s="14" t="s">
        <v>383</v>
      </c>
      <c r="G12" s="14" t="s">
        <v>384</v>
      </c>
      <c r="H12" s="14" t="s">
        <v>385</v>
      </c>
      <c r="I12" s="14" t="s">
        <v>400</v>
      </c>
    </row>
    <row r="13" spans="1:9">
      <c r="D13" t="s">
        <v>397</v>
      </c>
      <c r="E13">
        <v>1</v>
      </c>
      <c r="F13">
        <v>13.16865787432117</v>
      </c>
      <c r="G13">
        <v>13.16865787432117</v>
      </c>
      <c r="H13">
        <v>1.3783516037352812</v>
      </c>
      <c r="I13">
        <v>0.27414550669279641</v>
      </c>
    </row>
    <row r="14" spans="1:9">
      <c r="D14" t="s">
        <v>398</v>
      </c>
      <c r="E14">
        <v>8</v>
      </c>
      <c r="F14">
        <v>76.431342125678825</v>
      </c>
      <c r="G14">
        <v>9.5539177657098531</v>
      </c>
    </row>
    <row r="15" spans="1:9" ht="15.75" thickBot="1">
      <c r="D15" s="13" t="s">
        <v>390</v>
      </c>
      <c r="E15" s="13">
        <v>9</v>
      </c>
      <c r="F15" s="13">
        <v>89.6</v>
      </c>
      <c r="G15" s="13"/>
      <c r="H15" s="13"/>
      <c r="I15" s="13"/>
    </row>
    <row r="16" spans="1:9" ht="15.75" thickBot="1"/>
    <row r="17" spans="4:12">
      <c r="D17" s="14"/>
      <c r="E17" s="14" t="s">
        <v>401</v>
      </c>
      <c r="F17" s="14" t="s">
        <v>396</v>
      </c>
      <c r="G17" s="14" t="s">
        <v>302</v>
      </c>
      <c r="H17" s="14" t="s">
        <v>386</v>
      </c>
      <c r="I17" s="14" t="s">
        <v>402</v>
      </c>
      <c r="J17" s="14" t="s">
        <v>403</v>
      </c>
      <c r="K17" s="14" t="s">
        <v>404</v>
      </c>
      <c r="L17" s="14" t="s">
        <v>405</v>
      </c>
    </row>
    <row r="18" spans="4:12">
      <c r="D18" t="s">
        <v>399</v>
      </c>
      <c r="E18">
        <v>19.921644685802946</v>
      </c>
      <c r="F18">
        <v>7.1186408211498984</v>
      </c>
      <c r="G18">
        <v>2.7985180298203236</v>
      </c>
      <c r="H18">
        <v>2.325090057543213E-2</v>
      </c>
      <c r="I18">
        <v>3.5060295151980938</v>
      </c>
      <c r="J18">
        <v>36.337259856407798</v>
      </c>
      <c r="K18">
        <v>3.5060295151980938</v>
      </c>
      <c r="L18">
        <v>36.337259856407798</v>
      </c>
    </row>
    <row r="19" spans="4:12" ht="15.75" thickBot="1">
      <c r="D19" s="13" t="s">
        <v>292</v>
      </c>
      <c r="E19" s="13">
        <v>0.31962761830876651</v>
      </c>
      <c r="F19" s="13">
        <v>0.27224774469149088</v>
      </c>
      <c r="G19" s="13">
        <v>1.1740321987642768</v>
      </c>
      <c r="H19" s="13">
        <v>0.27414550669279625</v>
      </c>
      <c r="I19" s="13">
        <v>-0.30817680674981984</v>
      </c>
      <c r="J19" s="13">
        <v>0.94743204336735287</v>
      </c>
      <c r="K19" s="13">
        <v>-0.30817680674981984</v>
      </c>
      <c r="L19" s="13">
        <v>0.94743204336735287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MEASURES OF DISPERSION</vt:lpstr>
      <vt:lpstr>RANDOM</vt:lpstr>
      <vt:lpstr>SYSTEMATIC</vt:lpstr>
      <vt:lpstr>STRATIFIED</vt:lpstr>
      <vt:lpstr>CLUSTER RANDOM</vt:lpstr>
      <vt:lpstr>PROBABALITY</vt:lpstr>
      <vt:lpstr>BAYES</vt:lpstr>
      <vt:lpstr>SKEWNESS</vt:lpstr>
      <vt:lpstr>KURTOSIS</vt:lpstr>
      <vt:lpstr>POISSON</vt:lpstr>
      <vt:lpstr>BINOMIAL</vt:lpstr>
      <vt:lpstr>UNIFORM </vt:lpstr>
      <vt:lpstr>CO-VARIANCE</vt:lpstr>
      <vt:lpstr>CORRELATION</vt:lpstr>
      <vt:lpstr>T-TEST</vt:lpstr>
      <vt:lpstr>Z-TEST</vt:lpstr>
      <vt:lpstr>ANOVA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budha</dc:creator>
  <cp:lastModifiedBy>sanjana budha</cp:lastModifiedBy>
  <dcterms:created xsi:type="dcterms:W3CDTF">2026-06-23T05:04:39Z</dcterms:created>
  <dcterms:modified xsi:type="dcterms:W3CDTF">2026-07-07T10:32:15Z</dcterms:modified>
</cp:coreProperties>
</file>