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ial Balance" sheetId="1" r:id="rId1"/>
  </sheets>
  <calcPr calcId="144525"/>
</workbook>
</file>

<file path=xl/calcChain.xml><?xml version="1.0" encoding="utf-8"?>
<calcChain xmlns="http://schemas.openxmlformats.org/spreadsheetml/2006/main">
  <c r="B122" i="1" l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C77" i="1"/>
  <c r="B76" i="1"/>
  <c r="B75" i="1"/>
  <c r="B74" i="1"/>
  <c r="B73" i="1"/>
  <c r="C72" i="1"/>
  <c r="B71" i="1"/>
  <c r="B70" i="1"/>
  <c r="B69" i="1"/>
  <c r="B68" i="1"/>
  <c r="B67" i="1"/>
  <c r="B66" i="1"/>
  <c r="B65" i="1"/>
  <c r="B64" i="1"/>
  <c r="B63" i="1"/>
  <c r="B62" i="1"/>
  <c r="B61" i="1"/>
  <c r="B60" i="1"/>
  <c r="C59" i="1"/>
  <c r="B58" i="1"/>
  <c r="B57" i="1"/>
  <c r="C56" i="1"/>
  <c r="C55" i="1"/>
  <c r="C54" i="1"/>
  <c r="C53" i="1"/>
  <c r="C52" i="1"/>
  <c r="C51" i="1"/>
  <c r="C50" i="1"/>
  <c r="B49" i="1"/>
  <c r="C48" i="1"/>
  <c r="B47" i="1"/>
  <c r="C46" i="1"/>
  <c r="B45" i="1"/>
  <c r="C44" i="1"/>
  <c r="C43" i="1"/>
  <c r="C42" i="1"/>
  <c r="C41" i="1"/>
  <c r="B40" i="1"/>
  <c r="B39" i="1"/>
  <c r="B38" i="1"/>
  <c r="C37" i="1"/>
  <c r="C36" i="1"/>
  <c r="C35" i="1"/>
  <c r="B34" i="1"/>
  <c r="B33" i="1"/>
  <c r="B32" i="1"/>
  <c r="C31" i="1"/>
  <c r="B30" i="1"/>
  <c r="B29" i="1"/>
  <c r="C28" i="1"/>
  <c r="B27" i="1"/>
  <c r="C26" i="1"/>
  <c r="B25" i="1"/>
  <c r="B24" i="1"/>
  <c r="B23" i="1"/>
  <c r="B22" i="1"/>
  <c r="C21" i="1"/>
  <c r="B20" i="1"/>
  <c r="B19" i="1"/>
  <c r="B18" i="1"/>
  <c r="B17" i="1"/>
  <c r="C16" i="1"/>
  <c r="B15" i="1"/>
  <c r="C14" i="1"/>
  <c r="B13" i="1"/>
  <c r="C12" i="1"/>
  <c r="B11" i="1"/>
  <c r="B10" i="1"/>
  <c r="B9" i="1"/>
  <c r="B8" i="1"/>
  <c r="B7" i="1"/>
  <c r="B6" i="1"/>
  <c r="B5" i="1"/>
  <c r="C123" i="1" l="1"/>
  <c r="B123" i="1"/>
</calcChain>
</file>

<file path=xl/sharedStrings.xml><?xml version="1.0" encoding="utf-8"?>
<sst xmlns="http://schemas.openxmlformats.org/spreadsheetml/2006/main" count="125" uniqueCount="125">
  <si>
    <t>Debit</t>
  </si>
  <si>
    <t>Credit</t>
  </si>
  <si>
    <t>Cash at bank - Macquarie ....07</t>
  </si>
  <si>
    <t>JonJon Developments</t>
  </si>
  <si>
    <t>Prestige Glass Solutions P/L</t>
  </si>
  <si>
    <t>Trade receivables</t>
  </si>
  <si>
    <t>ATO</t>
  </si>
  <si>
    <t>Bond</t>
  </si>
  <si>
    <t>Borrowing Expense</t>
  </si>
  <si>
    <t>Borrowing Expense:Accumulated Depreciation</t>
  </si>
  <si>
    <t>General pool</t>
  </si>
  <si>
    <t>General pool:Accumlated depreciation</t>
  </si>
  <si>
    <t>Inventory Asset</t>
  </si>
  <si>
    <t>Inventory Asset-1</t>
  </si>
  <si>
    <t>Jon Jon Development</t>
  </si>
  <si>
    <t>CASTRO WAY:FURNITURE &amp; FIXTURES</t>
  </si>
  <si>
    <t>KDT EDGE BANDING MACHINE</t>
  </si>
  <si>
    <t>Leasehold Improvement</t>
  </si>
  <si>
    <t>Leasehold Improvement:Accumulated Depreciation</t>
  </si>
  <si>
    <t>Motor Vehicles:HILUX - JONCE</t>
  </si>
  <si>
    <t>Motor Vehicles:HILUX JOHN</t>
  </si>
  <si>
    <t>Motor Vehicles:JEEP</t>
  </si>
  <si>
    <t>Motor Vehicles:LANDCRUISER</t>
  </si>
  <si>
    <t>Motor Vehicles:Motor Vehiciles At cost</t>
  </si>
  <si>
    <t>Motor Vehicles:TOYOTA</t>
  </si>
  <si>
    <t>Trade creditors</t>
  </si>
  <si>
    <t>GST Clearing</t>
  </si>
  <si>
    <t>Loan - Employee</t>
  </si>
  <si>
    <t>PAYG Witholding tax</t>
  </si>
  <si>
    <t>Payroll Liabilities</t>
  </si>
  <si>
    <t>Prospa Financial</t>
  </si>
  <si>
    <t>Sundry creditors</t>
  </si>
  <si>
    <t>Super Payable</t>
  </si>
  <si>
    <t>Tax Payable</t>
  </si>
  <si>
    <t>Tax Payable---:Income Tax</t>
  </si>
  <si>
    <t>Tax Payable---:Tax Payable Installment</t>
  </si>
  <si>
    <t>BAS Amendment</t>
  </si>
  <si>
    <t>Directors Drawings:drawings Jonce</t>
  </si>
  <si>
    <t>Directors Loan</t>
  </si>
  <si>
    <t>Directors Loan:Directors Loan - John</t>
  </si>
  <si>
    <t>Directors Loan:Directors Loan - Jonce</t>
  </si>
  <si>
    <t>Hire Purchase Holden Utility AM</t>
  </si>
  <si>
    <t>Hire Purchase Holden Utility AM:Unexpired Interest</t>
  </si>
  <si>
    <t>Hire Purchase Jeep</t>
  </si>
  <si>
    <t>Hire Purchase Jeep:Unexpired Interest</t>
  </si>
  <si>
    <t>Hire Purchase Toyota Kluger</t>
  </si>
  <si>
    <t>Hire Purchase Toyota Kluger:Unexpired Interest</t>
  </si>
  <si>
    <t>Opening Bal Equity</t>
  </si>
  <si>
    <t>Opening balance equity</t>
  </si>
  <si>
    <t>Retained Earnings</t>
  </si>
  <si>
    <t>interest received</t>
  </si>
  <si>
    <t>Sales</t>
  </si>
  <si>
    <t>Sales of Product Income</t>
  </si>
  <si>
    <t>SCRAP METAL</t>
  </si>
  <si>
    <t>Cost of Goods Sold</t>
  </si>
  <si>
    <t>Cost of Goods Sold:GLASS</t>
  </si>
  <si>
    <t>Cost of Goods Sold:KITCHENS</t>
  </si>
  <si>
    <t>Cost of Goods Sold:Material</t>
  </si>
  <si>
    <t>Cost of Goods Sold:MIRRORS</t>
  </si>
  <si>
    <t>Cost of Goods Sold:PAINT</t>
  </si>
  <si>
    <t>Cost of Goods Sold:PARTS</t>
  </si>
  <si>
    <t>Cost of Goods Sold:SHELVING</t>
  </si>
  <si>
    <t>Cost of Goods Sold:SHOWERS</t>
  </si>
  <si>
    <t>Cost of Goods Sold:SILICON</t>
  </si>
  <si>
    <t>Cost of Goods Sold:WARDROBE</t>
  </si>
  <si>
    <t>Cost of sales</t>
  </si>
  <si>
    <t>Accountancy fees</t>
  </si>
  <si>
    <t>Administration costs</t>
  </si>
  <si>
    <t>Advertising</t>
  </si>
  <si>
    <t>Bad debts written off</t>
  </si>
  <si>
    <t>BANK FEES</t>
  </si>
  <si>
    <t>BANK FEES:Merchant Fees</t>
  </si>
  <si>
    <t>CLEANING</t>
  </si>
  <si>
    <t>COMPUTER PROGRAMS</t>
  </si>
  <si>
    <t>Damages</t>
  </si>
  <si>
    <t>DELIVERY FEE</t>
  </si>
  <si>
    <t>Directors fees:directors Reimbursement</t>
  </si>
  <si>
    <t>Electricity</t>
  </si>
  <si>
    <t>Entertainment</t>
  </si>
  <si>
    <t>EQUIPMENT</t>
  </si>
  <si>
    <t>Filing fees</t>
  </si>
  <si>
    <t>FITTER</t>
  </si>
  <si>
    <t>FORKLIFT GAS</t>
  </si>
  <si>
    <t>Freight and cartage</t>
  </si>
  <si>
    <t>Gifts</t>
  </si>
  <si>
    <t>Insurance</t>
  </si>
  <si>
    <t>Insurance:Workers compensation</t>
  </si>
  <si>
    <t>Motor Vehicle - 1AU4YK:Fuel</t>
  </si>
  <si>
    <t>Motor Vehicle - 1AU4YK:Insurance and registration</t>
  </si>
  <si>
    <t>Motor Vehicle - 1VM5KJ:Fuel</t>
  </si>
  <si>
    <t>Motor Vehicle - 1VM5KJ:Repairs &amp; Maintenance</t>
  </si>
  <si>
    <t>Motor vehicle - AMN671:Petrol and oil</t>
  </si>
  <si>
    <t>Motor vehicle - AMN671:Repairs</t>
  </si>
  <si>
    <t>Motor vehicle - AMN681:Petrol and oil</t>
  </si>
  <si>
    <t>Motor vehicle - AMN681:Repairs</t>
  </si>
  <si>
    <t>Motor Vehicle - TSU681:Fuel</t>
  </si>
  <si>
    <t>Motor Vehicle - TSU681:Insurance &amp; registration</t>
  </si>
  <si>
    <t>Motor Vehicle - TSU681:Repairs &amp; Maintenance</t>
  </si>
  <si>
    <t>Motor Vehicle expense- TRUCK:Fuel</t>
  </si>
  <si>
    <t>OFFICE EQUIPMENT/PCs</t>
  </si>
  <si>
    <t>Packing materials</t>
  </si>
  <si>
    <t>PARKING/TOLLS</t>
  </si>
  <si>
    <t>Payroll Expenses</t>
  </si>
  <si>
    <t>Payroll Expenses:Payroll Tax</t>
  </si>
  <si>
    <t>Payroll Expenses:Super</t>
  </si>
  <si>
    <t>Payroll Expenses:Wages</t>
  </si>
  <si>
    <t>Printing and stationery</t>
  </si>
  <si>
    <t>Rates:Council</t>
  </si>
  <si>
    <t>Rates:Water</t>
  </si>
  <si>
    <t>RENT</t>
  </si>
  <si>
    <t>REPAIRS &amp; MAINTENANCE</t>
  </si>
  <si>
    <t>RUBBISH</t>
  </si>
  <si>
    <t>Safety</t>
  </si>
  <si>
    <t>SALES REPRESENTATIVE:COMMISSION</t>
  </si>
  <si>
    <t>Staff amenities</t>
  </si>
  <si>
    <t>STATIONARY</t>
  </si>
  <si>
    <t>Superannuation ATO</t>
  </si>
  <si>
    <t>Telephone</t>
  </si>
  <si>
    <t>Tool replacements</t>
  </si>
  <si>
    <t>Owner Drawings</t>
  </si>
  <si>
    <t>TOTAL</t>
  </si>
  <si>
    <t>Monday, May 05, 2025 01:35:48 pm GMT+10 - Accruals Basis</t>
  </si>
  <si>
    <t>PRESTIGE GLASS SOLUTIONS PTY LTD</t>
  </si>
  <si>
    <t>Trial Balance</t>
  </si>
  <si>
    <t>As of 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</si>
</sst>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€"/>
    <numFmt numFmtId="165" formatCode="&quot;A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wrapText="1"/>
    </xf>
    <xf numFmtId="165" fontId="2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A6" sqref="A6"/>
    </sheetView>
  </sheetViews>
  <sheetFormatPr defaultRowHeight="15" x14ac:dyDescent="0.25"/>
  <cols>
    <col min="1" max="1" width="43.85546875" customWidth="1"/>
    <col min="2" max="3" width="18.85546875" customWidth="1"/>
  </cols>
  <sheetData>
    <row r="1" spans="1:3" ht="18" x14ac:dyDescent="0.25">
      <c r="A1" s="9" t="s">
        <v>122</v>
      </c>
      <c r="B1" s="8"/>
      <c r="C1" s="8"/>
    </row>
    <row r="2" spans="1:3" ht="18" x14ac:dyDescent="0.25">
      <c r="A2" s="9" t="s">
        <v>123</v>
      </c>
      <c r="B2" s="8"/>
      <c r="C2" s="8"/>
    </row>
    <row r="3" spans="1:3" x14ac:dyDescent="0.25">
      <c r="A3" s="10" t="s">
        <v>124</v>
      </c>
      <c r="B3" s="8"/>
      <c r="C3" s="8"/>
    </row>
    <row r="4" spans="1:3" x14ac:dyDescent="0.25">
      <c r="A4" s="1"/>
      <c r="B4" s="2" t="s">
        <v>0</v>
      </c>
      <c r="C4" s="2" t="s">
        <v>1</v>
      </c>
    </row>
    <row r="5" spans="1:3" x14ac:dyDescent="0.25">
      <c r="A5" s="3" t="s">
        <v>2</v>
      </c>
      <c r="B5" s="4">
        <f>18334.81</f>
        <v>18334.810000000001</v>
      </c>
      <c r="C5" s="5"/>
    </row>
    <row r="6" spans="1:3" x14ac:dyDescent="0.25">
      <c r="A6" s="3" t="s">
        <v>3</v>
      </c>
      <c r="B6" s="4">
        <f>60035</f>
        <v>60035</v>
      </c>
      <c r="C6" s="5"/>
    </row>
    <row r="7" spans="1:3" x14ac:dyDescent="0.25">
      <c r="A7" s="3" t="s">
        <v>4</v>
      </c>
      <c r="B7" s="4">
        <f>58722.69</f>
        <v>58722.69</v>
      </c>
      <c r="C7" s="5"/>
    </row>
    <row r="8" spans="1:3" x14ac:dyDescent="0.25">
      <c r="A8" s="3" t="s">
        <v>5</v>
      </c>
      <c r="B8" s="4">
        <f>1049505.79</f>
        <v>1049505.79</v>
      </c>
      <c r="C8" s="5"/>
    </row>
    <row r="9" spans="1:3" x14ac:dyDescent="0.25">
      <c r="A9" s="3" t="s">
        <v>6</v>
      </c>
      <c r="B9" s="4">
        <f>28226</f>
        <v>28226</v>
      </c>
      <c r="C9" s="5"/>
    </row>
    <row r="10" spans="1:3" x14ac:dyDescent="0.25">
      <c r="A10" s="3" t="s">
        <v>7</v>
      </c>
      <c r="B10" s="4">
        <f>22166.67</f>
        <v>22166.67</v>
      </c>
      <c r="C10" s="5"/>
    </row>
    <row r="11" spans="1:3" x14ac:dyDescent="0.25">
      <c r="A11" s="3" t="s">
        <v>8</v>
      </c>
      <c r="B11" s="4">
        <f>3054.8</f>
        <v>3054.8</v>
      </c>
      <c r="C11" s="5"/>
    </row>
    <row r="12" spans="1:3" x14ac:dyDescent="0.25">
      <c r="A12" s="3" t="s">
        <v>9</v>
      </c>
      <c r="B12" s="5"/>
      <c r="C12" s="4">
        <f>363</f>
        <v>363</v>
      </c>
    </row>
    <row r="13" spans="1:3" x14ac:dyDescent="0.25">
      <c r="A13" s="3" t="s">
        <v>10</v>
      </c>
      <c r="B13" s="4">
        <f>215873.29</f>
        <v>215873.29</v>
      </c>
      <c r="C13" s="5"/>
    </row>
    <row r="14" spans="1:3" x14ac:dyDescent="0.25">
      <c r="A14" s="3" t="s">
        <v>11</v>
      </c>
      <c r="B14" s="5"/>
      <c r="C14" s="4">
        <f>62746.91</f>
        <v>62746.91</v>
      </c>
    </row>
    <row r="15" spans="1:3" x14ac:dyDescent="0.25">
      <c r="A15" s="3" t="s">
        <v>12</v>
      </c>
      <c r="B15" s="4">
        <f>6184373.65</f>
        <v>6184373.6500000004</v>
      </c>
      <c r="C15" s="5"/>
    </row>
    <row r="16" spans="1:3" x14ac:dyDescent="0.25">
      <c r="A16" s="3" t="s">
        <v>13</v>
      </c>
      <c r="B16" s="5"/>
      <c r="C16" s="4">
        <f>6300</f>
        <v>6300</v>
      </c>
    </row>
    <row r="17" spans="1:3" x14ac:dyDescent="0.25">
      <c r="A17" s="3" t="s">
        <v>14</v>
      </c>
      <c r="B17" s="4">
        <f>10697.8</f>
        <v>10697.8</v>
      </c>
      <c r="C17" s="5"/>
    </row>
    <row r="18" spans="1:3" x14ac:dyDescent="0.25">
      <c r="A18" s="3" t="s">
        <v>15</v>
      </c>
      <c r="B18" s="4">
        <f>11805.02</f>
        <v>11805.02</v>
      </c>
      <c r="C18" s="5"/>
    </row>
    <row r="19" spans="1:3" x14ac:dyDescent="0.25">
      <c r="A19" s="3" t="s">
        <v>16</v>
      </c>
      <c r="B19" s="4">
        <f>71669.73</f>
        <v>71669.73</v>
      </c>
      <c r="C19" s="5"/>
    </row>
    <row r="20" spans="1:3" x14ac:dyDescent="0.25">
      <c r="A20" s="3" t="s">
        <v>17</v>
      </c>
      <c r="B20" s="4">
        <f>17820</f>
        <v>17820</v>
      </c>
      <c r="C20" s="5"/>
    </row>
    <row r="21" spans="1:3" x14ac:dyDescent="0.25">
      <c r="A21" s="3" t="s">
        <v>18</v>
      </c>
      <c r="B21" s="5"/>
      <c r="C21" s="4">
        <f>2139</f>
        <v>2139</v>
      </c>
    </row>
    <row r="22" spans="1:3" x14ac:dyDescent="0.25">
      <c r="A22" s="3" t="s">
        <v>19</v>
      </c>
      <c r="B22" s="4">
        <f>15195.08</f>
        <v>15195.08</v>
      </c>
      <c r="C22" s="5"/>
    </row>
    <row r="23" spans="1:3" x14ac:dyDescent="0.25">
      <c r="A23" s="3" t="s">
        <v>20</v>
      </c>
      <c r="B23" s="4">
        <f>14908.04</f>
        <v>14908.04</v>
      </c>
      <c r="C23" s="5"/>
    </row>
    <row r="24" spans="1:3" x14ac:dyDescent="0.25">
      <c r="A24" s="3" t="s">
        <v>21</v>
      </c>
      <c r="B24" s="4">
        <f>12408.82</f>
        <v>12408.82</v>
      </c>
      <c r="C24" s="5"/>
    </row>
    <row r="25" spans="1:3" x14ac:dyDescent="0.25">
      <c r="A25" s="3" t="s">
        <v>22</v>
      </c>
      <c r="B25" s="4">
        <f>10949.19</f>
        <v>10949.19</v>
      </c>
      <c r="C25" s="5"/>
    </row>
    <row r="26" spans="1:3" x14ac:dyDescent="0.25">
      <c r="A26" s="3" t="s">
        <v>23</v>
      </c>
      <c r="B26" s="5"/>
      <c r="C26" s="4">
        <f>37500</f>
        <v>37500</v>
      </c>
    </row>
    <row r="27" spans="1:3" x14ac:dyDescent="0.25">
      <c r="A27" s="3" t="s">
        <v>24</v>
      </c>
      <c r="B27" s="4">
        <f>3110.85</f>
        <v>3110.85</v>
      </c>
      <c r="C27" s="5"/>
    </row>
    <row r="28" spans="1:3" x14ac:dyDescent="0.25">
      <c r="A28" s="3" t="s">
        <v>25</v>
      </c>
      <c r="B28" s="5"/>
      <c r="C28" s="4">
        <f>574323.81</f>
        <v>574323.81000000006</v>
      </c>
    </row>
    <row r="29" spans="1:3" x14ac:dyDescent="0.25">
      <c r="A29" s="3" t="s">
        <v>26</v>
      </c>
      <c r="B29" s="4">
        <f>585329.43</f>
        <v>585329.43000000005</v>
      </c>
      <c r="C29" s="5"/>
    </row>
    <row r="30" spans="1:3" x14ac:dyDescent="0.25">
      <c r="A30" s="3" t="s">
        <v>27</v>
      </c>
      <c r="B30" s="4">
        <f>500</f>
        <v>500</v>
      </c>
      <c r="C30" s="5"/>
    </row>
    <row r="31" spans="1:3" x14ac:dyDescent="0.25">
      <c r="A31" s="3" t="s">
        <v>28</v>
      </c>
      <c r="B31" s="5"/>
      <c r="C31" s="4">
        <f>376167.84</f>
        <v>376167.84</v>
      </c>
    </row>
    <row r="32" spans="1:3" x14ac:dyDescent="0.25">
      <c r="A32" s="3" t="s">
        <v>29</v>
      </c>
      <c r="B32" s="4">
        <f>53504.88</f>
        <v>53504.88</v>
      </c>
      <c r="C32" s="5"/>
    </row>
    <row r="33" spans="1:3" x14ac:dyDescent="0.25">
      <c r="A33" s="3" t="s">
        <v>30</v>
      </c>
      <c r="B33" s="4">
        <f>146379.8</f>
        <v>146379.79999999999</v>
      </c>
      <c r="C33" s="5"/>
    </row>
    <row r="34" spans="1:3" x14ac:dyDescent="0.25">
      <c r="A34" s="3" t="s">
        <v>31</v>
      </c>
      <c r="B34" s="4">
        <f>560</f>
        <v>560</v>
      </c>
      <c r="C34" s="5"/>
    </row>
    <row r="35" spans="1:3" x14ac:dyDescent="0.25">
      <c r="A35" s="3" t="s">
        <v>32</v>
      </c>
      <c r="B35" s="5"/>
      <c r="C35" s="4">
        <f>7233.09</f>
        <v>7233.09</v>
      </c>
    </row>
    <row r="36" spans="1:3" x14ac:dyDescent="0.25">
      <c r="A36" s="3" t="s">
        <v>33</v>
      </c>
      <c r="B36" s="5"/>
      <c r="C36" s="4">
        <f>420820.07</f>
        <v>420820.07</v>
      </c>
    </row>
    <row r="37" spans="1:3" x14ac:dyDescent="0.25">
      <c r="A37" s="3" t="s">
        <v>34</v>
      </c>
      <c r="B37" s="5"/>
      <c r="C37" s="4">
        <f>0.88</f>
        <v>0.88</v>
      </c>
    </row>
    <row r="38" spans="1:3" x14ac:dyDescent="0.25">
      <c r="A38" s="3" t="s">
        <v>35</v>
      </c>
      <c r="B38" s="4">
        <f>7875</f>
        <v>7875</v>
      </c>
      <c r="C38" s="5"/>
    </row>
    <row r="39" spans="1:3" x14ac:dyDescent="0.25">
      <c r="A39" s="3" t="s">
        <v>36</v>
      </c>
      <c r="B39" s="4">
        <f>1635</f>
        <v>1635</v>
      </c>
      <c r="C39" s="5"/>
    </row>
    <row r="40" spans="1:3" x14ac:dyDescent="0.25">
      <c r="A40" s="3" t="s">
        <v>37</v>
      </c>
      <c r="B40" s="4">
        <f>72500</f>
        <v>72500</v>
      </c>
      <c r="C40" s="5"/>
    </row>
    <row r="41" spans="1:3" x14ac:dyDescent="0.25">
      <c r="A41" s="3" t="s">
        <v>38</v>
      </c>
      <c r="B41" s="5"/>
      <c r="C41" s="4">
        <f>212756.13</f>
        <v>212756.13</v>
      </c>
    </row>
    <row r="42" spans="1:3" x14ac:dyDescent="0.25">
      <c r="A42" s="3" t="s">
        <v>39</v>
      </c>
      <c r="B42" s="5"/>
      <c r="C42" s="4">
        <f>29256</f>
        <v>29256</v>
      </c>
    </row>
    <row r="43" spans="1:3" x14ac:dyDescent="0.25">
      <c r="A43" s="3" t="s">
        <v>40</v>
      </c>
      <c r="B43" s="5"/>
      <c r="C43" s="4">
        <f>53175</f>
        <v>53175</v>
      </c>
    </row>
    <row r="44" spans="1:3" x14ac:dyDescent="0.25">
      <c r="A44" s="3" t="s">
        <v>41</v>
      </c>
      <c r="B44" s="5"/>
      <c r="C44" s="4">
        <f>62996.52</f>
        <v>62996.52</v>
      </c>
    </row>
    <row r="45" spans="1:3" x14ac:dyDescent="0.25">
      <c r="A45" s="3" t="s">
        <v>42</v>
      </c>
      <c r="B45" s="4">
        <f>14435.25</f>
        <v>14435.25</v>
      </c>
      <c r="C45" s="5"/>
    </row>
    <row r="46" spans="1:3" x14ac:dyDescent="0.25">
      <c r="A46" s="3" t="s">
        <v>43</v>
      </c>
      <c r="B46" s="5"/>
      <c r="C46" s="4">
        <f>20022</f>
        <v>20022</v>
      </c>
    </row>
    <row r="47" spans="1:3" x14ac:dyDescent="0.25">
      <c r="A47" s="3" t="s">
        <v>44</v>
      </c>
      <c r="B47" s="4">
        <f>2361.7</f>
        <v>2361.6999999999998</v>
      </c>
      <c r="C47" s="5"/>
    </row>
    <row r="48" spans="1:3" x14ac:dyDescent="0.25">
      <c r="A48" s="3" t="s">
        <v>45</v>
      </c>
      <c r="B48" s="5"/>
      <c r="C48" s="4">
        <f>41734.33</f>
        <v>41734.33</v>
      </c>
    </row>
    <row r="49" spans="1:3" x14ac:dyDescent="0.25">
      <c r="A49" s="3" t="s">
        <v>46</v>
      </c>
      <c r="B49" s="4">
        <f>4175.67</f>
        <v>4175.67</v>
      </c>
      <c r="C49" s="5"/>
    </row>
    <row r="50" spans="1:3" x14ac:dyDescent="0.25">
      <c r="A50" s="3" t="s">
        <v>47</v>
      </c>
      <c r="B50" s="5"/>
      <c r="C50" s="4">
        <f>42460</f>
        <v>42460</v>
      </c>
    </row>
    <row r="51" spans="1:3" x14ac:dyDescent="0.25">
      <c r="A51" s="3" t="s">
        <v>48</v>
      </c>
      <c r="B51" s="5"/>
      <c r="C51" s="4">
        <f>0</f>
        <v>0</v>
      </c>
    </row>
    <row r="52" spans="1:3" x14ac:dyDescent="0.25">
      <c r="A52" s="3" t="s">
        <v>49</v>
      </c>
      <c r="B52" s="5"/>
      <c r="C52" s="4">
        <f>5676180.71</f>
        <v>5676180.71</v>
      </c>
    </row>
    <row r="53" spans="1:3" x14ac:dyDescent="0.25">
      <c r="A53" s="3" t="s">
        <v>50</v>
      </c>
      <c r="B53" s="5"/>
      <c r="C53" s="4">
        <f>18173.3</f>
        <v>18173.3</v>
      </c>
    </row>
    <row r="54" spans="1:3" x14ac:dyDescent="0.25">
      <c r="A54" s="3" t="s">
        <v>51</v>
      </c>
      <c r="B54" s="5"/>
      <c r="C54" s="4">
        <f>2659739.13</f>
        <v>2659739.13</v>
      </c>
    </row>
    <row r="55" spans="1:3" x14ac:dyDescent="0.25">
      <c r="A55" s="3" t="s">
        <v>52</v>
      </c>
      <c r="B55" s="5"/>
      <c r="C55" s="4">
        <f>11024.18</f>
        <v>11024.18</v>
      </c>
    </row>
    <row r="56" spans="1:3" x14ac:dyDescent="0.25">
      <c r="A56" s="3" t="s">
        <v>53</v>
      </c>
      <c r="B56" s="5"/>
      <c r="C56" s="4">
        <f>2791.69</f>
        <v>2791.69</v>
      </c>
    </row>
    <row r="57" spans="1:3" x14ac:dyDescent="0.25">
      <c r="A57" s="3" t="s">
        <v>54</v>
      </c>
      <c r="B57" s="4">
        <f>497.59</f>
        <v>497.59</v>
      </c>
      <c r="C57" s="5"/>
    </row>
    <row r="58" spans="1:3" x14ac:dyDescent="0.25">
      <c r="A58" s="3" t="s">
        <v>55</v>
      </c>
      <c r="B58" s="4">
        <f>9173.75</f>
        <v>9173.75</v>
      </c>
      <c r="C58" s="5"/>
    </row>
    <row r="59" spans="1:3" x14ac:dyDescent="0.25">
      <c r="A59" s="3" t="s">
        <v>56</v>
      </c>
      <c r="B59" s="5"/>
      <c r="C59" s="4">
        <f>300</f>
        <v>300</v>
      </c>
    </row>
    <row r="60" spans="1:3" x14ac:dyDescent="0.25">
      <c r="A60" s="3" t="s">
        <v>57</v>
      </c>
      <c r="B60" s="4">
        <f>119.28</f>
        <v>119.28</v>
      </c>
      <c r="C60" s="5"/>
    </row>
    <row r="61" spans="1:3" x14ac:dyDescent="0.25">
      <c r="A61" s="3" t="s">
        <v>58</v>
      </c>
      <c r="B61" s="4">
        <f>33390.41</f>
        <v>33390.410000000003</v>
      </c>
      <c r="C61" s="5"/>
    </row>
    <row r="62" spans="1:3" x14ac:dyDescent="0.25">
      <c r="A62" s="3" t="s">
        <v>59</v>
      </c>
      <c r="B62" s="4">
        <f>5628.48</f>
        <v>5628.48</v>
      </c>
      <c r="C62" s="5"/>
    </row>
    <row r="63" spans="1:3" x14ac:dyDescent="0.25">
      <c r="A63" s="3" t="s">
        <v>60</v>
      </c>
      <c r="B63" s="4">
        <f>3104.66</f>
        <v>3104.66</v>
      </c>
      <c r="C63" s="5"/>
    </row>
    <row r="64" spans="1:3" x14ac:dyDescent="0.25">
      <c r="A64" s="3" t="s">
        <v>61</v>
      </c>
      <c r="B64" s="4">
        <f>12179.26</f>
        <v>12179.26</v>
      </c>
      <c r="C64" s="5"/>
    </row>
    <row r="65" spans="1:3" x14ac:dyDescent="0.25">
      <c r="A65" s="3" t="s">
        <v>62</v>
      </c>
      <c r="B65" s="4">
        <f>247579.87</f>
        <v>247579.87</v>
      </c>
      <c r="C65" s="5"/>
    </row>
    <row r="66" spans="1:3" x14ac:dyDescent="0.25">
      <c r="A66" s="3" t="s">
        <v>63</v>
      </c>
      <c r="B66" s="4">
        <f>10062.25</f>
        <v>10062.25</v>
      </c>
      <c r="C66" s="5"/>
    </row>
    <row r="67" spans="1:3" x14ac:dyDescent="0.25">
      <c r="A67" s="3" t="s">
        <v>64</v>
      </c>
      <c r="B67" s="4">
        <f>162651.8</f>
        <v>162651.79999999999</v>
      </c>
      <c r="C67" s="5"/>
    </row>
    <row r="68" spans="1:3" x14ac:dyDescent="0.25">
      <c r="A68" s="3" t="s">
        <v>65</v>
      </c>
      <c r="B68" s="4">
        <f>6160</f>
        <v>6160</v>
      </c>
      <c r="C68" s="5"/>
    </row>
    <row r="69" spans="1:3" x14ac:dyDescent="0.25">
      <c r="A69" s="3" t="s">
        <v>66</v>
      </c>
      <c r="B69" s="4">
        <f>7572.72</f>
        <v>7572.72</v>
      </c>
      <c r="C69" s="5"/>
    </row>
    <row r="70" spans="1:3" x14ac:dyDescent="0.25">
      <c r="A70" s="3" t="s">
        <v>67</v>
      </c>
      <c r="B70" s="4">
        <f>3102.2</f>
        <v>3102.2</v>
      </c>
      <c r="C70" s="5"/>
    </row>
    <row r="71" spans="1:3" x14ac:dyDescent="0.25">
      <c r="A71" s="3" t="s">
        <v>68</v>
      </c>
      <c r="B71" s="4">
        <f>3825.75</f>
        <v>3825.75</v>
      </c>
      <c r="C71" s="5"/>
    </row>
    <row r="72" spans="1:3" x14ac:dyDescent="0.25">
      <c r="A72" s="3" t="s">
        <v>69</v>
      </c>
      <c r="B72" s="5"/>
      <c r="C72" s="4">
        <f>14999.13</f>
        <v>14999.13</v>
      </c>
    </row>
    <row r="73" spans="1:3" x14ac:dyDescent="0.25">
      <c r="A73" s="3" t="s">
        <v>70</v>
      </c>
      <c r="B73" s="4">
        <f>105.41</f>
        <v>105.41</v>
      </c>
      <c r="C73" s="5"/>
    </row>
    <row r="74" spans="1:3" x14ac:dyDescent="0.25">
      <c r="A74" s="3" t="s">
        <v>71</v>
      </c>
      <c r="B74" s="4">
        <f>190</f>
        <v>190</v>
      </c>
      <c r="C74" s="5"/>
    </row>
    <row r="75" spans="1:3" x14ac:dyDescent="0.25">
      <c r="A75" s="3" t="s">
        <v>72</v>
      </c>
      <c r="B75" s="4">
        <f>7113.35</f>
        <v>7113.35</v>
      </c>
      <c r="C75" s="5"/>
    </row>
    <row r="76" spans="1:3" x14ac:dyDescent="0.25">
      <c r="A76" s="3" t="s">
        <v>73</v>
      </c>
      <c r="B76" s="4">
        <f>2604.58</f>
        <v>2604.58</v>
      </c>
      <c r="C76" s="5"/>
    </row>
    <row r="77" spans="1:3" x14ac:dyDescent="0.25">
      <c r="A77" s="3" t="s">
        <v>74</v>
      </c>
      <c r="B77" s="5"/>
      <c r="C77" s="4">
        <f>25</f>
        <v>25</v>
      </c>
    </row>
    <row r="78" spans="1:3" x14ac:dyDescent="0.25">
      <c r="A78" s="3" t="s">
        <v>75</v>
      </c>
      <c r="B78" s="4">
        <f>45</f>
        <v>45</v>
      </c>
      <c r="C78" s="5"/>
    </row>
    <row r="79" spans="1:3" x14ac:dyDescent="0.25">
      <c r="A79" s="3" t="s">
        <v>76</v>
      </c>
      <c r="B79" s="4">
        <f>16261.96</f>
        <v>16261.96</v>
      </c>
      <c r="C79" s="5"/>
    </row>
    <row r="80" spans="1:3" x14ac:dyDescent="0.25">
      <c r="A80" s="3" t="s">
        <v>77</v>
      </c>
      <c r="B80" s="4">
        <f>4073.26</f>
        <v>4073.26</v>
      </c>
      <c r="C80" s="5"/>
    </row>
    <row r="81" spans="1:3" x14ac:dyDescent="0.25">
      <c r="A81" s="3" t="s">
        <v>78</v>
      </c>
      <c r="B81" s="4">
        <f>1976.7</f>
        <v>1976.7</v>
      </c>
      <c r="C81" s="5"/>
    </row>
    <row r="82" spans="1:3" x14ac:dyDescent="0.25">
      <c r="A82" s="3" t="s">
        <v>79</v>
      </c>
      <c r="B82" s="4">
        <f>82.05</f>
        <v>82.05</v>
      </c>
      <c r="C82" s="5"/>
    </row>
    <row r="83" spans="1:3" x14ac:dyDescent="0.25">
      <c r="A83" s="3" t="s">
        <v>80</v>
      </c>
      <c r="B83" s="4">
        <f>310</f>
        <v>310</v>
      </c>
      <c r="C83" s="5"/>
    </row>
    <row r="84" spans="1:3" x14ac:dyDescent="0.25">
      <c r="A84" s="3" t="s">
        <v>81</v>
      </c>
      <c r="B84" s="4">
        <f>394710.93</f>
        <v>394710.93</v>
      </c>
      <c r="C84" s="5"/>
    </row>
    <row r="85" spans="1:3" x14ac:dyDescent="0.25">
      <c r="A85" s="3" t="s">
        <v>82</v>
      </c>
      <c r="B85" s="4">
        <f>1104.75</f>
        <v>1104.75</v>
      </c>
      <c r="C85" s="5"/>
    </row>
    <row r="86" spans="1:3" x14ac:dyDescent="0.25">
      <c r="A86" s="3" t="s">
        <v>83</v>
      </c>
      <c r="B86" s="4">
        <f>1506.35</f>
        <v>1506.35</v>
      </c>
      <c r="C86" s="5"/>
    </row>
    <row r="87" spans="1:3" x14ac:dyDescent="0.25">
      <c r="A87" s="3" t="s">
        <v>84</v>
      </c>
      <c r="B87" s="4">
        <f>3178.5</f>
        <v>3178.5</v>
      </c>
      <c r="C87" s="5"/>
    </row>
    <row r="88" spans="1:3" x14ac:dyDescent="0.25">
      <c r="A88" s="3" t="s">
        <v>85</v>
      </c>
      <c r="B88" s="4">
        <f>4225.65</f>
        <v>4225.6499999999996</v>
      </c>
      <c r="C88" s="5"/>
    </row>
    <row r="89" spans="1:3" x14ac:dyDescent="0.25">
      <c r="A89" s="3" t="s">
        <v>86</v>
      </c>
      <c r="B89" s="4">
        <f>46437.37</f>
        <v>46437.37</v>
      </c>
      <c r="C89" s="5"/>
    </row>
    <row r="90" spans="1:3" x14ac:dyDescent="0.25">
      <c r="A90" s="3" t="s">
        <v>87</v>
      </c>
      <c r="B90" s="4">
        <f>492.17</f>
        <v>492.17</v>
      </c>
      <c r="C90" s="5"/>
    </row>
    <row r="91" spans="1:3" x14ac:dyDescent="0.25">
      <c r="A91" s="3" t="s">
        <v>88</v>
      </c>
      <c r="B91" s="4">
        <f>832.27</f>
        <v>832.27</v>
      </c>
      <c r="C91" s="5"/>
    </row>
    <row r="92" spans="1:3" x14ac:dyDescent="0.25">
      <c r="A92" s="3" t="s">
        <v>89</v>
      </c>
      <c r="B92" s="4">
        <f>1594.72</f>
        <v>1594.72</v>
      </c>
      <c r="C92" s="5"/>
    </row>
    <row r="93" spans="1:3" x14ac:dyDescent="0.25">
      <c r="A93" s="3" t="s">
        <v>90</v>
      </c>
      <c r="B93" s="4">
        <f>1072.72</f>
        <v>1072.72</v>
      </c>
      <c r="C93" s="5"/>
    </row>
    <row r="94" spans="1:3" x14ac:dyDescent="0.25">
      <c r="A94" s="3" t="s">
        <v>91</v>
      </c>
      <c r="B94" s="4">
        <f>3067.6</f>
        <v>3067.6</v>
      </c>
      <c r="C94" s="5"/>
    </row>
    <row r="95" spans="1:3" x14ac:dyDescent="0.25">
      <c r="A95" s="3" t="s">
        <v>92</v>
      </c>
      <c r="B95" s="4">
        <f>573.94</f>
        <v>573.94000000000005</v>
      </c>
      <c r="C95" s="5"/>
    </row>
    <row r="96" spans="1:3" x14ac:dyDescent="0.25">
      <c r="A96" s="3" t="s">
        <v>93</v>
      </c>
      <c r="B96" s="4">
        <f>1635.63</f>
        <v>1635.63</v>
      </c>
      <c r="C96" s="5"/>
    </row>
    <row r="97" spans="1:3" x14ac:dyDescent="0.25">
      <c r="A97" s="3" t="s">
        <v>94</v>
      </c>
      <c r="B97" s="4">
        <f>5622.73</f>
        <v>5622.73</v>
      </c>
      <c r="C97" s="5"/>
    </row>
    <row r="98" spans="1:3" x14ac:dyDescent="0.25">
      <c r="A98" s="3" t="s">
        <v>95</v>
      </c>
      <c r="B98" s="4">
        <f>101.64</f>
        <v>101.64</v>
      </c>
      <c r="C98" s="5"/>
    </row>
    <row r="99" spans="1:3" x14ac:dyDescent="0.25">
      <c r="A99" s="3" t="s">
        <v>96</v>
      </c>
      <c r="B99" s="4">
        <f>179.9</f>
        <v>179.9</v>
      </c>
      <c r="C99" s="5"/>
    </row>
    <row r="100" spans="1:3" x14ac:dyDescent="0.25">
      <c r="A100" s="3" t="s">
        <v>97</v>
      </c>
      <c r="B100" s="4">
        <f>267.18</f>
        <v>267.18</v>
      </c>
      <c r="C100" s="5"/>
    </row>
    <row r="101" spans="1:3" x14ac:dyDescent="0.25">
      <c r="A101" s="3" t="s">
        <v>98</v>
      </c>
      <c r="B101" s="4">
        <f>98.63</f>
        <v>98.63</v>
      </c>
      <c r="C101" s="5"/>
    </row>
    <row r="102" spans="1:3" x14ac:dyDescent="0.25">
      <c r="A102" s="3" t="s">
        <v>99</v>
      </c>
      <c r="B102" s="4">
        <f>26.36</f>
        <v>26.36</v>
      </c>
      <c r="C102" s="5"/>
    </row>
    <row r="103" spans="1:3" x14ac:dyDescent="0.25">
      <c r="A103" s="3" t="s">
        <v>100</v>
      </c>
      <c r="B103" s="4">
        <f>501.74</f>
        <v>501.74</v>
      </c>
      <c r="C103" s="5"/>
    </row>
    <row r="104" spans="1:3" x14ac:dyDescent="0.25">
      <c r="A104" s="3" t="s">
        <v>101</v>
      </c>
      <c r="B104" s="4">
        <f>710.52</f>
        <v>710.52</v>
      </c>
      <c r="C104" s="5"/>
    </row>
    <row r="105" spans="1:3" x14ac:dyDescent="0.25">
      <c r="A105" s="3" t="s">
        <v>102</v>
      </c>
      <c r="B105" s="4">
        <f>9052.03</f>
        <v>9052.0300000000007</v>
      </c>
      <c r="C105" s="5"/>
    </row>
    <row r="106" spans="1:3" x14ac:dyDescent="0.25">
      <c r="A106" s="3" t="s">
        <v>103</v>
      </c>
      <c r="B106" s="4">
        <f>3049.76</f>
        <v>3049.76</v>
      </c>
      <c r="C106" s="5"/>
    </row>
    <row r="107" spans="1:3" x14ac:dyDescent="0.25">
      <c r="A107" s="3" t="s">
        <v>104</v>
      </c>
      <c r="B107" s="4">
        <f>41088.34</f>
        <v>41088.339999999997</v>
      </c>
      <c r="C107" s="5"/>
    </row>
    <row r="108" spans="1:3" x14ac:dyDescent="0.25">
      <c r="A108" s="3" t="s">
        <v>105</v>
      </c>
      <c r="B108" s="4">
        <f>373530.36</f>
        <v>373530.36</v>
      </c>
      <c r="C108" s="5"/>
    </row>
    <row r="109" spans="1:3" x14ac:dyDescent="0.25">
      <c r="A109" s="3" t="s">
        <v>106</v>
      </c>
      <c r="B109" s="4">
        <f>1268.39</f>
        <v>1268.3900000000001</v>
      </c>
      <c r="C109" s="5"/>
    </row>
    <row r="110" spans="1:3" x14ac:dyDescent="0.25">
      <c r="A110" s="3" t="s">
        <v>107</v>
      </c>
      <c r="B110" s="4">
        <f>5826.52</f>
        <v>5826.52</v>
      </c>
      <c r="C110" s="5"/>
    </row>
    <row r="111" spans="1:3" x14ac:dyDescent="0.25">
      <c r="A111" s="3" t="s">
        <v>108</v>
      </c>
      <c r="B111" s="4">
        <f>1259.6</f>
        <v>1259.5999999999999</v>
      </c>
      <c r="C111" s="5"/>
    </row>
    <row r="112" spans="1:3" x14ac:dyDescent="0.25">
      <c r="A112" s="3" t="s">
        <v>109</v>
      </c>
      <c r="B112" s="4">
        <f>58692.69</f>
        <v>58692.69</v>
      </c>
      <c r="C112" s="5"/>
    </row>
    <row r="113" spans="1:3" x14ac:dyDescent="0.25">
      <c r="A113" s="3" t="s">
        <v>110</v>
      </c>
      <c r="B113" s="4">
        <f>6179.15</f>
        <v>6179.15</v>
      </c>
      <c r="C113" s="5"/>
    </row>
    <row r="114" spans="1:3" x14ac:dyDescent="0.25">
      <c r="A114" s="3" t="s">
        <v>111</v>
      </c>
      <c r="B114" s="4">
        <f>19820.58</f>
        <v>19820.580000000002</v>
      </c>
      <c r="C114" s="5"/>
    </row>
    <row r="115" spans="1:3" x14ac:dyDescent="0.25">
      <c r="A115" s="3" t="s">
        <v>112</v>
      </c>
      <c r="B115" s="4">
        <f>931.35</f>
        <v>931.35</v>
      </c>
      <c r="C115" s="5"/>
    </row>
    <row r="116" spans="1:3" x14ac:dyDescent="0.25">
      <c r="A116" s="3" t="s">
        <v>113</v>
      </c>
      <c r="B116" s="4">
        <f>79963</f>
        <v>79963</v>
      </c>
      <c r="C116" s="5"/>
    </row>
    <row r="117" spans="1:3" x14ac:dyDescent="0.25">
      <c r="A117" s="3" t="s">
        <v>114</v>
      </c>
      <c r="B117" s="4">
        <f>1963.55</f>
        <v>1963.55</v>
      </c>
      <c r="C117" s="5"/>
    </row>
    <row r="118" spans="1:3" x14ac:dyDescent="0.25">
      <c r="A118" s="3" t="s">
        <v>115</v>
      </c>
      <c r="B118" s="4">
        <f>759.85</f>
        <v>759.85</v>
      </c>
      <c r="C118" s="5"/>
    </row>
    <row r="119" spans="1:3" x14ac:dyDescent="0.25">
      <c r="A119" s="3" t="s">
        <v>116</v>
      </c>
      <c r="B119" s="4">
        <f>14138.92</f>
        <v>14138.92</v>
      </c>
      <c r="C119" s="5"/>
    </row>
    <row r="120" spans="1:3" x14ac:dyDescent="0.25">
      <c r="A120" s="3" t="s">
        <v>117</v>
      </c>
      <c r="B120" s="4">
        <f>2538.91</f>
        <v>2538.91</v>
      </c>
      <c r="C120" s="5"/>
    </row>
    <row r="121" spans="1:3" x14ac:dyDescent="0.25">
      <c r="A121" s="3" t="s">
        <v>118</v>
      </c>
      <c r="B121" s="4">
        <f>5467.51</f>
        <v>5467.51</v>
      </c>
      <c r="C121" s="5"/>
    </row>
    <row r="122" spans="1:3" x14ac:dyDescent="0.25">
      <c r="A122" s="3" t="s">
        <v>119</v>
      </c>
      <c r="B122" s="4">
        <f>3831.62</f>
        <v>3831.62</v>
      </c>
      <c r="C122" s="5"/>
    </row>
    <row r="123" spans="1:3" x14ac:dyDescent="0.25">
      <c r="A123" s="3" t="s">
        <v>120</v>
      </c>
      <c r="B123" s="6">
        <f>(((((((((((((((((((((((((((((((((((((((((((((((((((((((((((((((((((((((((((((((((((((((((((((((((((((((((((((((((((((B5)+(B6))+(B7)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)+(B84))+(B85))+(B86))+(B87))+(B88))+(B89))+(B90))+(B91))+(B92))+(B93))+(B94))+(B95))+(B96))+(B97))+(B98))+(B99))+(B100))+(B101))+(B102))+(B103))+(B104))+(B105))+(B106))+(B107))+(B108))+(B109))+(B110))+(B111))+(B112))+(B113))+(B114))+(B115))+(B116))+(B117))+(B118))+(B119))+(B120))+(B121))+(B122)</f>
        <v>10333227.719999999</v>
      </c>
      <c r="C123" s="6">
        <f>(((((((((((((((((((((((((((((((((((((((((((((((((((((((((((((((((((((((((((((((((((((((((((((((((((((((((((((((((((((C5)+(C6))+(C7))+(C8))+(C9))+(C10))+(C11))+(C12))+(C13))+(C14))+(C15))+(C16))+(C17))+(C18))+(C19))+(C20))+(C21))+(C22))+(C23))+(C24))+(C25))+(C26))+(C27))+(C28))+(C29))+(C30))+(C31))+(C32))+(C33))+(C34))+(C35))+(C36))+(C37))+(C38))+(C39))+(C40))+(C41))+(C42))+(C43))+(C44))+(C45))+(C46))+(C47))+(C48))+(C49))+(C50))+(C51))+(C52))+(C53))+(C54))+(C55))+(C56))+(C57))+(C58))+(C59))+(C60))+(C61))+(C62))+(C63))+(C64))+(C65))+(C66))+(C67))+(C68))+(C69))+(C70))+(C71))+(C72))+(C73))+(C74))+(C75))+(C76))+(C77))+(C78))+(C79))+(C80))+(C81))+(C82))+(C83))+(C84))+(C85))+(C86))+(C87))+(C88))+(C89))+(C90))+(C91))+(C92))+(C93))+(C94))+(C95))+(C96))+(C97))+(C98))+(C99))+(C100))+(C101))+(C102))+(C103))+(C104))+(C105))+(C106))+(C107))+(C108))+(C109))+(C110))+(C111))+(C112))+(C113))+(C114))+(C115))+(C116))+(C117))+(C118))+(C119))+(C120))+(C121))+(C122)</f>
        <v>10333227.719999999</v>
      </c>
    </row>
    <row r="124" spans="1:3" x14ac:dyDescent="0.25">
      <c r="A124" s="3"/>
      <c r="B124" s="5"/>
      <c r="C124" s="5"/>
    </row>
    <row r="127" spans="1:3" x14ac:dyDescent="0.25">
      <c r="A127" s="7" t="s">
        <v>121</v>
      </c>
      <c r="B127" s="7"/>
      <c r="C127" s="7"/>
    </row>
  </sheetData>
  <mergeCells count="4">
    <mergeCell ref="A127:C127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2025-05-05T03:35:48Z</dcterms:created>
  <dcterms:modified xsi:type="dcterms:W3CDTF">2025-07-26T10:37:09Z</dcterms:modified>
</cp:coreProperties>
</file>