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filterPrivacy="1" codeName="ThisWorkbook" defaultThemeVersion="124226"/>
  <bookViews>
    <workbookView xWindow="-660" yWindow="1820" windowWidth="19330" windowHeight="8930"/>
  </bookViews>
  <sheets>
    <sheet name="Rake Loading Time" sheetId="1" r:id="rId1"/>
    <sheet name="Monthly Rake Average" sheetId="5" r:id="rId2"/>
    <sheet name="MINES PLANT BSP CBT-ACT 20-21" sheetId="11" r:id="rId3"/>
    <sheet name="PLANT CBT-ACT 19-20" sheetId="10" r:id="rId4"/>
    <sheet name="mines-cbt vs act19-20" sheetId="9" r:id="rId5"/>
    <sheet name="Plantwise Avg Rake- Incl Flux" sheetId="8" r:id="rId6"/>
    <sheet name="mines-cbt vs act18-19" sheetId="7" r:id="rId7"/>
    <sheet name="Plants_Rake_Ldg_wrt_CBT" sheetId="4" r:id="rId8"/>
    <sheet name="Mines_Rakes_Monthwise" sheetId="6" r:id="rId9"/>
    <sheet name="Sheet2" sheetId="2" r:id="rId10"/>
    <sheet name="Sheet3" sheetId="3" r:id="rId11"/>
  </sheets>
  <externalReferences>
    <externalReference r:id="rId12"/>
  </externalReferences>
  <definedNames>
    <definedName name="mines" localSheetId="4">#REF!</definedName>
    <definedName name="mine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2" l="1"/>
  <c r="E48" i="2"/>
  <c r="F48" i="2"/>
  <c r="G48" i="2"/>
  <c r="H48" i="2"/>
  <c r="I48" i="2"/>
  <c r="J48" i="2"/>
  <c r="K48" i="2"/>
  <c r="L48" i="2"/>
  <c r="O48" i="2"/>
  <c r="C48" i="2"/>
  <c r="O45" i="2"/>
  <c r="O46" i="2"/>
  <c r="O47" i="2"/>
  <c r="P33" i="2"/>
  <c r="P34" i="2"/>
  <c r="P35" i="2"/>
  <c r="P36" i="2"/>
  <c r="P37" i="2"/>
  <c r="P27" i="2"/>
  <c r="P28" i="2"/>
  <c r="P29" i="2"/>
  <c r="P30" i="2"/>
  <c r="P31" i="2"/>
  <c r="P32" i="2"/>
  <c r="P26" i="2"/>
  <c r="O44" i="2" l="1"/>
  <c r="L44" i="2"/>
  <c r="K44" i="2"/>
  <c r="I44" i="2"/>
  <c r="G44" i="2"/>
  <c r="F44" i="2"/>
  <c r="D44" i="2"/>
  <c r="E44" i="2"/>
  <c r="H44" i="2"/>
  <c r="J44" i="2"/>
  <c r="C44" i="2"/>
  <c r="L42" i="2"/>
  <c r="K42" i="2"/>
  <c r="I42" i="2"/>
  <c r="G42" i="2"/>
  <c r="F42" i="2"/>
  <c r="D42" i="2"/>
  <c r="E42" i="2"/>
  <c r="H42" i="2"/>
  <c r="J42" i="2"/>
  <c r="C42" i="2"/>
  <c r="L37" i="2"/>
  <c r="O34" i="2" l="1"/>
  <c r="C37" i="2"/>
  <c r="O37" i="2"/>
  <c r="D37" i="2"/>
  <c r="E37" i="2"/>
  <c r="F37" i="2"/>
  <c r="G37" i="2"/>
  <c r="H37" i="2"/>
  <c r="I37" i="2"/>
  <c r="J37" i="2"/>
  <c r="K37" i="2"/>
  <c r="AC130" i="11" l="1"/>
  <c r="G130" i="11"/>
  <c r="I130" i="11"/>
  <c r="K130" i="11"/>
  <c r="M130" i="11"/>
  <c r="O130" i="11"/>
  <c r="Q130" i="11"/>
  <c r="S130" i="11"/>
  <c r="U130" i="11"/>
  <c r="W130" i="11"/>
  <c r="Y130" i="11"/>
  <c r="AA130" i="11"/>
  <c r="E130" i="11"/>
  <c r="I131" i="11" l="1"/>
  <c r="K131" i="11"/>
  <c r="Q131" i="11"/>
  <c r="S131" i="11"/>
  <c r="W131" i="11"/>
  <c r="Y131" i="11"/>
  <c r="AA131" i="11"/>
  <c r="M131" i="11"/>
  <c r="O131" i="11"/>
  <c r="G131" i="11"/>
  <c r="U131" i="11"/>
  <c r="AC110" i="11"/>
  <c r="AA110" i="11"/>
  <c r="Y110" i="11"/>
  <c r="W110" i="11"/>
  <c r="U110" i="11"/>
  <c r="S110" i="11"/>
  <c r="Q110" i="11"/>
  <c r="O110" i="11"/>
  <c r="M110" i="11"/>
  <c r="K110" i="11"/>
  <c r="I110" i="11"/>
  <c r="G110" i="11"/>
  <c r="E110" i="11"/>
  <c r="AC131" i="11" l="1"/>
  <c r="E131" i="11"/>
  <c r="AF105" i="11"/>
  <c r="AG105" i="11"/>
  <c r="Z106" i="11"/>
  <c r="Z102" i="11"/>
  <c r="Z98" i="11"/>
  <c r="Z94" i="11"/>
  <c r="Z90" i="11"/>
  <c r="Z86" i="11"/>
  <c r="Z82" i="11"/>
  <c r="Z78" i="11"/>
  <c r="Z74" i="11"/>
  <c r="Z73" i="11"/>
  <c r="Z105" i="11" s="1"/>
  <c r="AF106" i="11" l="1"/>
  <c r="AF102" i="11"/>
  <c r="AF98" i="11"/>
  <c r="AF94" i="11"/>
  <c r="AF90" i="11"/>
  <c r="AF86" i="11"/>
  <c r="AF82" i="11"/>
  <c r="AF78" i="11"/>
  <c r="AF43" i="9"/>
  <c r="AF39" i="9"/>
  <c r="AF27" i="9"/>
  <c r="AF23" i="9"/>
  <c r="AF19" i="9"/>
  <c r="AF15" i="9"/>
  <c r="AF11" i="9"/>
  <c r="AF74" i="11"/>
  <c r="AE105" i="11"/>
  <c r="AE106" i="11" s="1"/>
  <c r="AD105" i="11"/>
  <c r="AD106" i="11" s="1"/>
  <c r="AF101" i="11"/>
  <c r="AE101" i="11"/>
  <c r="AE102" i="11" s="1"/>
  <c r="AD101" i="11"/>
  <c r="AD102" i="11" s="1"/>
  <c r="AF97" i="11"/>
  <c r="AE97" i="11"/>
  <c r="AE98" i="11" s="1"/>
  <c r="AD97" i="11"/>
  <c r="AD98" i="11" s="1"/>
  <c r="AF93" i="11"/>
  <c r="AE93" i="11"/>
  <c r="AE94" i="11" s="1"/>
  <c r="AD93" i="11"/>
  <c r="AD94" i="11" s="1"/>
  <c r="AF89" i="11"/>
  <c r="AE89" i="11"/>
  <c r="AE90" i="11" s="1"/>
  <c r="AD89" i="11"/>
  <c r="AD90" i="11" s="1"/>
  <c r="AF85" i="11"/>
  <c r="AE85" i="11"/>
  <c r="AE86" i="11" s="1"/>
  <c r="AD85" i="11"/>
  <c r="AD86" i="11" s="1"/>
  <c r="AF81" i="11"/>
  <c r="AE81" i="11"/>
  <c r="AE82" i="11" s="1"/>
  <c r="AD81" i="11"/>
  <c r="AD82" i="11" s="1"/>
  <c r="AF77" i="11"/>
  <c r="AE77" i="11"/>
  <c r="AE78" i="11" s="1"/>
  <c r="AD77" i="11"/>
  <c r="AD78" i="11" s="1"/>
  <c r="AF73" i="11"/>
  <c r="AE73" i="11"/>
  <c r="AE74" i="11" s="1"/>
  <c r="AD73" i="11"/>
  <c r="AD74" i="11" s="1"/>
  <c r="Y109" i="11"/>
  <c r="Y108" i="11"/>
  <c r="W108" i="11"/>
  <c r="U108" i="11"/>
  <c r="S108" i="11"/>
  <c r="Q108" i="11"/>
  <c r="O108" i="11"/>
  <c r="M108" i="11"/>
  <c r="K108" i="11"/>
  <c r="I108" i="11"/>
  <c r="G108" i="11"/>
  <c r="E108" i="11"/>
  <c r="Y46" i="9"/>
  <c r="AG38" i="9"/>
  <c r="AG39" i="9" s="1"/>
  <c r="AF38" i="9"/>
  <c r="AE38" i="9"/>
  <c r="AE39" i="9" s="1"/>
  <c r="AD38" i="9"/>
  <c r="AD39" i="9" s="1"/>
  <c r="AG42" i="9"/>
  <c r="AG43" i="9" s="1"/>
  <c r="AF42" i="9"/>
  <c r="AE42" i="9"/>
  <c r="AE43" i="9" s="1"/>
  <c r="AD42" i="9"/>
  <c r="AD43" i="9" s="1"/>
  <c r="AG34" i="9"/>
  <c r="AG35" i="9" s="1"/>
  <c r="AF34" i="9"/>
  <c r="AF35" i="9" s="1"/>
  <c r="AE34" i="9"/>
  <c r="AE35" i="9" s="1"/>
  <c r="AD34" i="9"/>
  <c r="AD35" i="9" s="1"/>
  <c r="AG30" i="9"/>
  <c r="AG31" i="9" s="1"/>
  <c r="AF30" i="9"/>
  <c r="AF31" i="9" s="1"/>
  <c r="AE30" i="9"/>
  <c r="AE31" i="9" s="1"/>
  <c r="AD30" i="9"/>
  <c r="AD31" i="9" s="1"/>
  <c r="AG26" i="9"/>
  <c r="AG27" i="9" s="1"/>
  <c r="AF26" i="9"/>
  <c r="AE26" i="9"/>
  <c r="AE27" i="9" s="1"/>
  <c r="AD26" i="9"/>
  <c r="AD27" i="9" s="1"/>
  <c r="AG22" i="9"/>
  <c r="AG23" i="9" s="1"/>
  <c r="AF22" i="9"/>
  <c r="AE22" i="9"/>
  <c r="AE23" i="9" s="1"/>
  <c r="AD22" i="9"/>
  <c r="AD23" i="9" s="1"/>
  <c r="AG18" i="9"/>
  <c r="AG19" i="9" s="1"/>
  <c r="AF18" i="9"/>
  <c r="AE18" i="9"/>
  <c r="AE19" i="9" s="1"/>
  <c r="AD18" i="9"/>
  <c r="AD19" i="9" s="1"/>
  <c r="AG14" i="9"/>
  <c r="AG15" i="9" s="1"/>
  <c r="AF14" i="9"/>
  <c r="AE14" i="9"/>
  <c r="AE15" i="9" s="1"/>
  <c r="AD14" i="9"/>
  <c r="AD15" i="9" s="1"/>
  <c r="AE11" i="9"/>
  <c r="AG11" i="9"/>
  <c r="AD11" i="9"/>
  <c r="AG10" i="9"/>
  <c r="AF10" i="9"/>
  <c r="AE10" i="9"/>
  <c r="AD10" i="9"/>
  <c r="AC45" i="9"/>
  <c r="AA45" i="9"/>
  <c r="Y45" i="9"/>
  <c r="W45" i="9"/>
  <c r="U45" i="9"/>
  <c r="S45" i="9"/>
  <c r="Q45" i="9"/>
  <c r="O45" i="9"/>
  <c r="M45" i="9"/>
  <c r="K45" i="9"/>
  <c r="I45" i="9"/>
  <c r="G45" i="9"/>
  <c r="E45" i="9"/>
  <c r="AB43" i="9"/>
  <c r="AB39" i="9"/>
  <c r="AB35" i="9"/>
  <c r="AB31" i="9"/>
  <c r="AB27" i="9"/>
  <c r="AB23" i="9"/>
  <c r="AB19" i="9"/>
  <c r="U43" i="9"/>
  <c r="U39" i="9"/>
  <c r="U35" i="9"/>
  <c r="U31" i="9"/>
  <c r="U27" i="9"/>
  <c r="S43" i="9"/>
  <c r="S39" i="9"/>
  <c r="S35" i="9"/>
  <c r="S31" i="9"/>
  <c r="Q43" i="9"/>
  <c r="Q39" i="9"/>
  <c r="Q35" i="9"/>
  <c r="Q31" i="9"/>
  <c r="Q27" i="9"/>
  <c r="O43" i="9"/>
  <c r="O39" i="9"/>
  <c r="O35" i="9"/>
  <c r="O31" i="9"/>
  <c r="M43" i="9"/>
  <c r="M39" i="9"/>
  <c r="M35" i="9"/>
  <c r="M31" i="9"/>
  <c r="K43" i="9"/>
  <c r="K39" i="9"/>
  <c r="K35" i="9"/>
  <c r="K31" i="9"/>
  <c r="K27" i="9"/>
  <c r="I43" i="9"/>
  <c r="I39" i="9"/>
  <c r="I35" i="9"/>
  <c r="I31" i="9"/>
  <c r="G43" i="9"/>
  <c r="G39" i="9"/>
  <c r="G35" i="9"/>
  <c r="G31" i="9"/>
  <c r="G27" i="9"/>
  <c r="E31" i="9"/>
  <c r="E11" i="9"/>
  <c r="E23" i="9"/>
  <c r="Y73" i="11" l="1"/>
  <c r="Y105" i="11" s="1"/>
  <c r="Y106" i="11" s="1"/>
  <c r="Y74" i="11"/>
  <c r="Y77" i="11"/>
  <c r="Y78" i="11"/>
  <c r="Y81" i="11"/>
  <c r="Y82" i="11"/>
  <c r="Y85" i="11"/>
  <c r="Y86" i="11"/>
  <c r="Y89" i="11"/>
  <c r="Y90" i="11"/>
  <c r="Y93" i="11"/>
  <c r="Y94" i="11"/>
  <c r="Y97" i="11"/>
  <c r="Y98" i="11"/>
  <c r="Y101" i="11"/>
  <c r="Y102" i="11"/>
  <c r="Y103" i="11"/>
  <c r="Y104" i="11"/>
  <c r="Y125" i="11"/>
  <c r="Y127" i="11" s="1"/>
  <c r="Y126" i="11"/>
  <c r="X106" i="11"/>
  <c r="X102" i="11"/>
  <c r="X98" i="11"/>
  <c r="X94" i="11"/>
  <c r="X90" i="11"/>
  <c r="X86" i="11"/>
  <c r="X82" i="11"/>
  <c r="X78" i="11"/>
  <c r="X74" i="11"/>
  <c r="X73" i="11"/>
  <c r="X105" i="11" s="1"/>
  <c r="Q105" i="11" l="1"/>
  <c r="Q104" i="11"/>
  <c r="Q103" i="11"/>
  <c r="Q126" i="11"/>
  <c r="Q125" i="11"/>
  <c r="AA126" i="11"/>
  <c r="AA125" i="11"/>
  <c r="W126" i="11"/>
  <c r="W125" i="11"/>
  <c r="W127" i="11" s="1"/>
  <c r="V127" i="11"/>
  <c r="W106" i="11"/>
  <c r="W102" i="11"/>
  <c r="W98" i="11"/>
  <c r="W94" i="11"/>
  <c r="W90" i="11"/>
  <c r="W86" i="11"/>
  <c r="W82" i="11"/>
  <c r="W78" i="11"/>
  <c r="W74" i="11"/>
  <c r="V102" i="11"/>
  <c r="V98" i="11"/>
  <c r="V82" i="11"/>
  <c r="V94" i="11"/>
  <c r="V90" i="11"/>
  <c r="V86" i="11"/>
  <c r="V78" i="11"/>
  <c r="V74" i="11"/>
  <c r="V73" i="11"/>
  <c r="V105" i="11" s="1"/>
  <c r="V106" i="11" s="1"/>
  <c r="AA127" i="11" l="1"/>
  <c r="Q127" i="11"/>
  <c r="AC124" i="11"/>
  <c r="AC123" i="11"/>
  <c r="AC122" i="11"/>
  <c r="AC121" i="11"/>
  <c r="AC120" i="11"/>
  <c r="AC119" i="11"/>
  <c r="AC118" i="11"/>
  <c r="AC117" i="11"/>
  <c r="AC116" i="11"/>
  <c r="AC115" i="11"/>
  <c r="AC114" i="11"/>
  <c r="AC113" i="11"/>
  <c r="T127" i="11"/>
  <c r="U126" i="11"/>
  <c r="U125" i="11"/>
  <c r="U106" i="11"/>
  <c r="U102" i="11"/>
  <c r="U98" i="11"/>
  <c r="U94" i="11"/>
  <c r="U90" i="11"/>
  <c r="U86" i="11"/>
  <c r="U82" i="11"/>
  <c r="U78" i="11"/>
  <c r="U74" i="11"/>
  <c r="T105" i="11"/>
  <c r="T106" i="11" s="1"/>
  <c r="T102" i="11"/>
  <c r="T98" i="11"/>
  <c r="T94" i="11"/>
  <c r="T90" i="11"/>
  <c r="T86" i="11"/>
  <c r="T82" i="11"/>
  <c r="T78" i="11"/>
  <c r="T74" i="11"/>
  <c r="T73" i="11"/>
  <c r="J41" i="11"/>
  <c r="U127" i="11" l="1"/>
  <c r="AH64" i="5"/>
  <c r="J37" i="11" l="1"/>
  <c r="J35" i="11"/>
  <c r="L35" i="11" s="1"/>
  <c r="S126" i="11"/>
  <c r="R127" i="11" l="1"/>
  <c r="P127" i="11"/>
  <c r="R106" i="11"/>
  <c r="R102" i="11"/>
  <c r="R98" i="11"/>
  <c r="R94" i="11"/>
  <c r="R90" i="11"/>
  <c r="R86" i="11"/>
  <c r="R82" i="11"/>
  <c r="R78" i="11"/>
  <c r="R74" i="11"/>
  <c r="L106" i="11" l="1"/>
  <c r="L102" i="11"/>
  <c r="L98" i="11"/>
  <c r="L94" i="11"/>
  <c r="L90" i="11"/>
  <c r="L86" i="11"/>
  <c r="L82" i="11"/>
  <c r="L78" i="11"/>
  <c r="L74" i="11"/>
  <c r="N106" i="11"/>
  <c r="N102" i="11"/>
  <c r="N98" i="11"/>
  <c r="N94" i="11"/>
  <c r="N90" i="11"/>
  <c r="N86" i="11"/>
  <c r="N82" i="11"/>
  <c r="N78" i="11"/>
  <c r="N74" i="11"/>
  <c r="P106" i="11"/>
  <c r="P102" i="11"/>
  <c r="P98" i="11"/>
  <c r="P94" i="11"/>
  <c r="P90" i="11"/>
  <c r="P86" i="11"/>
  <c r="P82" i="11"/>
  <c r="P78" i="11"/>
  <c r="P74" i="11"/>
  <c r="P105" i="11"/>
  <c r="P73" i="11"/>
  <c r="N73" i="11"/>
  <c r="N105" i="11" s="1"/>
  <c r="L105" i="11"/>
  <c r="L73" i="11"/>
  <c r="J105" i="11"/>
  <c r="J106" i="11" s="1"/>
  <c r="J102" i="11"/>
  <c r="J98" i="11"/>
  <c r="J94" i="11"/>
  <c r="J90" i="11"/>
  <c r="J86" i="11"/>
  <c r="J82" i="11"/>
  <c r="J78" i="11"/>
  <c r="J74" i="11"/>
  <c r="J73" i="11"/>
  <c r="Q106" i="11"/>
  <c r="Q102" i="11"/>
  <c r="Q98" i="11"/>
  <c r="Q94" i="11"/>
  <c r="Q90" i="11"/>
  <c r="Q86" i="11"/>
  <c r="Q82" i="11"/>
  <c r="Q78" i="11"/>
  <c r="Q74" i="11"/>
  <c r="AA94" i="5" l="1"/>
  <c r="J33" i="11" l="1"/>
  <c r="J13" i="11"/>
  <c r="J17" i="11"/>
  <c r="J21" i="11"/>
  <c r="J25" i="11"/>
  <c r="J29" i="11"/>
  <c r="J31" i="11"/>
  <c r="J27" i="11"/>
  <c r="J23" i="11"/>
  <c r="J19" i="11"/>
  <c r="J15" i="11"/>
  <c r="J11" i="11"/>
  <c r="J9" i="11"/>
  <c r="J7" i="11"/>
  <c r="I57" i="11"/>
  <c r="I73" i="11"/>
  <c r="K73" i="11"/>
  <c r="M73" i="11"/>
  <c r="O73" i="11"/>
  <c r="O74" i="11" s="1"/>
  <c r="Q73" i="11"/>
  <c r="R73" i="11"/>
  <c r="S73" i="11"/>
  <c r="S74" i="11" s="1"/>
  <c r="I74" i="11"/>
  <c r="K74" i="11"/>
  <c r="M74" i="11"/>
  <c r="I77" i="11"/>
  <c r="K77" i="11"/>
  <c r="K78" i="11" s="1"/>
  <c r="M77" i="11"/>
  <c r="M78" i="11" s="1"/>
  <c r="O77" i="11"/>
  <c r="Q77" i="11"/>
  <c r="S77" i="11"/>
  <c r="S78" i="11" s="1"/>
  <c r="I78" i="11"/>
  <c r="O78" i="11"/>
  <c r="I81" i="11"/>
  <c r="I82" i="11" s="1"/>
  <c r="K81" i="11"/>
  <c r="K82" i="11" s="1"/>
  <c r="M81" i="11"/>
  <c r="M82" i="11" s="1"/>
  <c r="O81" i="11"/>
  <c r="Q81" i="11"/>
  <c r="S81" i="11"/>
  <c r="S82" i="11" s="1"/>
  <c r="O82" i="11"/>
  <c r="I85" i="11"/>
  <c r="I86" i="11" s="1"/>
  <c r="K85" i="11"/>
  <c r="M85" i="11"/>
  <c r="O85" i="11"/>
  <c r="O86" i="11" s="1"/>
  <c r="Q85" i="11"/>
  <c r="S85" i="11"/>
  <c r="S86" i="11" s="1"/>
  <c r="K86" i="11"/>
  <c r="M86" i="11"/>
  <c r="I89" i="11"/>
  <c r="I90" i="11" s="1"/>
  <c r="K89" i="11"/>
  <c r="K90" i="11" s="1"/>
  <c r="M89" i="11"/>
  <c r="M90" i="11" s="1"/>
  <c r="O89" i="11"/>
  <c r="O90" i="11" s="1"/>
  <c r="Q89" i="11"/>
  <c r="S89" i="11"/>
  <c r="S90" i="11" s="1"/>
  <c r="I93" i="11"/>
  <c r="K93" i="11"/>
  <c r="K94" i="11" s="1"/>
  <c r="M93" i="11"/>
  <c r="O93" i="11"/>
  <c r="Q93" i="11"/>
  <c r="S93" i="11"/>
  <c r="S94" i="11" s="1"/>
  <c r="I94" i="11"/>
  <c r="M94" i="11"/>
  <c r="O94" i="11"/>
  <c r="I97" i="11"/>
  <c r="I98" i="11" s="1"/>
  <c r="K97" i="11"/>
  <c r="K98" i="11" s="1"/>
  <c r="M97" i="11"/>
  <c r="M98" i="11" s="1"/>
  <c r="O97" i="11"/>
  <c r="Q97" i="11"/>
  <c r="S97" i="11"/>
  <c r="S98" i="11" s="1"/>
  <c r="O98" i="11"/>
  <c r="I101" i="11"/>
  <c r="I102" i="11" s="1"/>
  <c r="K101" i="11"/>
  <c r="M101" i="11"/>
  <c r="M102" i="11" s="1"/>
  <c r="O101" i="11"/>
  <c r="Q101" i="11"/>
  <c r="S101" i="11"/>
  <c r="S102" i="11" s="1"/>
  <c r="K102" i="11"/>
  <c r="O102" i="11"/>
  <c r="I103" i="11"/>
  <c r="K103" i="11"/>
  <c r="M103" i="11"/>
  <c r="M105" i="11" s="1"/>
  <c r="M106" i="11" s="1"/>
  <c r="O103" i="11"/>
  <c r="S103" i="11"/>
  <c r="I104" i="11"/>
  <c r="I105" i="11" s="1"/>
  <c r="I106" i="11" s="1"/>
  <c r="K104" i="11"/>
  <c r="M104" i="11"/>
  <c r="O104" i="11"/>
  <c r="S104" i="11"/>
  <c r="K105" i="11"/>
  <c r="O105" i="11"/>
  <c r="R105" i="11"/>
  <c r="K106" i="11"/>
  <c r="O106" i="11"/>
  <c r="I125" i="11"/>
  <c r="K125" i="11"/>
  <c r="M125" i="11"/>
  <c r="O125" i="11"/>
  <c r="S125" i="11"/>
  <c r="I126" i="11"/>
  <c r="K126" i="11"/>
  <c r="M126" i="11"/>
  <c r="O126" i="11"/>
  <c r="J127" i="11"/>
  <c r="K127" i="11"/>
  <c r="L127" i="11"/>
  <c r="N127" i="11"/>
  <c r="O127" i="11"/>
  <c r="S127" i="11" l="1"/>
  <c r="S105" i="11"/>
  <c r="S106" i="11" s="1"/>
  <c r="I127" i="11"/>
  <c r="M127" i="11"/>
  <c r="L31" i="11"/>
  <c r="AG94" i="5" l="1"/>
  <c r="AF94" i="5"/>
  <c r="AE94" i="5"/>
  <c r="AD94" i="5"/>
  <c r="AC94" i="5"/>
  <c r="AB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C94" i="5"/>
  <c r="AA95" i="5" s="1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C64" i="5"/>
  <c r="H95" i="5" l="1"/>
  <c r="L95" i="5"/>
  <c r="P95" i="5"/>
  <c r="T95" i="5"/>
  <c r="X95" i="5"/>
  <c r="AC95" i="5"/>
  <c r="E95" i="5"/>
  <c r="I95" i="5"/>
  <c r="M95" i="5"/>
  <c r="Q95" i="5"/>
  <c r="U95" i="5"/>
  <c r="Y95" i="5"/>
  <c r="AD95" i="5"/>
  <c r="F95" i="5"/>
  <c r="J95" i="5"/>
  <c r="N95" i="5"/>
  <c r="R95" i="5"/>
  <c r="V95" i="5"/>
  <c r="Z95" i="5"/>
  <c r="AE95" i="5"/>
  <c r="G95" i="5"/>
  <c r="K95" i="5"/>
  <c r="O95" i="5"/>
  <c r="S95" i="5"/>
  <c r="W95" i="5"/>
  <c r="AB95" i="5"/>
  <c r="AF95" i="5"/>
  <c r="AG95" i="5"/>
  <c r="AJ65" i="11" l="1"/>
  <c r="D55" i="11"/>
  <c r="G126" i="11"/>
  <c r="G125" i="11"/>
  <c r="E126" i="11"/>
  <c r="E125" i="11"/>
  <c r="AA101" i="11"/>
  <c r="W101" i="11"/>
  <c r="U101" i="11"/>
  <c r="AA97" i="11"/>
  <c r="AA98" i="11" s="1"/>
  <c r="W97" i="11"/>
  <c r="U97" i="11"/>
  <c r="AA93" i="11"/>
  <c r="AA94" i="11" s="1"/>
  <c r="W93" i="11"/>
  <c r="U93" i="11"/>
  <c r="AA89" i="11"/>
  <c r="AA90" i="11" s="1"/>
  <c r="W89" i="11"/>
  <c r="U89" i="11"/>
  <c r="AA85" i="11"/>
  <c r="AA86" i="11" s="1"/>
  <c r="W85" i="11"/>
  <c r="U85" i="11"/>
  <c r="AA81" i="11"/>
  <c r="AA82" i="11" s="1"/>
  <c r="W81" i="11"/>
  <c r="U81" i="11"/>
  <c r="AA102" i="11" l="1"/>
  <c r="AG101" i="11"/>
  <c r="AG102" i="11" s="1"/>
  <c r="AG97" i="11"/>
  <c r="AG98" i="11" s="1"/>
  <c r="AG93" i="11"/>
  <c r="AG94" i="11" s="1"/>
  <c r="AG89" i="11"/>
  <c r="AG90" i="11" s="1"/>
  <c r="AG85" i="11"/>
  <c r="AG86" i="11" s="1"/>
  <c r="AA108" i="11"/>
  <c r="AG81" i="11"/>
  <c r="AG82" i="11" s="1"/>
  <c r="H102" i="11"/>
  <c r="H98" i="11"/>
  <c r="H94" i="11"/>
  <c r="H90" i="11"/>
  <c r="H86" i="11"/>
  <c r="H82" i="11"/>
  <c r="H78" i="11"/>
  <c r="F102" i="11"/>
  <c r="F98" i="11"/>
  <c r="F94" i="11"/>
  <c r="F90" i="11"/>
  <c r="F86" i="11"/>
  <c r="F82" i="11"/>
  <c r="F78" i="11"/>
  <c r="E101" i="11"/>
  <c r="E103" i="11"/>
  <c r="D102" i="11"/>
  <c r="D98" i="11"/>
  <c r="D94" i="11"/>
  <c r="D90" i="11"/>
  <c r="D86" i="11"/>
  <c r="D82" i="11"/>
  <c r="D78" i="11"/>
  <c r="H73" i="11"/>
  <c r="H74" i="11" s="1"/>
  <c r="F73" i="11"/>
  <c r="F74" i="11" s="1"/>
  <c r="Z127" i="11" l="1"/>
  <c r="X127" i="11"/>
  <c r="H127" i="11"/>
  <c r="F127" i="11"/>
  <c r="D127" i="11"/>
  <c r="AC126" i="11"/>
  <c r="AC125" i="11"/>
  <c r="AB121" i="11"/>
  <c r="AB119" i="11"/>
  <c r="AB117" i="11"/>
  <c r="AB115" i="11"/>
  <c r="AB113" i="11"/>
  <c r="AA104" i="11"/>
  <c r="W104" i="11"/>
  <c r="U104" i="11"/>
  <c r="G104" i="11"/>
  <c r="E104" i="11"/>
  <c r="AA103" i="11"/>
  <c r="AC103" i="11" s="1"/>
  <c r="W103" i="11"/>
  <c r="U103" i="11"/>
  <c r="G103" i="11"/>
  <c r="G105" i="11" s="1"/>
  <c r="G106" i="11" s="1"/>
  <c r="AB101" i="11"/>
  <c r="AB102" i="11" s="1"/>
  <c r="G101" i="11"/>
  <c r="G102" i="11" s="1"/>
  <c r="E102" i="11"/>
  <c r="AC100" i="11"/>
  <c r="AC99" i="11"/>
  <c r="AB97" i="11"/>
  <c r="AB98" i="11" s="1"/>
  <c r="G97" i="11"/>
  <c r="G98" i="11" s="1"/>
  <c r="E97" i="11"/>
  <c r="E98" i="11" s="1"/>
  <c r="AC96" i="11"/>
  <c r="AC95" i="11"/>
  <c r="AB93" i="11"/>
  <c r="AB94" i="11" s="1"/>
  <c r="G93" i="11"/>
  <c r="G94" i="11" s="1"/>
  <c r="E93" i="11"/>
  <c r="E94" i="11" s="1"/>
  <c r="AC92" i="11"/>
  <c r="AC91" i="11"/>
  <c r="AB89" i="11"/>
  <c r="AB90" i="11" s="1"/>
  <c r="G89" i="11"/>
  <c r="G90" i="11" s="1"/>
  <c r="E89" i="11"/>
  <c r="E90" i="11" s="1"/>
  <c r="AC88" i="11"/>
  <c r="AC87" i="11"/>
  <c r="AB85" i="11"/>
  <c r="AB86" i="11" s="1"/>
  <c r="G85" i="11"/>
  <c r="G86" i="11" s="1"/>
  <c r="E85" i="11"/>
  <c r="E86" i="11" s="1"/>
  <c r="AC84" i="11"/>
  <c r="AC83" i="11"/>
  <c r="AB81" i="11"/>
  <c r="AB82" i="11" s="1"/>
  <c r="G81" i="11"/>
  <c r="G82" i="11" s="1"/>
  <c r="E81" i="11"/>
  <c r="E82" i="11" s="1"/>
  <c r="AC80" i="11"/>
  <c r="AC79" i="11"/>
  <c r="AB77" i="11"/>
  <c r="AB78" i="11" s="1"/>
  <c r="AA77" i="11"/>
  <c r="W77" i="11"/>
  <c r="U77" i="11"/>
  <c r="G77" i="11"/>
  <c r="G78" i="11" s="1"/>
  <c r="E77" i="11"/>
  <c r="E78" i="11" s="1"/>
  <c r="AC76" i="11"/>
  <c r="AC75" i="11"/>
  <c r="AA73" i="11"/>
  <c r="W73" i="11"/>
  <c r="U73" i="11"/>
  <c r="G73" i="11"/>
  <c r="G74" i="11" s="1"/>
  <c r="F105" i="11"/>
  <c r="F106" i="11" s="1"/>
  <c r="E73" i="11"/>
  <c r="E74" i="11" s="1"/>
  <c r="D73" i="11"/>
  <c r="AC72" i="11"/>
  <c r="AB72" i="11"/>
  <c r="AC71" i="11"/>
  <c r="AB71" i="11"/>
  <c r="AA78" i="11" l="1"/>
  <c r="AG77" i="11"/>
  <c r="AG78" i="11" s="1"/>
  <c r="AA74" i="11"/>
  <c r="AG73" i="11"/>
  <c r="AG74" i="11" s="1"/>
  <c r="U105" i="11"/>
  <c r="AC127" i="11"/>
  <c r="D105" i="11"/>
  <c r="D106" i="11" s="1"/>
  <c r="D74" i="11"/>
  <c r="G127" i="11"/>
  <c r="W105" i="11"/>
  <c r="AC85" i="11"/>
  <c r="AB127" i="11"/>
  <c r="AC93" i="11"/>
  <c r="AC94" i="11" s="1"/>
  <c r="AC89" i="11"/>
  <c r="AC90" i="11" s="1"/>
  <c r="AC73" i="11"/>
  <c r="AC74" i="11" s="1"/>
  <c r="AA105" i="11"/>
  <c r="AA106" i="11" s="1"/>
  <c r="AC101" i="11"/>
  <c r="AC102" i="11" s="1"/>
  <c r="AC77" i="11"/>
  <c r="AC78" i="11" s="1"/>
  <c r="AC97" i="11"/>
  <c r="AC98" i="11" s="1"/>
  <c r="AC81" i="11"/>
  <c r="AC82" i="11" s="1"/>
  <c r="AC104" i="11"/>
  <c r="AB73" i="11"/>
  <c r="AB74" i="11" s="1"/>
  <c r="H105" i="11"/>
  <c r="H106" i="11" s="1"/>
  <c r="E127" i="11"/>
  <c r="E105" i="11"/>
  <c r="E106" i="11" s="1"/>
  <c r="AC86" i="11" l="1"/>
  <c r="AC108" i="11"/>
  <c r="AG106" i="11"/>
  <c r="AC105" i="11"/>
  <c r="AC106" i="11" s="1"/>
  <c r="AB105" i="11"/>
  <c r="AB106" i="11" s="1"/>
  <c r="F8" i="11"/>
  <c r="I54" i="10"/>
  <c r="K57" i="11"/>
  <c r="K58" i="11" s="1"/>
  <c r="H57" i="11"/>
  <c r="H58" i="11" s="1"/>
  <c r="G57" i="11"/>
  <c r="G58" i="11" s="1"/>
  <c r="F57" i="11"/>
  <c r="F58" i="11" s="1"/>
  <c r="E57" i="11"/>
  <c r="E58" i="11" s="1"/>
  <c r="D57" i="11"/>
  <c r="D58" i="11" s="1"/>
  <c r="K55" i="11"/>
  <c r="K56" i="11" s="1"/>
  <c r="H55" i="11"/>
  <c r="H56" i="11" s="1"/>
  <c r="G55" i="11"/>
  <c r="G56" i="11" s="1"/>
  <c r="F55" i="11"/>
  <c r="F56" i="11" s="1"/>
  <c r="E55" i="11"/>
  <c r="E56" i="11" s="1"/>
  <c r="D56" i="11"/>
  <c r="K54" i="11"/>
  <c r="H54" i="11"/>
  <c r="G54" i="11"/>
  <c r="F54" i="11"/>
  <c r="E54" i="11"/>
  <c r="D54" i="11"/>
  <c r="J53" i="11"/>
  <c r="L53" i="11" s="1"/>
  <c r="L54" i="11" s="1"/>
  <c r="K52" i="11"/>
  <c r="H52" i="11"/>
  <c r="G52" i="11"/>
  <c r="F52" i="11"/>
  <c r="E52" i="11"/>
  <c r="D52" i="11"/>
  <c r="J51" i="11"/>
  <c r="J52" i="11" s="1"/>
  <c r="K50" i="11"/>
  <c r="H50" i="11"/>
  <c r="G50" i="11"/>
  <c r="F50" i="11"/>
  <c r="E50" i="11"/>
  <c r="D50" i="11"/>
  <c r="J49" i="11"/>
  <c r="L49" i="11" s="1"/>
  <c r="L50" i="11" s="1"/>
  <c r="K48" i="11"/>
  <c r="H48" i="11"/>
  <c r="G48" i="11"/>
  <c r="F48" i="11"/>
  <c r="E48" i="11"/>
  <c r="D48" i="11"/>
  <c r="J47" i="11"/>
  <c r="J48" i="11" s="1"/>
  <c r="K46" i="11"/>
  <c r="H46" i="11"/>
  <c r="G46" i="11"/>
  <c r="F46" i="11"/>
  <c r="E46" i="11"/>
  <c r="D46" i="11"/>
  <c r="J45" i="11"/>
  <c r="L45" i="11" s="1"/>
  <c r="L46" i="11" s="1"/>
  <c r="AD44" i="11"/>
  <c r="K44" i="11"/>
  <c r="H44" i="11"/>
  <c r="G44" i="11"/>
  <c r="F44" i="11"/>
  <c r="E44" i="11"/>
  <c r="D44" i="11"/>
  <c r="J43" i="11"/>
  <c r="J44" i="11" s="1"/>
  <c r="K42" i="11"/>
  <c r="H42" i="11"/>
  <c r="G42" i="11"/>
  <c r="F42" i="11"/>
  <c r="E42" i="11"/>
  <c r="D42" i="11"/>
  <c r="L41" i="11"/>
  <c r="L42" i="11" s="1"/>
  <c r="K40" i="11"/>
  <c r="H40" i="11"/>
  <c r="G40" i="11"/>
  <c r="F40" i="11"/>
  <c r="E40" i="11"/>
  <c r="D40" i="11"/>
  <c r="J39" i="11"/>
  <c r="J40" i="11" s="1"/>
  <c r="K38" i="11"/>
  <c r="H38" i="11"/>
  <c r="G38" i="11"/>
  <c r="F38" i="11"/>
  <c r="E38" i="11"/>
  <c r="D38" i="11"/>
  <c r="L37" i="11"/>
  <c r="L38" i="11" s="1"/>
  <c r="K36" i="11"/>
  <c r="H36" i="11"/>
  <c r="G36" i="11"/>
  <c r="F36" i="11"/>
  <c r="E36" i="11"/>
  <c r="D36" i="11"/>
  <c r="J36" i="11"/>
  <c r="K34" i="11"/>
  <c r="H34" i="11"/>
  <c r="G34" i="11"/>
  <c r="F34" i="11"/>
  <c r="E34" i="11"/>
  <c r="D34" i="11"/>
  <c r="K32" i="11"/>
  <c r="H32" i="11"/>
  <c r="G32" i="11"/>
  <c r="F32" i="11"/>
  <c r="E32" i="11"/>
  <c r="D32" i="11"/>
  <c r="J32" i="11"/>
  <c r="K30" i="11"/>
  <c r="H30" i="11"/>
  <c r="G30" i="11"/>
  <c r="F30" i="11"/>
  <c r="E30" i="11"/>
  <c r="D30" i="11"/>
  <c r="K28" i="11"/>
  <c r="H28" i="11"/>
  <c r="G28" i="11"/>
  <c r="F28" i="11"/>
  <c r="E28" i="11"/>
  <c r="D28" i="11"/>
  <c r="J28" i="11"/>
  <c r="K26" i="11"/>
  <c r="H26" i="11"/>
  <c r="G26" i="11"/>
  <c r="F26" i="11"/>
  <c r="E26" i="11"/>
  <c r="D26" i="11"/>
  <c r="K24" i="11"/>
  <c r="H24" i="11"/>
  <c r="G24" i="11"/>
  <c r="F24" i="11"/>
  <c r="E24" i="11"/>
  <c r="D24" i="11"/>
  <c r="K22" i="11"/>
  <c r="H22" i="11"/>
  <c r="G22" i="11"/>
  <c r="F22" i="11"/>
  <c r="E22" i="11"/>
  <c r="D22" i="11"/>
  <c r="K20" i="11"/>
  <c r="H20" i="11"/>
  <c r="G20" i="11"/>
  <c r="F20" i="11"/>
  <c r="E20" i="11"/>
  <c r="D20" i="11"/>
  <c r="K18" i="11"/>
  <c r="H18" i="11"/>
  <c r="G18" i="11"/>
  <c r="F18" i="11"/>
  <c r="E18" i="11"/>
  <c r="D18" i="11"/>
  <c r="K16" i="11"/>
  <c r="H16" i="11"/>
  <c r="G16" i="11"/>
  <c r="F16" i="11"/>
  <c r="E16" i="11"/>
  <c r="D16" i="11"/>
  <c r="K14" i="11"/>
  <c r="H14" i="11"/>
  <c r="G14" i="11"/>
  <c r="F14" i="11"/>
  <c r="E14" i="11"/>
  <c r="D14" i="11"/>
  <c r="K12" i="11"/>
  <c r="H12" i="11"/>
  <c r="G12" i="11"/>
  <c r="F12" i="11"/>
  <c r="E12" i="11"/>
  <c r="D12" i="11"/>
  <c r="K10" i="11"/>
  <c r="H10" i="11"/>
  <c r="G10" i="11"/>
  <c r="F10" i="11"/>
  <c r="E10" i="11"/>
  <c r="D10" i="11"/>
  <c r="K8" i="11"/>
  <c r="H8" i="11"/>
  <c r="G8" i="11"/>
  <c r="E8" i="11"/>
  <c r="D8" i="11"/>
  <c r="J53" i="10"/>
  <c r="L53" i="10" s="1"/>
  <c r="L54" i="10" s="1"/>
  <c r="E50" i="10"/>
  <c r="F50" i="10"/>
  <c r="G50" i="10"/>
  <c r="H50" i="10"/>
  <c r="K50" i="10"/>
  <c r="D50" i="10"/>
  <c r="K54" i="10"/>
  <c r="H54" i="10"/>
  <c r="G54" i="10"/>
  <c r="F54" i="10"/>
  <c r="E54" i="10"/>
  <c r="D54" i="10"/>
  <c r="K52" i="10"/>
  <c r="H52" i="10"/>
  <c r="G52" i="10"/>
  <c r="F52" i="10"/>
  <c r="E52" i="10"/>
  <c r="D52" i="10"/>
  <c r="J51" i="10"/>
  <c r="L51" i="10" s="1"/>
  <c r="L52" i="10" s="1"/>
  <c r="E48" i="10"/>
  <c r="F48" i="10"/>
  <c r="G48" i="10"/>
  <c r="H48" i="10"/>
  <c r="J48" i="10"/>
  <c r="K48" i="10"/>
  <c r="D48" i="10"/>
  <c r="J49" i="10"/>
  <c r="L49" i="10" s="1"/>
  <c r="L50" i="10" s="1"/>
  <c r="J47" i="10"/>
  <c r="L47" i="10" s="1"/>
  <c r="L48" i="10" s="1"/>
  <c r="J52" i="10" l="1"/>
  <c r="L32" i="11"/>
  <c r="J42" i="11"/>
  <c r="AN109" i="11"/>
  <c r="J54" i="11"/>
  <c r="J50" i="11"/>
  <c r="J46" i="11"/>
  <c r="L43" i="11"/>
  <c r="L44" i="11" s="1"/>
  <c r="L39" i="11"/>
  <c r="L40" i="11" s="1"/>
  <c r="J38" i="11"/>
  <c r="L36" i="11"/>
  <c r="L27" i="11"/>
  <c r="L28" i="11" s="1"/>
  <c r="L47" i="11"/>
  <c r="L48" i="11" s="1"/>
  <c r="L51" i="11"/>
  <c r="L52" i="11" s="1"/>
  <c r="J50" i="10"/>
  <c r="J54" i="10"/>
  <c r="AJ59" i="9" l="1"/>
  <c r="AR58" i="9"/>
  <c r="AP58" i="9"/>
  <c r="AS58" i="9" s="1"/>
  <c r="AN58" i="9"/>
  <c r="AM58" i="9"/>
  <c r="AK58" i="9"/>
  <c r="AR57" i="9"/>
  <c r="AS57" i="9" s="1"/>
  <c r="AQ57" i="9"/>
  <c r="AP57" i="9"/>
  <c r="AM57" i="9"/>
  <c r="AK57" i="9"/>
  <c r="AR55" i="9"/>
  <c r="AP55" i="9"/>
  <c r="AO55" i="9"/>
  <c r="AM55" i="9"/>
  <c r="AN55" i="9" s="1"/>
  <c r="AL55" i="9"/>
  <c r="AK55" i="9"/>
  <c r="AS54" i="9"/>
  <c r="AQ54" i="9"/>
  <c r="AN54" i="9"/>
  <c r="AS53" i="9"/>
  <c r="AQ53" i="9"/>
  <c r="AN53" i="9"/>
  <c r="AR52" i="9"/>
  <c r="AP52" i="9"/>
  <c r="AO52" i="9"/>
  <c r="AM52" i="9"/>
  <c r="AL52" i="9"/>
  <c r="AK52" i="9"/>
  <c r="AS51" i="9"/>
  <c r="AQ51" i="9"/>
  <c r="AN51" i="9"/>
  <c r="AS50" i="9"/>
  <c r="AQ50" i="9"/>
  <c r="AN50" i="9"/>
  <c r="AR49" i="9"/>
  <c r="AP49" i="9"/>
  <c r="AO49" i="9"/>
  <c r="AM49" i="9"/>
  <c r="AK49" i="9"/>
  <c r="AL49" i="9" s="1"/>
  <c r="AS48" i="9"/>
  <c r="AQ48" i="9"/>
  <c r="AN48" i="9"/>
  <c r="AS47" i="9"/>
  <c r="AQ47" i="9"/>
  <c r="AN47" i="9"/>
  <c r="AR46" i="9"/>
  <c r="AP46" i="9"/>
  <c r="AO46" i="9"/>
  <c r="AM46" i="9"/>
  <c r="AK46" i="9"/>
  <c r="AS45" i="9"/>
  <c r="AQ45" i="9"/>
  <c r="AN45" i="9"/>
  <c r="AS44" i="9"/>
  <c r="AQ44" i="9"/>
  <c r="AN44" i="9"/>
  <c r="AR43" i="9"/>
  <c r="AP43" i="9"/>
  <c r="AQ43" i="9" s="1"/>
  <c r="AO43" i="9"/>
  <c r="AM43" i="9"/>
  <c r="AK43" i="9"/>
  <c r="AL43" i="9" s="1"/>
  <c r="AS42" i="9"/>
  <c r="AQ42" i="9"/>
  <c r="AN42" i="9"/>
  <c r="AS41" i="9"/>
  <c r="AQ41" i="9"/>
  <c r="AN41" i="9"/>
  <c r="AR39" i="9"/>
  <c r="AQ35" i="9"/>
  <c r="AR35" i="9" s="1"/>
  <c r="AO35" i="9"/>
  <c r="AN35" i="9"/>
  <c r="AL35" i="9"/>
  <c r="AM35" i="9" s="1"/>
  <c r="AJ35" i="9"/>
  <c r="AI35" i="9"/>
  <c r="AR34" i="9"/>
  <c r="AP34" i="9"/>
  <c r="AM34" i="9"/>
  <c r="AK34" i="9"/>
  <c r="AR33" i="9"/>
  <c r="AP33" i="9"/>
  <c r="AM33" i="9"/>
  <c r="AK33" i="9"/>
  <c r="AR32" i="9"/>
  <c r="AP32" i="9"/>
  <c r="AM32" i="9"/>
  <c r="AK32" i="9"/>
  <c r="AR31" i="9"/>
  <c r="AP31" i="9"/>
  <c r="AM31" i="9"/>
  <c r="AK31" i="9"/>
  <c r="AR30" i="9"/>
  <c r="AP30" i="9"/>
  <c r="AM30" i="9"/>
  <c r="AK30" i="9"/>
  <c r="AR29" i="9"/>
  <c r="AP29" i="9"/>
  <c r="AM29" i="9"/>
  <c r="AK29" i="9"/>
  <c r="AR28" i="9"/>
  <c r="AP28" i="9"/>
  <c r="AM28" i="9"/>
  <c r="AK28" i="9"/>
  <c r="AR27" i="9"/>
  <c r="AP27" i="9"/>
  <c r="AM27" i="9"/>
  <c r="AK27" i="9"/>
  <c r="AL25" i="9"/>
  <c r="AM39" i="9" s="1"/>
  <c r="AN24" i="9"/>
  <c r="AO38" i="9" s="1"/>
  <c r="AI24" i="9"/>
  <c r="AJ38" i="9" s="1"/>
  <c r="AB52" i="9"/>
  <c r="AB54" i="9"/>
  <c r="AB56" i="9"/>
  <c r="AB58" i="9"/>
  <c r="AB50" i="9"/>
  <c r="L63" i="9"/>
  <c r="Z63" i="9"/>
  <c r="AK59" i="9" l="1"/>
  <c r="AN43" i="9"/>
  <c r="AP35" i="9"/>
  <c r="AR59" i="9"/>
  <c r="AS46" i="9"/>
  <c r="AK35" i="9"/>
  <c r="AN46" i="9"/>
  <c r="AN57" i="9"/>
  <c r="AP59" i="9"/>
  <c r="AO59" i="9"/>
  <c r="AS49" i="9"/>
  <c r="AN52" i="9"/>
  <c r="AQ52" i="9"/>
  <c r="AQ55" i="9"/>
  <c r="AL59" i="9"/>
  <c r="AS59" i="9"/>
  <c r="AQ59" i="9"/>
  <c r="AS43" i="9"/>
  <c r="AL46" i="9"/>
  <c r="AQ49" i="9"/>
  <c r="AS55" i="9"/>
  <c r="AQ46" i="9"/>
  <c r="AN49" i="9"/>
  <c r="AS52" i="9"/>
  <c r="AM59" i="9"/>
  <c r="AN59" i="9" s="1"/>
  <c r="AB63" i="9"/>
  <c r="F66" i="9"/>
  <c r="H66" i="9"/>
  <c r="J66" i="9"/>
  <c r="L66" i="9"/>
  <c r="N66" i="9"/>
  <c r="P66" i="9"/>
  <c r="R66" i="9"/>
  <c r="T66" i="9"/>
  <c r="V66" i="9"/>
  <c r="X66" i="9"/>
  <c r="Z66" i="9"/>
  <c r="AA62" i="9" l="1"/>
  <c r="AC50" i="9" l="1"/>
  <c r="AA61" i="9" l="1"/>
  <c r="AC51" i="9" l="1"/>
  <c r="AC52" i="9"/>
  <c r="AC53" i="9"/>
  <c r="AC54" i="9"/>
  <c r="AC56" i="9"/>
  <c r="AC58" i="9"/>
  <c r="AC59" i="9"/>
  <c r="Y61" i="9"/>
  <c r="Y62" i="9"/>
  <c r="X63" i="9"/>
  <c r="V10" i="9"/>
  <c r="V42" i="9" s="1"/>
  <c r="X10" i="9"/>
  <c r="X42" i="9" s="1"/>
  <c r="AA63" i="9" l="1"/>
  <c r="Y63" i="9"/>
  <c r="V11" i="9"/>
  <c r="X11" i="9"/>
  <c r="Q15" i="3" l="1"/>
  <c r="K15" i="3"/>
  <c r="L15" i="3"/>
  <c r="M15" i="3"/>
  <c r="N15" i="3"/>
  <c r="O15" i="3"/>
  <c r="P15" i="3"/>
  <c r="J15" i="3"/>
  <c r="S14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6" i="3"/>
  <c r="Y30" i="9" l="1"/>
  <c r="Y34" i="9"/>
  <c r="Y38" i="9"/>
  <c r="Y15" i="9"/>
  <c r="Y42" i="9" l="1"/>
  <c r="Y41" i="9"/>
  <c r="Y66" i="9" s="1"/>
  <c r="Y40" i="9"/>
  <c r="AC9" i="9"/>
  <c r="AE14" i="7"/>
  <c r="AE10" i="7"/>
  <c r="W61" i="9" l="1"/>
  <c r="W62" i="9"/>
  <c r="V63" i="9"/>
  <c r="K44" i="10"/>
  <c r="H44" i="10"/>
  <c r="G44" i="10"/>
  <c r="F44" i="10"/>
  <c r="E44" i="10"/>
  <c r="D44" i="10"/>
  <c r="K46" i="10"/>
  <c r="J46" i="10"/>
  <c r="H46" i="10"/>
  <c r="G46" i="10"/>
  <c r="F46" i="10"/>
  <c r="E46" i="10"/>
  <c r="D46" i="10"/>
  <c r="J45" i="10"/>
  <c r="L45" i="10" s="1"/>
  <c r="L46" i="10" s="1"/>
  <c r="J43" i="10"/>
  <c r="J44" i="10" s="1"/>
  <c r="L43" i="10" l="1"/>
  <c r="L44" i="10" s="1"/>
  <c r="W63" i="9"/>
  <c r="R44" i="10" l="1"/>
  <c r="K38" i="10"/>
  <c r="H38" i="10"/>
  <c r="G38" i="10"/>
  <c r="F38" i="10"/>
  <c r="E38" i="10"/>
  <c r="D38" i="10"/>
  <c r="K34" i="10"/>
  <c r="H34" i="10"/>
  <c r="G34" i="10"/>
  <c r="F34" i="10"/>
  <c r="E34" i="10"/>
  <c r="D34" i="10"/>
  <c r="J37" i="10" l="1"/>
  <c r="K42" i="10"/>
  <c r="H42" i="10"/>
  <c r="G42" i="10"/>
  <c r="F42" i="10"/>
  <c r="E42" i="10"/>
  <c r="D42" i="10"/>
  <c r="J41" i="10"/>
  <c r="L41" i="10" s="1"/>
  <c r="L42" i="10" s="1"/>
  <c r="K40" i="10"/>
  <c r="H40" i="10"/>
  <c r="G40" i="10"/>
  <c r="F40" i="10"/>
  <c r="E40" i="10"/>
  <c r="D40" i="10"/>
  <c r="J39" i="10"/>
  <c r="L39" i="10" s="1"/>
  <c r="L40" i="10" s="1"/>
  <c r="U61" i="9"/>
  <c r="U62" i="9"/>
  <c r="T63" i="9"/>
  <c r="T10" i="9"/>
  <c r="T42" i="9" s="1"/>
  <c r="J42" i="10" l="1"/>
  <c r="J40" i="10"/>
  <c r="L37" i="10"/>
  <c r="L38" i="10" s="1"/>
  <c r="J38" i="10"/>
  <c r="U63" i="9"/>
  <c r="T11" i="9"/>
  <c r="AB8" i="9"/>
  <c r="AC8" i="9" l="1"/>
  <c r="R10" i="9"/>
  <c r="R42" i="9" s="1"/>
  <c r="K36" i="10"/>
  <c r="H36" i="10"/>
  <c r="G36" i="10"/>
  <c r="F36" i="10"/>
  <c r="E36" i="10"/>
  <c r="D36" i="10"/>
  <c r="J35" i="10"/>
  <c r="L35" i="10" s="1"/>
  <c r="L36" i="10" s="1"/>
  <c r="J36" i="10" l="1"/>
  <c r="R11" i="9"/>
  <c r="J33" i="10" l="1"/>
  <c r="K32" i="10"/>
  <c r="H32" i="10"/>
  <c r="G32" i="10"/>
  <c r="F32" i="10"/>
  <c r="E32" i="10"/>
  <c r="D32" i="10"/>
  <c r="J31" i="10"/>
  <c r="J32" i="10" s="1"/>
  <c r="R63" i="9"/>
  <c r="S61" i="9"/>
  <c r="S62" i="9"/>
  <c r="L33" i="10" l="1"/>
  <c r="L34" i="10" s="1"/>
  <c r="J34" i="10"/>
  <c r="L31" i="10"/>
  <c r="L32" i="10" s="1"/>
  <c r="S63" i="9"/>
  <c r="Q61" i="9" l="1"/>
  <c r="Q62" i="9"/>
  <c r="P63" i="9"/>
  <c r="Q63" i="9" l="1"/>
  <c r="K57" i="10" l="1"/>
  <c r="K58" i="10" s="1"/>
  <c r="H57" i="10"/>
  <c r="H58" i="10" s="1"/>
  <c r="G57" i="10"/>
  <c r="G58" i="10" s="1"/>
  <c r="F57" i="10"/>
  <c r="F58" i="10" s="1"/>
  <c r="E57" i="10"/>
  <c r="E58" i="10" s="1"/>
  <c r="D57" i="10"/>
  <c r="D58" i="10" s="1"/>
  <c r="K55" i="10"/>
  <c r="K56" i="10" s="1"/>
  <c r="H55" i="10"/>
  <c r="H56" i="10" s="1"/>
  <c r="G55" i="10"/>
  <c r="G56" i="10" s="1"/>
  <c r="F55" i="10"/>
  <c r="F56" i="10" s="1"/>
  <c r="E55" i="10"/>
  <c r="E56" i="10" s="1"/>
  <c r="D55" i="10"/>
  <c r="D56" i="10" s="1"/>
  <c r="K30" i="10"/>
  <c r="H30" i="10"/>
  <c r="G30" i="10"/>
  <c r="F30" i="10"/>
  <c r="E30" i="10"/>
  <c r="D30" i="10"/>
  <c r="K28" i="10"/>
  <c r="H28" i="10"/>
  <c r="G28" i="10"/>
  <c r="F28" i="10"/>
  <c r="E28" i="10"/>
  <c r="D28" i="10"/>
  <c r="J29" i="10"/>
  <c r="L29" i="10" s="1"/>
  <c r="L30" i="10" s="1"/>
  <c r="J30" i="10" l="1"/>
  <c r="O61" i="9"/>
  <c r="O62" i="9"/>
  <c r="N63" i="9"/>
  <c r="O63" i="9" l="1"/>
  <c r="N10" i="9"/>
  <c r="N11" i="9" s="1"/>
  <c r="N42" i="9" l="1"/>
  <c r="J27" i="10" l="1"/>
  <c r="J25" i="10"/>
  <c r="L25" i="10" s="1"/>
  <c r="L26" i="10" s="1"/>
  <c r="K22" i="10"/>
  <c r="H22" i="10"/>
  <c r="G22" i="10"/>
  <c r="F22" i="10"/>
  <c r="E22" i="10"/>
  <c r="D22" i="10"/>
  <c r="K26" i="10"/>
  <c r="H26" i="10"/>
  <c r="G26" i="10"/>
  <c r="F26" i="10"/>
  <c r="E26" i="10"/>
  <c r="D26" i="10"/>
  <c r="K24" i="10"/>
  <c r="H24" i="10"/>
  <c r="G24" i="10"/>
  <c r="F24" i="10"/>
  <c r="E24" i="10"/>
  <c r="D24" i="10"/>
  <c r="K20" i="10"/>
  <c r="H20" i="10"/>
  <c r="G20" i="10"/>
  <c r="F20" i="10"/>
  <c r="E20" i="10"/>
  <c r="D20" i="10"/>
  <c r="J23" i="10"/>
  <c r="L23" i="10" s="1"/>
  <c r="L24" i="10" s="1"/>
  <c r="J21" i="10"/>
  <c r="J19" i="10"/>
  <c r="L19" i="10" s="1"/>
  <c r="L20" i="10" s="1"/>
  <c r="AE65" i="5"/>
  <c r="AD65" i="5"/>
  <c r="AB65" i="5"/>
  <c r="AA65" i="5"/>
  <c r="Z65" i="5"/>
  <c r="X65" i="5"/>
  <c r="W65" i="5"/>
  <c r="V65" i="5"/>
  <c r="T65" i="5"/>
  <c r="S65" i="5"/>
  <c r="R65" i="5"/>
  <c r="P65" i="5"/>
  <c r="O65" i="5"/>
  <c r="N65" i="5"/>
  <c r="L65" i="5"/>
  <c r="K65" i="5"/>
  <c r="J65" i="5"/>
  <c r="H65" i="5"/>
  <c r="G65" i="5"/>
  <c r="F65" i="5"/>
  <c r="AF65" i="5"/>
  <c r="AC65" i="5"/>
  <c r="Y65" i="5"/>
  <c r="U65" i="5"/>
  <c r="Q65" i="5"/>
  <c r="M65" i="5"/>
  <c r="I65" i="5"/>
  <c r="E65" i="5"/>
  <c r="M62" i="9"/>
  <c r="M61" i="9"/>
  <c r="L10" i="9"/>
  <c r="L42" i="9" s="1"/>
  <c r="J26" i="10" l="1"/>
  <c r="M63" i="9"/>
  <c r="J24" i="10"/>
  <c r="J22" i="10"/>
  <c r="L21" i="10"/>
  <c r="L22" i="10" s="1"/>
  <c r="J20" i="10"/>
  <c r="J28" i="10"/>
  <c r="L27" i="10"/>
  <c r="L28" i="10" s="1"/>
  <c r="L11" i="9"/>
  <c r="R47" i="6"/>
  <c r="R48" i="6"/>
  <c r="R49" i="6"/>
  <c r="R50" i="6"/>
  <c r="R51" i="6"/>
  <c r="R52" i="6"/>
  <c r="R53" i="6"/>
  <c r="R54" i="6"/>
  <c r="R55" i="6"/>
  <c r="R46" i="6"/>
  <c r="J10" i="9"/>
  <c r="J42" i="9" s="1"/>
  <c r="J63" i="9"/>
  <c r="K62" i="9"/>
  <c r="K61" i="9"/>
  <c r="AA38" i="9"/>
  <c r="W38" i="9"/>
  <c r="U38" i="9"/>
  <c r="S38" i="9"/>
  <c r="Q38" i="9"/>
  <c r="O38" i="9"/>
  <c r="M38" i="9"/>
  <c r="K38" i="9"/>
  <c r="AA34" i="9"/>
  <c r="W34" i="9"/>
  <c r="U34" i="9"/>
  <c r="S34" i="9"/>
  <c r="Q34" i="9"/>
  <c r="O34" i="9"/>
  <c r="M34" i="9"/>
  <c r="K34" i="9"/>
  <c r="AA30" i="9"/>
  <c r="W30" i="9"/>
  <c r="U30" i="9"/>
  <c r="S30" i="9"/>
  <c r="Q30" i="9"/>
  <c r="O30" i="9"/>
  <c r="M30" i="9"/>
  <c r="K30" i="9"/>
  <c r="AA26" i="9"/>
  <c r="W26" i="9"/>
  <c r="U26" i="9"/>
  <c r="S26" i="9"/>
  <c r="Q26" i="9"/>
  <c r="O26" i="9"/>
  <c r="M26" i="9"/>
  <c r="K26" i="9"/>
  <c r="AA22" i="9"/>
  <c r="W22" i="9"/>
  <c r="U22" i="9"/>
  <c r="S22" i="9"/>
  <c r="Q22" i="9"/>
  <c r="O22" i="9"/>
  <c r="M22" i="9"/>
  <c r="K22" i="9"/>
  <c r="AA18" i="9"/>
  <c r="W18" i="9"/>
  <c r="U18" i="9"/>
  <c r="S18" i="9"/>
  <c r="Q18" i="9"/>
  <c r="O18" i="9"/>
  <c r="M18" i="9"/>
  <c r="K18" i="9"/>
  <c r="AA14" i="9"/>
  <c r="W14" i="9"/>
  <c r="U14" i="9"/>
  <c r="S14" i="9"/>
  <c r="Q14" i="9"/>
  <c r="O14" i="9"/>
  <c r="M14" i="9"/>
  <c r="K14" i="9"/>
  <c r="AA10" i="9"/>
  <c r="Z10" i="9"/>
  <c r="W10" i="9"/>
  <c r="U10" i="9"/>
  <c r="S10" i="9"/>
  <c r="Q10" i="9"/>
  <c r="P10" i="9"/>
  <c r="O10" i="9"/>
  <c r="M10" i="9"/>
  <c r="K10" i="9"/>
  <c r="AB14" i="9" l="1"/>
  <c r="AB30" i="9"/>
  <c r="AB22" i="9"/>
  <c r="AB38" i="9"/>
  <c r="AB18" i="9"/>
  <c r="AB26" i="9"/>
  <c r="AB34" i="9"/>
  <c r="K63" i="9"/>
  <c r="J11" i="9"/>
  <c r="J17" i="10"/>
  <c r="L17" i="10" s="1"/>
  <c r="A10" i="7" l="1"/>
  <c r="A14" i="7"/>
  <c r="I62" i="9" l="1"/>
  <c r="I61" i="9"/>
  <c r="I63" i="9" s="1"/>
  <c r="H63" i="9"/>
  <c r="I38" i="9"/>
  <c r="I34" i="9"/>
  <c r="I30" i="9"/>
  <c r="I26" i="9"/>
  <c r="I22" i="9"/>
  <c r="I18" i="9"/>
  <c r="I14" i="9"/>
  <c r="I10" i="9"/>
  <c r="H10" i="9" l="1"/>
  <c r="H42" i="9" s="1"/>
  <c r="H11" i="9" l="1"/>
  <c r="G62" i="9"/>
  <c r="G61" i="9"/>
  <c r="G63" i="9" l="1"/>
  <c r="G38" i="9"/>
  <c r="G34" i="9"/>
  <c r="G30" i="9"/>
  <c r="G26" i="9"/>
  <c r="G22" i="9"/>
  <c r="G18" i="9"/>
  <c r="G14" i="9"/>
  <c r="F63" i="9"/>
  <c r="G10" i="9"/>
  <c r="F10" i="9"/>
  <c r="F42" i="9" s="1"/>
  <c r="L18" i="10"/>
  <c r="K18" i="10"/>
  <c r="J18" i="10"/>
  <c r="H18" i="10"/>
  <c r="G18" i="10"/>
  <c r="F18" i="10"/>
  <c r="E18" i="10"/>
  <c r="D18" i="10"/>
  <c r="K14" i="10"/>
  <c r="H14" i="10"/>
  <c r="G14" i="10"/>
  <c r="F14" i="10"/>
  <c r="E14" i="10"/>
  <c r="D14" i="10"/>
  <c r="F11" i="9" l="1"/>
  <c r="K16" i="10"/>
  <c r="J16" i="10"/>
  <c r="H16" i="10"/>
  <c r="G16" i="10"/>
  <c r="F16" i="10"/>
  <c r="E16" i="10"/>
  <c r="D16" i="10"/>
  <c r="J15" i="10"/>
  <c r="L15" i="10" s="1"/>
  <c r="L16" i="10" s="1"/>
  <c r="J13" i="10"/>
  <c r="K12" i="10"/>
  <c r="J12" i="10"/>
  <c r="H12" i="10"/>
  <c r="G12" i="10"/>
  <c r="F12" i="10"/>
  <c r="E12" i="10"/>
  <c r="D12" i="10"/>
  <c r="J11" i="10"/>
  <c r="L11" i="10" s="1"/>
  <c r="L12" i="10" s="1"/>
  <c r="K10" i="10"/>
  <c r="H10" i="10"/>
  <c r="G10" i="10"/>
  <c r="F10" i="10"/>
  <c r="E10" i="10"/>
  <c r="D10" i="10"/>
  <c r="K8" i="10"/>
  <c r="H8" i="10"/>
  <c r="G8" i="10"/>
  <c r="F8" i="10"/>
  <c r="E8" i="10"/>
  <c r="D8" i="10"/>
  <c r="J14" i="10" l="1"/>
  <c r="L13" i="10"/>
  <c r="L14" i="10" s="1"/>
  <c r="J9" i="10"/>
  <c r="L7" i="10"/>
  <c r="J7" i="10"/>
  <c r="E57" i="9"/>
  <c r="AC57" i="9" s="1"/>
  <c r="E55" i="9"/>
  <c r="AC55" i="9" s="1"/>
  <c r="D63" i="9"/>
  <c r="E61" i="9"/>
  <c r="AC61" i="9" s="1"/>
  <c r="E38" i="9"/>
  <c r="E39" i="9" s="1"/>
  <c r="E34" i="9"/>
  <c r="E35" i="9" s="1"/>
  <c r="E30" i="9"/>
  <c r="E26" i="9"/>
  <c r="E27" i="9" s="1"/>
  <c r="E22" i="9"/>
  <c r="E18" i="9"/>
  <c r="E19" i="9" s="1"/>
  <c r="E14" i="9"/>
  <c r="E15" i="9" s="1"/>
  <c r="E10" i="9"/>
  <c r="D10" i="9"/>
  <c r="D42" i="9" s="1"/>
  <c r="Z42" i="9"/>
  <c r="P42" i="9"/>
  <c r="AA41" i="9"/>
  <c r="AA66" i="9" s="1"/>
  <c r="W41" i="9"/>
  <c r="W66" i="9" s="1"/>
  <c r="U41" i="9"/>
  <c r="U66" i="9" s="1"/>
  <c r="S41" i="9"/>
  <c r="S66" i="9" s="1"/>
  <c r="Q41" i="9"/>
  <c r="Q66" i="9" s="1"/>
  <c r="O41" i="9"/>
  <c r="O66" i="9" s="1"/>
  <c r="M41" i="9"/>
  <c r="M66" i="9" s="1"/>
  <c r="K41" i="9"/>
  <c r="K66" i="9" s="1"/>
  <c r="I41" i="9"/>
  <c r="I66" i="9" s="1"/>
  <c r="G41" i="9"/>
  <c r="G66" i="9" s="1"/>
  <c r="E41" i="9"/>
  <c r="AA40" i="9"/>
  <c r="W40" i="9"/>
  <c r="U40" i="9"/>
  <c r="S40" i="9"/>
  <c r="Q40" i="9"/>
  <c r="O40" i="9"/>
  <c r="M40" i="9"/>
  <c r="K40" i="9"/>
  <c r="I40" i="9"/>
  <c r="G40" i="9"/>
  <c r="E40" i="9"/>
  <c r="AA39" i="9"/>
  <c r="W39" i="9"/>
  <c r="Y39" i="9"/>
  <c r="AC37" i="9"/>
  <c r="AC36" i="9"/>
  <c r="W35" i="9"/>
  <c r="AA35" i="9"/>
  <c r="Y35" i="9"/>
  <c r="AC33" i="9"/>
  <c r="AC32" i="9"/>
  <c r="Y31" i="9"/>
  <c r="W31" i="9"/>
  <c r="AA31" i="9"/>
  <c r="AC29" i="9"/>
  <c r="AC28" i="9"/>
  <c r="AA27" i="9"/>
  <c r="Y27" i="9"/>
  <c r="W27" i="9"/>
  <c r="S27" i="9"/>
  <c r="O27" i="9"/>
  <c r="M27" i="9"/>
  <c r="I27" i="9"/>
  <c r="AC25" i="9"/>
  <c r="AC24" i="9"/>
  <c r="AA23" i="9"/>
  <c r="W23" i="9"/>
  <c r="U23" i="9"/>
  <c r="S23" i="9"/>
  <c r="M23" i="9"/>
  <c r="Y23" i="9"/>
  <c r="Q23" i="9"/>
  <c r="K23" i="9"/>
  <c r="I23" i="9"/>
  <c r="G23" i="9"/>
  <c r="AC21" i="9"/>
  <c r="AC20" i="9"/>
  <c r="W19" i="9"/>
  <c r="U19" i="9"/>
  <c r="S19" i="9"/>
  <c r="O19" i="9"/>
  <c r="G19" i="9"/>
  <c r="AA19" i="9"/>
  <c r="Y19" i="9"/>
  <c r="Q19" i="9"/>
  <c r="M19" i="9"/>
  <c r="AC17" i="9"/>
  <c r="AC16" i="9"/>
  <c r="W15" i="9"/>
  <c r="U15" i="9"/>
  <c r="S15" i="9"/>
  <c r="Q15" i="9"/>
  <c r="O15" i="9"/>
  <c r="M15" i="9"/>
  <c r="K15" i="9"/>
  <c r="I15" i="9"/>
  <c r="G15" i="9"/>
  <c r="AA15" i="9"/>
  <c r="AC13" i="9"/>
  <c r="AC12" i="9"/>
  <c r="AA11" i="9"/>
  <c r="Z11" i="9"/>
  <c r="Y11" i="9"/>
  <c r="W11" i="9"/>
  <c r="U11" i="9"/>
  <c r="S11" i="9"/>
  <c r="P11" i="9"/>
  <c r="O11" i="9"/>
  <c r="M11" i="9"/>
  <c r="K11" i="9"/>
  <c r="I11" i="9"/>
  <c r="G11" i="9"/>
  <c r="AA42" i="9"/>
  <c r="AA43" i="9" s="1"/>
  <c r="Y43" i="9"/>
  <c r="Q11" i="9"/>
  <c r="AC10" i="9"/>
  <c r="AB9" i="9"/>
  <c r="AB10" i="9" s="1"/>
  <c r="AC41" i="9" l="1"/>
  <c r="AC40" i="9"/>
  <c r="AC42" i="9"/>
  <c r="M42" i="9"/>
  <c r="U42" i="9"/>
  <c r="G42" i="9"/>
  <c r="W42" i="9"/>
  <c r="W43" i="9" s="1"/>
  <c r="I42" i="9"/>
  <c r="Q42" i="9"/>
  <c r="O42" i="9"/>
  <c r="K42" i="9"/>
  <c r="S42" i="9"/>
  <c r="E42" i="9"/>
  <c r="E43" i="9" s="1"/>
  <c r="AB15" i="9"/>
  <c r="L9" i="10"/>
  <c r="J57" i="10"/>
  <c r="J58" i="10" s="1"/>
  <c r="J10" i="10"/>
  <c r="L55" i="10"/>
  <c r="L56" i="10" s="1"/>
  <c r="L8" i="10"/>
  <c r="J55" i="10"/>
  <c r="J56" i="10" s="1"/>
  <c r="J8" i="10"/>
  <c r="AC14" i="9"/>
  <c r="AC15" i="9" s="1"/>
  <c r="AC30" i="9"/>
  <c r="AC31" i="9" s="1"/>
  <c r="AC22" i="9"/>
  <c r="AC23" i="9" s="1"/>
  <c r="AC38" i="9"/>
  <c r="AC39" i="9" s="1"/>
  <c r="AC34" i="9"/>
  <c r="AC35" i="9" s="1"/>
  <c r="AC26" i="9"/>
  <c r="AC27" i="9" s="1"/>
  <c r="AC18" i="9"/>
  <c r="AC19" i="9" s="1"/>
  <c r="AB11" i="9"/>
  <c r="AC11" i="9"/>
  <c r="E62" i="9"/>
  <c r="D11" i="9"/>
  <c r="AB42" i="9"/>
  <c r="I19" i="9"/>
  <c r="O23" i="9"/>
  <c r="K19" i="9"/>
  <c r="L43" i="4"/>
  <c r="F43" i="4"/>
  <c r="G43" i="4"/>
  <c r="H43" i="4"/>
  <c r="I43" i="4"/>
  <c r="E43" i="4"/>
  <c r="E66" i="9" l="1"/>
  <c r="AC62" i="9"/>
  <c r="AC63" i="9" s="1"/>
  <c r="L57" i="10"/>
  <c r="L58" i="10" s="1"/>
  <c r="L10" i="10"/>
  <c r="E63" i="9"/>
  <c r="J69" i="8"/>
  <c r="J68" i="8"/>
  <c r="J67" i="8"/>
  <c r="J66" i="8"/>
  <c r="J65" i="8"/>
  <c r="R59" i="8"/>
  <c r="Q59" i="8"/>
  <c r="P59" i="8"/>
  <c r="L59" i="8"/>
  <c r="K59" i="8"/>
  <c r="J70" i="8" s="1"/>
  <c r="J59" i="8"/>
  <c r="I59" i="8"/>
  <c r="H59" i="8"/>
  <c r="G59" i="8"/>
  <c r="F59" i="8"/>
  <c r="T58" i="8"/>
  <c r="S58" i="8"/>
  <c r="T57" i="8"/>
  <c r="S57" i="8"/>
  <c r="T56" i="8"/>
  <c r="S56" i="8"/>
  <c r="T55" i="8"/>
  <c r="S55" i="8"/>
  <c r="T54" i="8"/>
  <c r="S54" i="8"/>
  <c r="O54" i="8"/>
  <c r="N54" i="8"/>
  <c r="M54" i="8"/>
  <c r="T53" i="8"/>
  <c r="S53" i="8"/>
  <c r="O53" i="8"/>
  <c r="N53" i="8"/>
  <c r="M53" i="8"/>
  <c r="T52" i="8"/>
  <c r="S52" i="8"/>
  <c r="O52" i="8"/>
  <c r="N52" i="8"/>
  <c r="M52" i="8"/>
  <c r="T51" i="8"/>
  <c r="S51" i="8"/>
  <c r="O51" i="8"/>
  <c r="N51" i="8"/>
  <c r="M51" i="8"/>
  <c r="T50" i="8"/>
  <c r="S50" i="8"/>
  <c r="O50" i="8"/>
  <c r="N50" i="8"/>
  <c r="N29" i="8" s="1"/>
  <c r="M50" i="8"/>
  <c r="T49" i="8"/>
  <c r="S49" i="8"/>
  <c r="O49" i="8"/>
  <c r="O29" i="8" s="1"/>
  <c r="N49" i="8"/>
  <c r="M49" i="8"/>
  <c r="T48" i="8"/>
  <c r="S48" i="8"/>
  <c r="O48" i="8"/>
  <c r="N48" i="8"/>
  <c r="M48" i="8"/>
  <c r="T47" i="8"/>
  <c r="T59" i="8" s="1"/>
  <c r="S47" i="8"/>
  <c r="O47" i="8"/>
  <c r="N47" i="8"/>
  <c r="M47" i="8"/>
  <c r="M29" i="8" s="1"/>
  <c r="P29" i="8"/>
  <c r="R22" i="8"/>
  <c r="Q22" i="8"/>
  <c r="D22" i="8"/>
  <c r="P22" i="8" s="1"/>
  <c r="T21" i="8"/>
  <c r="S21" i="8"/>
  <c r="K21" i="8"/>
  <c r="L21" i="8" s="1"/>
  <c r="T20" i="8"/>
  <c r="S20" i="8"/>
  <c r="K20" i="8"/>
  <c r="L20" i="8" s="1"/>
  <c r="T19" i="8"/>
  <c r="S19" i="8"/>
  <c r="K19" i="8"/>
  <c r="J32" i="8" s="1"/>
  <c r="T18" i="8"/>
  <c r="S18" i="8"/>
  <c r="K18" i="8"/>
  <c r="L18" i="8" s="1"/>
  <c r="T17" i="8"/>
  <c r="S17" i="8"/>
  <c r="K17" i="8"/>
  <c r="L17" i="8" s="1"/>
  <c r="T16" i="8"/>
  <c r="S16" i="8"/>
  <c r="K16" i="8"/>
  <c r="T15" i="8"/>
  <c r="S15" i="8"/>
  <c r="K15" i="8"/>
  <c r="L15" i="8" s="1"/>
  <c r="T14" i="8"/>
  <c r="S14" i="8"/>
  <c r="K14" i="8"/>
  <c r="L14" i="8" s="1"/>
  <c r="T13" i="8"/>
  <c r="S13" i="8"/>
  <c r="K13" i="8"/>
  <c r="T12" i="8"/>
  <c r="S12" i="8"/>
  <c r="K12" i="8"/>
  <c r="L12" i="8" s="1"/>
  <c r="T11" i="8"/>
  <c r="S11" i="8"/>
  <c r="K11" i="8"/>
  <c r="L11" i="8" s="1"/>
  <c r="T10" i="8"/>
  <c r="S10" i="8"/>
  <c r="K10" i="8"/>
  <c r="K68" i="8" s="1"/>
  <c r="Z42" i="7"/>
  <c r="X42" i="7"/>
  <c r="W42" i="7"/>
  <c r="W43" i="7" s="1"/>
  <c r="V42" i="7"/>
  <c r="U42" i="7"/>
  <c r="U43" i="7" s="1"/>
  <c r="T42" i="7"/>
  <c r="S42" i="7"/>
  <c r="S43" i="7" s="1"/>
  <c r="R42" i="7"/>
  <c r="P42" i="7"/>
  <c r="N42" i="7"/>
  <c r="L42" i="7"/>
  <c r="J42" i="7"/>
  <c r="H42" i="7"/>
  <c r="F42" i="7"/>
  <c r="D42" i="7"/>
  <c r="AA41" i="7"/>
  <c r="Y41" i="7"/>
  <c r="W41" i="7"/>
  <c r="U41" i="7"/>
  <c r="S41" i="7"/>
  <c r="Q41" i="7"/>
  <c r="O41" i="7"/>
  <c r="M41" i="7"/>
  <c r="K41" i="7"/>
  <c r="I41" i="7"/>
  <c r="G41" i="7"/>
  <c r="E41" i="7"/>
  <c r="AA40" i="7"/>
  <c r="Y40" i="7"/>
  <c r="W40" i="7"/>
  <c r="U40" i="7"/>
  <c r="S40" i="7"/>
  <c r="Q40" i="7"/>
  <c r="O40" i="7"/>
  <c r="M40" i="7"/>
  <c r="K40" i="7"/>
  <c r="I40" i="7"/>
  <c r="G40" i="7"/>
  <c r="G42" i="7" s="1"/>
  <c r="G43" i="7" s="1"/>
  <c r="E40" i="7"/>
  <c r="E42" i="7" s="1"/>
  <c r="W39" i="7"/>
  <c r="U39" i="7"/>
  <c r="S39" i="7"/>
  <c r="AB38" i="7"/>
  <c r="AA38" i="7"/>
  <c r="AA39" i="7" s="1"/>
  <c r="Y38" i="7"/>
  <c r="Y39" i="7" s="1"/>
  <c r="Q38" i="7"/>
  <c r="Q39" i="7" s="1"/>
  <c r="O38" i="7"/>
  <c r="O39" i="7" s="1"/>
  <c r="M38" i="7"/>
  <c r="M39" i="7" s="1"/>
  <c r="K38" i="7"/>
  <c r="K39" i="7" s="1"/>
  <c r="I38" i="7"/>
  <c r="I39" i="7" s="1"/>
  <c r="G38" i="7"/>
  <c r="G39" i="7" s="1"/>
  <c r="E38" i="7"/>
  <c r="AC37" i="7"/>
  <c r="AB37" i="7"/>
  <c r="AC36" i="7"/>
  <c r="AC38" i="7" s="1"/>
  <c r="AB36" i="7"/>
  <c r="W35" i="7"/>
  <c r="U35" i="7"/>
  <c r="S35" i="7"/>
  <c r="AB34" i="7"/>
  <c r="AA34" i="7"/>
  <c r="AA35" i="7" s="1"/>
  <c r="Y34" i="7"/>
  <c r="Y35" i="7" s="1"/>
  <c r="Q34" i="7"/>
  <c r="Q35" i="7" s="1"/>
  <c r="O34" i="7"/>
  <c r="O35" i="7" s="1"/>
  <c r="M34" i="7"/>
  <c r="M35" i="7" s="1"/>
  <c r="K34" i="7"/>
  <c r="K35" i="7" s="1"/>
  <c r="I34" i="7"/>
  <c r="I35" i="7" s="1"/>
  <c r="G34" i="7"/>
  <c r="G35" i="7" s="1"/>
  <c r="E34" i="7"/>
  <c r="AC33" i="7"/>
  <c r="AB33" i="7"/>
  <c r="AC32" i="7"/>
  <c r="AC34" i="7" s="1"/>
  <c r="AB32" i="7"/>
  <c r="W31" i="7"/>
  <c r="U31" i="7"/>
  <c r="S31" i="7"/>
  <c r="AB30" i="7"/>
  <c r="AA30" i="7"/>
  <c r="AA31" i="7" s="1"/>
  <c r="Y30" i="7"/>
  <c r="Y31" i="7" s="1"/>
  <c r="Q30" i="7"/>
  <c r="Q31" i="7" s="1"/>
  <c r="O30" i="7"/>
  <c r="O31" i="7" s="1"/>
  <c r="M30" i="7"/>
  <c r="M31" i="7" s="1"/>
  <c r="K30" i="7"/>
  <c r="K31" i="7" s="1"/>
  <c r="I30" i="7"/>
  <c r="I31" i="7" s="1"/>
  <c r="G30" i="7"/>
  <c r="G31" i="7" s="1"/>
  <c r="E30" i="7"/>
  <c r="AC29" i="7"/>
  <c r="AB29" i="7"/>
  <c r="AC28" i="7"/>
  <c r="AB28" i="7"/>
  <c r="W27" i="7"/>
  <c r="U27" i="7"/>
  <c r="S27" i="7"/>
  <c r="AB26" i="7"/>
  <c r="AA26" i="7"/>
  <c r="AA27" i="7" s="1"/>
  <c r="Y26" i="7"/>
  <c r="Y27" i="7" s="1"/>
  <c r="Q26" i="7"/>
  <c r="Q27" i="7" s="1"/>
  <c r="O26" i="7"/>
  <c r="O27" i="7" s="1"/>
  <c r="M26" i="7"/>
  <c r="M27" i="7" s="1"/>
  <c r="K26" i="7"/>
  <c r="K27" i="7" s="1"/>
  <c r="I26" i="7"/>
  <c r="I27" i="7" s="1"/>
  <c r="G26" i="7"/>
  <c r="G27" i="7" s="1"/>
  <c r="E26" i="7"/>
  <c r="AC25" i="7"/>
  <c r="AB25" i="7"/>
  <c r="AC24" i="7"/>
  <c r="AB24" i="7"/>
  <c r="W23" i="7"/>
  <c r="U23" i="7"/>
  <c r="S23" i="7"/>
  <c r="AB22" i="7"/>
  <c r="AA22" i="7"/>
  <c r="AA23" i="7" s="1"/>
  <c r="Y22" i="7"/>
  <c r="Y23" i="7" s="1"/>
  <c r="Q22" i="7"/>
  <c r="Q23" i="7" s="1"/>
  <c r="O22" i="7"/>
  <c r="O23" i="7" s="1"/>
  <c r="M22" i="7"/>
  <c r="M23" i="7" s="1"/>
  <c r="K22" i="7"/>
  <c r="K23" i="7" s="1"/>
  <c r="I22" i="7"/>
  <c r="I23" i="7" s="1"/>
  <c r="G22" i="7"/>
  <c r="G23" i="7" s="1"/>
  <c r="E22" i="7"/>
  <c r="AC21" i="7"/>
  <c r="AB21" i="7"/>
  <c r="AC20" i="7"/>
  <c r="AB20" i="7"/>
  <c r="W19" i="7"/>
  <c r="U19" i="7"/>
  <c r="S19" i="7"/>
  <c r="AB18" i="7"/>
  <c r="AA18" i="7"/>
  <c r="AA19" i="7" s="1"/>
  <c r="Y18" i="7"/>
  <c r="Y19" i="7" s="1"/>
  <c r="Q18" i="7"/>
  <c r="Q19" i="7" s="1"/>
  <c r="O18" i="7"/>
  <c r="M18" i="7"/>
  <c r="M19" i="7" s="1"/>
  <c r="K18" i="7"/>
  <c r="I18" i="7"/>
  <c r="G18" i="7"/>
  <c r="G19" i="7" s="1"/>
  <c r="E18" i="7"/>
  <c r="AC17" i="7"/>
  <c r="AC16" i="7"/>
  <c r="AB16" i="7"/>
  <c r="W15" i="7"/>
  <c r="U15" i="7"/>
  <c r="S15" i="7"/>
  <c r="O15" i="7"/>
  <c r="M15" i="7"/>
  <c r="K15" i="7"/>
  <c r="I15" i="7"/>
  <c r="G15" i="7"/>
  <c r="E15" i="7"/>
  <c r="AB14" i="7"/>
  <c r="AA14" i="7"/>
  <c r="AA15" i="7" s="1"/>
  <c r="Y14" i="7"/>
  <c r="Y15" i="7" s="1"/>
  <c r="Q14" i="7"/>
  <c r="Q15" i="7" s="1"/>
  <c r="AC13" i="7"/>
  <c r="AC12" i="7"/>
  <c r="Z11" i="7"/>
  <c r="X11" i="7"/>
  <c r="W11" i="7"/>
  <c r="V11" i="7"/>
  <c r="U11" i="7"/>
  <c r="T11" i="7"/>
  <c r="S11" i="7"/>
  <c r="R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AB10" i="7"/>
  <c r="AA10" i="7"/>
  <c r="Y10" i="7"/>
  <c r="Q10" i="7"/>
  <c r="Q11" i="7" s="1"/>
  <c r="AC9" i="7"/>
  <c r="AB9" i="7"/>
  <c r="AC8" i="7"/>
  <c r="AB8" i="7"/>
  <c r="AC2" i="7"/>
  <c r="O126" i="6"/>
  <c r="N126" i="6"/>
  <c r="M126" i="6"/>
  <c r="L126" i="6"/>
  <c r="K126" i="6"/>
  <c r="J126" i="6"/>
  <c r="I126" i="6"/>
  <c r="H126" i="6"/>
  <c r="G126" i="6"/>
  <c r="F126" i="6"/>
  <c r="E126" i="6"/>
  <c r="D126" i="6"/>
  <c r="O125" i="6"/>
  <c r="N125" i="6"/>
  <c r="N127" i="6" s="1"/>
  <c r="M125" i="6"/>
  <c r="M127" i="6" s="1"/>
  <c r="L125" i="6"/>
  <c r="L127" i="6" s="1"/>
  <c r="K125" i="6"/>
  <c r="J125" i="6"/>
  <c r="J127" i="6" s="1"/>
  <c r="I125" i="6"/>
  <c r="I127" i="6" s="1"/>
  <c r="H125" i="6"/>
  <c r="H127" i="6" s="1"/>
  <c r="G125" i="6"/>
  <c r="F125" i="6"/>
  <c r="F127" i="6" s="1"/>
  <c r="E125" i="6"/>
  <c r="E127" i="6" s="1"/>
  <c r="D125" i="6"/>
  <c r="D127" i="6" s="1"/>
  <c r="P124" i="6"/>
  <c r="P123" i="6"/>
  <c r="P122" i="6"/>
  <c r="P121" i="6"/>
  <c r="P120" i="6"/>
  <c r="P119" i="6"/>
  <c r="P118" i="6"/>
  <c r="P117" i="6"/>
  <c r="P116" i="6"/>
  <c r="P115" i="6"/>
  <c r="O109" i="6"/>
  <c r="N109" i="6"/>
  <c r="M109" i="6"/>
  <c r="L109" i="6"/>
  <c r="AA17" i="6" s="1"/>
  <c r="K109" i="6"/>
  <c r="J109" i="6"/>
  <c r="I109" i="6"/>
  <c r="H109" i="6"/>
  <c r="G109" i="6"/>
  <c r="F109" i="6"/>
  <c r="E109" i="6"/>
  <c r="D109" i="6"/>
  <c r="O108" i="6"/>
  <c r="O110" i="6" s="1"/>
  <c r="O111" i="6" s="1"/>
  <c r="N108" i="6"/>
  <c r="N110" i="6" s="1"/>
  <c r="N111" i="6" s="1"/>
  <c r="M108" i="6"/>
  <c r="M110" i="6" s="1"/>
  <c r="M111" i="6" s="1"/>
  <c r="L108" i="6"/>
  <c r="L110" i="6" s="1"/>
  <c r="L111" i="6" s="1"/>
  <c r="K108" i="6"/>
  <c r="K110" i="6" s="1"/>
  <c r="K111" i="6" s="1"/>
  <c r="J108" i="6"/>
  <c r="J110" i="6" s="1"/>
  <c r="J111" i="6" s="1"/>
  <c r="I108" i="6"/>
  <c r="I110" i="6" s="1"/>
  <c r="I111" i="6" s="1"/>
  <c r="H108" i="6"/>
  <c r="H110" i="6" s="1"/>
  <c r="H111" i="6" s="1"/>
  <c r="G108" i="6"/>
  <c r="G110" i="6" s="1"/>
  <c r="G111" i="6" s="1"/>
  <c r="F108" i="6"/>
  <c r="F110" i="6" s="1"/>
  <c r="F111" i="6" s="1"/>
  <c r="E108" i="6"/>
  <c r="E110" i="6" s="1"/>
  <c r="E111" i="6" s="1"/>
  <c r="D108" i="6"/>
  <c r="D110" i="6" s="1"/>
  <c r="D111" i="6" s="1"/>
  <c r="O106" i="6"/>
  <c r="O107" i="6" s="1"/>
  <c r="N106" i="6"/>
  <c r="N107" i="6" s="1"/>
  <c r="M106" i="6"/>
  <c r="M107" i="6" s="1"/>
  <c r="L106" i="6"/>
  <c r="K106" i="6"/>
  <c r="K107" i="6" s="1"/>
  <c r="J106" i="6"/>
  <c r="J107" i="6" s="1"/>
  <c r="I106" i="6"/>
  <c r="I107" i="6" s="1"/>
  <c r="H106" i="6"/>
  <c r="H107" i="6" s="1"/>
  <c r="G106" i="6"/>
  <c r="G107" i="6" s="1"/>
  <c r="F106" i="6"/>
  <c r="F107" i="6" s="1"/>
  <c r="E106" i="6"/>
  <c r="E107" i="6" s="1"/>
  <c r="D106" i="6"/>
  <c r="D107" i="6" s="1"/>
  <c r="P105" i="6"/>
  <c r="P104" i="6"/>
  <c r="O102" i="6"/>
  <c r="O103" i="6" s="1"/>
  <c r="N102" i="6"/>
  <c r="N103" i="6" s="1"/>
  <c r="M102" i="6"/>
  <c r="M103" i="6" s="1"/>
  <c r="L102" i="6"/>
  <c r="K102" i="6"/>
  <c r="K103" i="6" s="1"/>
  <c r="J102" i="6"/>
  <c r="J103" i="6" s="1"/>
  <c r="I102" i="6"/>
  <c r="I103" i="6" s="1"/>
  <c r="H102" i="6"/>
  <c r="H103" i="6" s="1"/>
  <c r="G102" i="6"/>
  <c r="G103" i="6" s="1"/>
  <c r="F102" i="6"/>
  <c r="F103" i="6" s="1"/>
  <c r="E102" i="6"/>
  <c r="E103" i="6" s="1"/>
  <c r="D102" i="6"/>
  <c r="D103" i="6" s="1"/>
  <c r="P101" i="6"/>
  <c r="P100" i="6"/>
  <c r="O98" i="6"/>
  <c r="O99" i="6" s="1"/>
  <c r="N98" i="6"/>
  <c r="N99" i="6" s="1"/>
  <c r="M98" i="6"/>
  <c r="M99" i="6" s="1"/>
  <c r="L98" i="6"/>
  <c r="L99" i="6" s="1"/>
  <c r="K98" i="6"/>
  <c r="K99" i="6" s="1"/>
  <c r="J98" i="6"/>
  <c r="J99" i="6" s="1"/>
  <c r="I98" i="6"/>
  <c r="I99" i="6" s="1"/>
  <c r="H98" i="6"/>
  <c r="H99" i="6" s="1"/>
  <c r="G98" i="6"/>
  <c r="G99" i="6" s="1"/>
  <c r="F98" i="6"/>
  <c r="F99" i="6" s="1"/>
  <c r="E98" i="6"/>
  <c r="E99" i="6" s="1"/>
  <c r="D98" i="6"/>
  <c r="D99" i="6" s="1"/>
  <c r="P97" i="6"/>
  <c r="P96" i="6"/>
  <c r="O94" i="6"/>
  <c r="O95" i="6" s="1"/>
  <c r="N94" i="6"/>
  <c r="N95" i="6" s="1"/>
  <c r="M94" i="6"/>
  <c r="M95" i="6" s="1"/>
  <c r="L94" i="6"/>
  <c r="L95" i="6" s="1"/>
  <c r="K94" i="6"/>
  <c r="K95" i="6" s="1"/>
  <c r="J94" i="6"/>
  <c r="J95" i="6" s="1"/>
  <c r="I94" i="6"/>
  <c r="I95" i="6" s="1"/>
  <c r="H94" i="6"/>
  <c r="H95" i="6" s="1"/>
  <c r="G94" i="6"/>
  <c r="G95" i="6" s="1"/>
  <c r="F94" i="6"/>
  <c r="F95" i="6" s="1"/>
  <c r="E94" i="6"/>
  <c r="E95" i="6" s="1"/>
  <c r="D94" i="6"/>
  <c r="D95" i="6" s="1"/>
  <c r="P93" i="6"/>
  <c r="P92" i="6"/>
  <c r="O91" i="6"/>
  <c r="N91" i="6"/>
  <c r="M90" i="6"/>
  <c r="M91" i="6" s="1"/>
  <c r="L90" i="6"/>
  <c r="L91" i="6" s="1"/>
  <c r="K90" i="6"/>
  <c r="K91" i="6" s="1"/>
  <c r="J90" i="6"/>
  <c r="J91" i="6" s="1"/>
  <c r="I90" i="6"/>
  <c r="I91" i="6" s="1"/>
  <c r="H90" i="6"/>
  <c r="H91" i="6" s="1"/>
  <c r="G90" i="6"/>
  <c r="G91" i="6" s="1"/>
  <c r="F90" i="6"/>
  <c r="F91" i="6" s="1"/>
  <c r="E90" i="6"/>
  <c r="E91" i="6" s="1"/>
  <c r="D90" i="6"/>
  <c r="D91" i="6" s="1"/>
  <c r="P89" i="6"/>
  <c r="P88" i="6"/>
  <c r="O86" i="6"/>
  <c r="O87" i="6" s="1"/>
  <c r="N86" i="6"/>
  <c r="N87" i="6" s="1"/>
  <c r="M86" i="6"/>
  <c r="M87" i="6" s="1"/>
  <c r="L86" i="6"/>
  <c r="L87" i="6" s="1"/>
  <c r="K86" i="6"/>
  <c r="K87" i="6" s="1"/>
  <c r="J86" i="6"/>
  <c r="J87" i="6" s="1"/>
  <c r="I86" i="6"/>
  <c r="I87" i="6" s="1"/>
  <c r="H86" i="6"/>
  <c r="H87" i="6" s="1"/>
  <c r="G86" i="6"/>
  <c r="G87" i="6" s="1"/>
  <c r="F86" i="6"/>
  <c r="F87" i="6" s="1"/>
  <c r="E86" i="6"/>
  <c r="E87" i="6" s="1"/>
  <c r="D86" i="6"/>
  <c r="P85" i="6"/>
  <c r="P84" i="6"/>
  <c r="O82" i="6"/>
  <c r="O83" i="6" s="1"/>
  <c r="N82" i="6"/>
  <c r="N83" i="6" s="1"/>
  <c r="M82" i="6"/>
  <c r="M83" i="6" s="1"/>
  <c r="L82" i="6"/>
  <c r="L83" i="6" s="1"/>
  <c r="K82" i="6"/>
  <c r="K83" i="6" s="1"/>
  <c r="J82" i="6"/>
  <c r="J83" i="6" s="1"/>
  <c r="I82" i="6"/>
  <c r="I83" i="6" s="1"/>
  <c r="H82" i="6"/>
  <c r="H83" i="6" s="1"/>
  <c r="G82" i="6"/>
  <c r="G83" i="6" s="1"/>
  <c r="F82" i="6"/>
  <c r="F83" i="6" s="1"/>
  <c r="E82" i="6"/>
  <c r="E83" i="6" s="1"/>
  <c r="D82" i="6"/>
  <c r="P81" i="6"/>
  <c r="P80" i="6"/>
  <c r="O78" i="6"/>
  <c r="O79" i="6" s="1"/>
  <c r="N78" i="6"/>
  <c r="N79" i="6" s="1"/>
  <c r="M78" i="6"/>
  <c r="M79" i="6" s="1"/>
  <c r="L78" i="6"/>
  <c r="L79" i="6" s="1"/>
  <c r="K78" i="6"/>
  <c r="K79" i="6" s="1"/>
  <c r="J78" i="6"/>
  <c r="J79" i="6" s="1"/>
  <c r="I78" i="6"/>
  <c r="I79" i="6" s="1"/>
  <c r="H78" i="6"/>
  <c r="H79" i="6" s="1"/>
  <c r="G78" i="6"/>
  <c r="G79" i="6" s="1"/>
  <c r="F78" i="6"/>
  <c r="F79" i="6" s="1"/>
  <c r="E78" i="6"/>
  <c r="E79" i="6" s="1"/>
  <c r="D78" i="6"/>
  <c r="P77" i="6"/>
  <c r="P76" i="6"/>
  <c r="P71" i="6"/>
  <c r="O57" i="6"/>
  <c r="N57" i="6"/>
  <c r="M57" i="6"/>
  <c r="L57" i="6"/>
  <c r="K57" i="6"/>
  <c r="J57" i="6"/>
  <c r="I57" i="6"/>
  <c r="H57" i="6"/>
  <c r="G57" i="6"/>
  <c r="F57" i="6"/>
  <c r="E57" i="6"/>
  <c r="D57" i="6"/>
  <c r="O56" i="6"/>
  <c r="O58" i="6" s="1"/>
  <c r="N56" i="6"/>
  <c r="N58" i="6" s="1"/>
  <c r="M56" i="6"/>
  <c r="M58" i="6" s="1"/>
  <c r="L56" i="6"/>
  <c r="L58" i="6" s="1"/>
  <c r="K56" i="6"/>
  <c r="K58" i="6" s="1"/>
  <c r="J56" i="6"/>
  <c r="J58" i="6" s="1"/>
  <c r="I56" i="6"/>
  <c r="I58" i="6" s="1"/>
  <c r="H56" i="6"/>
  <c r="H58" i="6" s="1"/>
  <c r="G56" i="6"/>
  <c r="G58" i="6" s="1"/>
  <c r="F56" i="6"/>
  <c r="F58" i="6" s="1"/>
  <c r="E56" i="6"/>
  <c r="E58" i="6" s="1"/>
  <c r="D56" i="6"/>
  <c r="P55" i="6"/>
  <c r="P54" i="6"/>
  <c r="P53" i="6"/>
  <c r="P52" i="6"/>
  <c r="P51" i="6"/>
  <c r="P50" i="6"/>
  <c r="P49" i="6"/>
  <c r="P48" i="6"/>
  <c r="P47" i="6"/>
  <c r="P46" i="6"/>
  <c r="O40" i="6"/>
  <c r="N40" i="6"/>
  <c r="M40" i="6"/>
  <c r="L40" i="6"/>
  <c r="K40" i="6"/>
  <c r="J40" i="6"/>
  <c r="I40" i="6"/>
  <c r="H40" i="6"/>
  <c r="G40" i="6"/>
  <c r="F40" i="6"/>
  <c r="E40" i="6"/>
  <c r="D40" i="6"/>
  <c r="O39" i="6"/>
  <c r="O41" i="6" s="1"/>
  <c r="O42" i="6" s="1"/>
  <c r="N39" i="6"/>
  <c r="N41" i="6" s="1"/>
  <c r="N42" i="6" s="1"/>
  <c r="M39" i="6"/>
  <c r="M41" i="6" s="1"/>
  <c r="M42" i="6" s="1"/>
  <c r="L39" i="6"/>
  <c r="L41" i="6" s="1"/>
  <c r="L42" i="6" s="1"/>
  <c r="K39" i="6"/>
  <c r="K41" i="6" s="1"/>
  <c r="K42" i="6" s="1"/>
  <c r="J39" i="6"/>
  <c r="I39" i="6"/>
  <c r="I41" i="6" s="1"/>
  <c r="I42" i="6" s="1"/>
  <c r="H39" i="6"/>
  <c r="H41" i="6" s="1"/>
  <c r="H42" i="6" s="1"/>
  <c r="G39" i="6"/>
  <c r="G41" i="6" s="1"/>
  <c r="G42" i="6" s="1"/>
  <c r="F39" i="6"/>
  <c r="F41" i="6" s="1"/>
  <c r="F42" i="6" s="1"/>
  <c r="E39" i="6"/>
  <c r="E41" i="6" s="1"/>
  <c r="E42" i="6" s="1"/>
  <c r="D39" i="6"/>
  <c r="O37" i="6"/>
  <c r="O38" i="6" s="1"/>
  <c r="N37" i="6"/>
  <c r="N38" i="6" s="1"/>
  <c r="M37" i="6"/>
  <c r="M38" i="6" s="1"/>
  <c r="L37" i="6"/>
  <c r="K37" i="6"/>
  <c r="K38" i="6" s="1"/>
  <c r="J37" i="6"/>
  <c r="J38" i="6" s="1"/>
  <c r="I37" i="6"/>
  <c r="I38" i="6" s="1"/>
  <c r="H37" i="6"/>
  <c r="H38" i="6" s="1"/>
  <c r="G37" i="6"/>
  <c r="G38" i="6" s="1"/>
  <c r="F37" i="6"/>
  <c r="F38" i="6" s="1"/>
  <c r="E37" i="6"/>
  <c r="E38" i="6" s="1"/>
  <c r="D37" i="6"/>
  <c r="D38" i="6" s="1"/>
  <c r="P36" i="6"/>
  <c r="P35" i="6"/>
  <c r="O33" i="6"/>
  <c r="O34" i="6" s="1"/>
  <c r="N33" i="6"/>
  <c r="N34" i="6" s="1"/>
  <c r="M33" i="6"/>
  <c r="M34" i="6" s="1"/>
  <c r="L33" i="6"/>
  <c r="L34" i="6" s="1"/>
  <c r="K33" i="6"/>
  <c r="K34" i="6" s="1"/>
  <c r="J33" i="6"/>
  <c r="J34" i="6" s="1"/>
  <c r="I33" i="6"/>
  <c r="I34" i="6" s="1"/>
  <c r="H33" i="6"/>
  <c r="H34" i="6" s="1"/>
  <c r="G33" i="6"/>
  <c r="G34" i="6" s="1"/>
  <c r="F33" i="6"/>
  <c r="F34" i="6" s="1"/>
  <c r="E33" i="6"/>
  <c r="E34" i="6" s="1"/>
  <c r="D33" i="6"/>
  <c r="D34" i="6" s="1"/>
  <c r="P32" i="6"/>
  <c r="P31" i="6"/>
  <c r="O29" i="6"/>
  <c r="O30" i="6" s="1"/>
  <c r="N29" i="6"/>
  <c r="N30" i="6" s="1"/>
  <c r="M29" i="6"/>
  <c r="M30" i="6" s="1"/>
  <c r="L29" i="6"/>
  <c r="K29" i="6"/>
  <c r="K30" i="6" s="1"/>
  <c r="J29" i="6"/>
  <c r="J30" i="6" s="1"/>
  <c r="I29" i="6"/>
  <c r="I30" i="6" s="1"/>
  <c r="H29" i="6"/>
  <c r="H30" i="6" s="1"/>
  <c r="G29" i="6"/>
  <c r="G30" i="6" s="1"/>
  <c r="F29" i="6"/>
  <c r="F30" i="6" s="1"/>
  <c r="E29" i="6"/>
  <c r="E30" i="6" s="1"/>
  <c r="D29" i="6"/>
  <c r="D30" i="6" s="1"/>
  <c r="P28" i="6"/>
  <c r="P27" i="6"/>
  <c r="O25" i="6"/>
  <c r="O26" i="6" s="1"/>
  <c r="N25" i="6"/>
  <c r="N26" i="6" s="1"/>
  <c r="M25" i="6"/>
  <c r="M26" i="6" s="1"/>
  <c r="L25" i="6"/>
  <c r="L26" i="6" s="1"/>
  <c r="K25" i="6"/>
  <c r="K26" i="6" s="1"/>
  <c r="J25" i="6"/>
  <c r="J26" i="6" s="1"/>
  <c r="I25" i="6"/>
  <c r="I26" i="6" s="1"/>
  <c r="H25" i="6"/>
  <c r="H26" i="6" s="1"/>
  <c r="G25" i="6"/>
  <c r="G26" i="6" s="1"/>
  <c r="F25" i="6"/>
  <c r="F26" i="6" s="1"/>
  <c r="E25" i="6"/>
  <c r="E26" i="6" s="1"/>
  <c r="D25" i="6"/>
  <c r="D26" i="6" s="1"/>
  <c r="P24" i="6"/>
  <c r="P23" i="6"/>
  <c r="O21" i="6"/>
  <c r="O22" i="6" s="1"/>
  <c r="N21" i="6"/>
  <c r="N22" i="6" s="1"/>
  <c r="M21" i="6"/>
  <c r="M22" i="6" s="1"/>
  <c r="L21" i="6"/>
  <c r="L22" i="6" s="1"/>
  <c r="K21" i="6"/>
  <c r="K22" i="6" s="1"/>
  <c r="J21" i="6"/>
  <c r="J22" i="6" s="1"/>
  <c r="I21" i="6"/>
  <c r="I22" i="6" s="1"/>
  <c r="H21" i="6"/>
  <c r="H22" i="6" s="1"/>
  <c r="G21" i="6"/>
  <c r="G22" i="6" s="1"/>
  <c r="F21" i="6"/>
  <c r="F22" i="6" s="1"/>
  <c r="E21" i="6"/>
  <c r="E22" i="6" s="1"/>
  <c r="D21" i="6"/>
  <c r="D22" i="6" s="1"/>
  <c r="P20" i="6"/>
  <c r="P19" i="6"/>
  <c r="AD17" i="6"/>
  <c r="Z17" i="6"/>
  <c r="O17" i="6"/>
  <c r="O18" i="6" s="1"/>
  <c r="N17" i="6"/>
  <c r="N18" i="6" s="1"/>
  <c r="M17" i="6"/>
  <c r="M18" i="6" s="1"/>
  <c r="L17" i="6"/>
  <c r="L18" i="6" s="1"/>
  <c r="K17" i="6"/>
  <c r="K18" i="6" s="1"/>
  <c r="J17" i="6"/>
  <c r="J18" i="6" s="1"/>
  <c r="I17" i="6"/>
  <c r="I18" i="6" s="1"/>
  <c r="H17" i="6"/>
  <c r="H18" i="6" s="1"/>
  <c r="G17" i="6"/>
  <c r="G18" i="6" s="1"/>
  <c r="F17" i="6"/>
  <c r="F18" i="6" s="1"/>
  <c r="E17" i="6"/>
  <c r="E18" i="6" s="1"/>
  <c r="D17" i="6"/>
  <c r="AD16" i="6"/>
  <c r="Z16" i="6"/>
  <c r="P16" i="6"/>
  <c r="P15" i="6"/>
  <c r="AD13" i="6"/>
  <c r="O13" i="6"/>
  <c r="O14" i="6" s="1"/>
  <c r="N13" i="6"/>
  <c r="N14" i="6" s="1"/>
  <c r="M13" i="6"/>
  <c r="M14" i="6" s="1"/>
  <c r="L13" i="6"/>
  <c r="K13" i="6"/>
  <c r="K14" i="6" s="1"/>
  <c r="J13" i="6"/>
  <c r="J14" i="6" s="1"/>
  <c r="I13" i="6"/>
  <c r="I14" i="6" s="1"/>
  <c r="H13" i="6"/>
  <c r="H14" i="6" s="1"/>
  <c r="G13" i="6"/>
  <c r="G14" i="6" s="1"/>
  <c r="F13" i="6"/>
  <c r="F14" i="6" s="1"/>
  <c r="E13" i="6"/>
  <c r="E14" i="6" s="1"/>
  <c r="D13" i="6"/>
  <c r="D14" i="6" s="1"/>
  <c r="AD12" i="6"/>
  <c r="P12" i="6"/>
  <c r="AD11" i="6"/>
  <c r="P11" i="6"/>
  <c r="AD10" i="6"/>
  <c r="AD9" i="6"/>
  <c r="AA9" i="6"/>
  <c r="O9" i="6"/>
  <c r="O10" i="6" s="1"/>
  <c r="N9" i="6"/>
  <c r="N10" i="6" s="1"/>
  <c r="M9" i="6"/>
  <c r="M10" i="6" s="1"/>
  <c r="L9" i="6"/>
  <c r="L10" i="6" s="1"/>
  <c r="K9" i="6"/>
  <c r="K10" i="6" s="1"/>
  <c r="J9" i="6"/>
  <c r="I9" i="6"/>
  <c r="I10" i="6" s="1"/>
  <c r="H9" i="6"/>
  <c r="H10" i="6" s="1"/>
  <c r="G9" i="6"/>
  <c r="G10" i="6" s="1"/>
  <c r="F9" i="6"/>
  <c r="F10" i="6" s="1"/>
  <c r="E9" i="6"/>
  <c r="E10" i="6" s="1"/>
  <c r="D9" i="6"/>
  <c r="D10" i="6" s="1"/>
  <c r="AD8" i="6"/>
  <c r="P8" i="6"/>
  <c r="AD7" i="6"/>
  <c r="P7" i="6"/>
  <c r="AD6" i="6"/>
  <c r="P2" i="6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C30" i="5"/>
  <c r="H82" i="1"/>
  <c r="G82" i="1"/>
  <c r="F82" i="1"/>
  <c r="E82" i="1"/>
  <c r="D82" i="1"/>
  <c r="I67" i="1"/>
  <c r="H67" i="1"/>
  <c r="G67" i="1"/>
  <c r="F67" i="1"/>
  <c r="E67" i="1"/>
  <c r="D67" i="1"/>
  <c r="T18" i="4"/>
  <c r="U18" i="4"/>
  <c r="V18" i="4"/>
  <c r="W18" i="4"/>
  <c r="Y18" i="4"/>
  <c r="S18" i="4"/>
  <c r="X16" i="4"/>
  <c r="X17" i="4"/>
  <c r="L97" i="4"/>
  <c r="I97" i="4"/>
  <c r="I98" i="4" s="1"/>
  <c r="H97" i="4"/>
  <c r="G97" i="4"/>
  <c r="G98" i="4" s="1"/>
  <c r="F97" i="4"/>
  <c r="E97" i="4"/>
  <c r="E98" i="4" s="1"/>
  <c r="L95" i="4"/>
  <c r="L96" i="4" s="1"/>
  <c r="I95" i="4"/>
  <c r="I100" i="4" s="1"/>
  <c r="H95" i="4"/>
  <c r="H99" i="4" s="1"/>
  <c r="G95" i="4"/>
  <c r="F95" i="4"/>
  <c r="F96" i="4" s="1"/>
  <c r="E95" i="4"/>
  <c r="E100" i="4" s="1"/>
  <c r="L94" i="4"/>
  <c r="I94" i="4"/>
  <c r="H94" i="4"/>
  <c r="G94" i="4"/>
  <c r="F94" i="4"/>
  <c r="E94" i="4"/>
  <c r="J93" i="4"/>
  <c r="J94" i="4" s="1"/>
  <c r="L92" i="4"/>
  <c r="I92" i="4"/>
  <c r="H92" i="4"/>
  <c r="G92" i="4"/>
  <c r="F92" i="4"/>
  <c r="E92" i="4"/>
  <c r="J91" i="4"/>
  <c r="J92" i="4" s="1"/>
  <c r="L90" i="4"/>
  <c r="I90" i="4"/>
  <c r="H90" i="4"/>
  <c r="G90" i="4"/>
  <c r="F90" i="4"/>
  <c r="E90" i="4"/>
  <c r="J89" i="4"/>
  <c r="J90" i="4" s="1"/>
  <c r="L88" i="4"/>
  <c r="I88" i="4"/>
  <c r="H88" i="4"/>
  <c r="G88" i="4"/>
  <c r="F88" i="4"/>
  <c r="E88" i="4"/>
  <c r="J87" i="4"/>
  <c r="J88" i="4" s="1"/>
  <c r="L86" i="4"/>
  <c r="I86" i="4"/>
  <c r="H86" i="4"/>
  <c r="G86" i="4"/>
  <c r="F86" i="4"/>
  <c r="E86" i="4"/>
  <c r="J85" i="4"/>
  <c r="L84" i="4"/>
  <c r="I84" i="4"/>
  <c r="H84" i="4"/>
  <c r="G84" i="4"/>
  <c r="F84" i="4"/>
  <c r="E84" i="4"/>
  <c r="J83" i="4"/>
  <c r="J84" i="4" s="1"/>
  <c r="L82" i="4"/>
  <c r="I82" i="4"/>
  <c r="H82" i="4"/>
  <c r="G82" i="4"/>
  <c r="F82" i="4"/>
  <c r="E82" i="4"/>
  <c r="J81" i="4"/>
  <c r="M81" i="4" s="1"/>
  <c r="M82" i="4" s="1"/>
  <c r="L80" i="4"/>
  <c r="I80" i="4"/>
  <c r="H80" i="4"/>
  <c r="G80" i="4"/>
  <c r="F80" i="4"/>
  <c r="E80" i="4"/>
  <c r="J79" i="4"/>
  <c r="M79" i="4" s="1"/>
  <c r="M80" i="4" s="1"/>
  <c r="L78" i="4"/>
  <c r="I78" i="4"/>
  <c r="H78" i="4"/>
  <c r="G78" i="4"/>
  <c r="F78" i="4"/>
  <c r="E78" i="4"/>
  <c r="J77" i="4"/>
  <c r="J78" i="4" s="1"/>
  <c r="J76" i="4"/>
  <c r="M76" i="4" s="1"/>
  <c r="L75" i="4"/>
  <c r="I75" i="4"/>
  <c r="H75" i="4"/>
  <c r="G75" i="4"/>
  <c r="F75" i="4"/>
  <c r="E75" i="4"/>
  <c r="J74" i="4"/>
  <c r="M74" i="4" s="1"/>
  <c r="M75" i="4" s="1"/>
  <c r="J73" i="4"/>
  <c r="M73" i="4" s="1"/>
  <c r="L72" i="4"/>
  <c r="I72" i="4"/>
  <c r="H72" i="4"/>
  <c r="G72" i="4"/>
  <c r="F72" i="4"/>
  <c r="E72" i="4"/>
  <c r="J71" i="4"/>
  <c r="M71" i="4" s="1"/>
  <c r="M72" i="4" s="1"/>
  <c r="J70" i="4"/>
  <c r="M70" i="4" s="1"/>
  <c r="L69" i="4"/>
  <c r="I69" i="4"/>
  <c r="H69" i="4"/>
  <c r="G69" i="4"/>
  <c r="F69" i="4"/>
  <c r="E69" i="4"/>
  <c r="J68" i="4"/>
  <c r="M68" i="4" s="1"/>
  <c r="M69" i="4" s="1"/>
  <c r="J67" i="4"/>
  <c r="M67" i="4" s="1"/>
  <c r="L66" i="4"/>
  <c r="I66" i="4"/>
  <c r="H66" i="4"/>
  <c r="G66" i="4"/>
  <c r="F66" i="4"/>
  <c r="E66" i="4"/>
  <c r="J65" i="4"/>
  <c r="J64" i="4"/>
  <c r="M64" i="4" s="1"/>
  <c r="L63" i="4"/>
  <c r="I63" i="4"/>
  <c r="H63" i="4"/>
  <c r="G63" i="4"/>
  <c r="F63" i="4"/>
  <c r="E63" i="4"/>
  <c r="J62" i="4"/>
  <c r="J63" i="4" s="1"/>
  <c r="J61" i="4"/>
  <c r="M61" i="4" s="1"/>
  <c r="L60" i="4"/>
  <c r="I60" i="4"/>
  <c r="H60" i="4"/>
  <c r="G60" i="4"/>
  <c r="F60" i="4"/>
  <c r="E60" i="4"/>
  <c r="J59" i="4"/>
  <c r="J60" i="4" s="1"/>
  <c r="J58" i="4"/>
  <c r="M58" i="4" s="1"/>
  <c r="L57" i="4"/>
  <c r="I57" i="4"/>
  <c r="H57" i="4"/>
  <c r="G57" i="4"/>
  <c r="F57" i="4"/>
  <c r="E57" i="4"/>
  <c r="J56" i="4"/>
  <c r="J57" i="4" s="1"/>
  <c r="J55" i="4"/>
  <c r="L48" i="4"/>
  <c r="I48" i="4"/>
  <c r="H48" i="4"/>
  <c r="G48" i="4"/>
  <c r="F48" i="4"/>
  <c r="E48" i="4"/>
  <c r="B48" i="4"/>
  <c r="L46" i="4"/>
  <c r="L45" i="4"/>
  <c r="I45" i="4"/>
  <c r="H45" i="4"/>
  <c r="G45" i="4"/>
  <c r="F45" i="4"/>
  <c r="E45" i="4"/>
  <c r="J44" i="4"/>
  <c r="J45" i="4" s="1"/>
  <c r="J42" i="4"/>
  <c r="L41" i="4"/>
  <c r="I41" i="4"/>
  <c r="H41" i="4"/>
  <c r="G41" i="4"/>
  <c r="F41" i="4"/>
  <c r="E41" i="4"/>
  <c r="J40" i="4"/>
  <c r="J41" i="4" s="1"/>
  <c r="L39" i="4"/>
  <c r="I39" i="4"/>
  <c r="H39" i="4"/>
  <c r="G39" i="4"/>
  <c r="F39" i="4"/>
  <c r="E39" i="4"/>
  <c r="J38" i="4"/>
  <c r="J39" i="4" s="1"/>
  <c r="L37" i="4"/>
  <c r="I37" i="4"/>
  <c r="H37" i="4"/>
  <c r="G37" i="4"/>
  <c r="F37" i="4"/>
  <c r="E37" i="4"/>
  <c r="J36" i="4"/>
  <c r="J37" i="4" s="1"/>
  <c r="L35" i="4"/>
  <c r="I35" i="4"/>
  <c r="H35" i="4"/>
  <c r="G35" i="4"/>
  <c r="F35" i="4"/>
  <c r="E35" i="4"/>
  <c r="J34" i="4"/>
  <c r="J35" i="4" s="1"/>
  <c r="L33" i="4"/>
  <c r="I33" i="4"/>
  <c r="H33" i="4"/>
  <c r="G33" i="4"/>
  <c r="F33" i="4"/>
  <c r="E33" i="4"/>
  <c r="J32" i="4"/>
  <c r="L31" i="4"/>
  <c r="I31" i="4"/>
  <c r="H31" i="4"/>
  <c r="G31" i="4"/>
  <c r="F31" i="4"/>
  <c r="E31" i="4"/>
  <c r="J30" i="4"/>
  <c r="J31" i="4" s="1"/>
  <c r="L29" i="4"/>
  <c r="I29" i="4"/>
  <c r="H29" i="4"/>
  <c r="G29" i="4"/>
  <c r="F29" i="4"/>
  <c r="E29" i="4"/>
  <c r="J28" i="4"/>
  <c r="J29" i="4" s="1"/>
  <c r="J27" i="4"/>
  <c r="M27" i="4" s="1"/>
  <c r="L26" i="4"/>
  <c r="I26" i="4"/>
  <c r="H26" i="4"/>
  <c r="G26" i="4"/>
  <c r="F26" i="4"/>
  <c r="E26" i="4"/>
  <c r="J25" i="4"/>
  <c r="J26" i="4" s="1"/>
  <c r="J24" i="4"/>
  <c r="M24" i="4" s="1"/>
  <c r="L23" i="4"/>
  <c r="I23" i="4"/>
  <c r="H23" i="4"/>
  <c r="G23" i="4"/>
  <c r="F23" i="4"/>
  <c r="E23" i="4"/>
  <c r="J22" i="4"/>
  <c r="J23" i="4" s="1"/>
  <c r="I21" i="4"/>
  <c r="H21" i="4"/>
  <c r="G21" i="4"/>
  <c r="F21" i="4"/>
  <c r="E21" i="4"/>
  <c r="L20" i="4"/>
  <c r="I20" i="4"/>
  <c r="H20" i="4"/>
  <c r="G20" i="4"/>
  <c r="F20" i="4"/>
  <c r="E20" i="4"/>
  <c r="J19" i="4"/>
  <c r="J20" i="4" s="1"/>
  <c r="I18" i="4"/>
  <c r="H18" i="4"/>
  <c r="G18" i="4"/>
  <c r="F18" i="4"/>
  <c r="E18" i="4"/>
  <c r="L17" i="4"/>
  <c r="I17" i="4"/>
  <c r="H17" i="4"/>
  <c r="G17" i="4"/>
  <c r="F17" i="4"/>
  <c r="E17" i="4"/>
  <c r="J16" i="4"/>
  <c r="J17" i="4" s="1"/>
  <c r="X15" i="4"/>
  <c r="I15" i="4"/>
  <c r="H15" i="4"/>
  <c r="G15" i="4"/>
  <c r="F15" i="4"/>
  <c r="E15" i="4"/>
  <c r="X14" i="4"/>
  <c r="L14" i="4"/>
  <c r="I14" i="4"/>
  <c r="H14" i="4"/>
  <c r="G14" i="4"/>
  <c r="F14" i="4"/>
  <c r="E14" i="4"/>
  <c r="X13" i="4"/>
  <c r="J13" i="4"/>
  <c r="M13" i="4" s="1"/>
  <c r="M14" i="4" s="1"/>
  <c r="X12" i="4"/>
  <c r="I12" i="4"/>
  <c r="H12" i="4"/>
  <c r="G12" i="4"/>
  <c r="F12" i="4"/>
  <c r="E12" i="4"/>
  <c r="X11" i="4"/>
  <c r="L11" i="4"/>
  <c r="I11" i="4"/>
  <c r="H11" i="4"/>
  <c r="G11" i="4"/>
  <c r="F11" i="4"/>
  <c r="E11" i="4"/>
  <c r="X10" i="4"/>
  <c r="J10" i="4"/>
  <c r="M10" i="4" s="1"/>
  <c r="M11" i="4" s="1"/>
  <c r="X9" i="4"/>
  <c r="I9" i="4"/>
  <c r="H9" i="4"/>
  <c r="G9" i="4"/>
  <c r="F9" i="4"/>
  <c r="E9" i="4"/>
  <c r="X8" i="4"/>
  <c r="L8" i="4"/>
  <c r="I8" i="4"/>
  <c r="H8" i="4"/>
  <c r="G8" i="4"/>
  <c r="F8" i="4"/>
  <c r="E8" i="4"/>
  <c r="X7" i="4"/>
  <c r="J7" i="4"/>
  <c r="M7" i="4" s="1"/>
  <c r="X6" i="4"/>
  <c r="J6" i="4"/>
  <c r="E49" i="4" l="1"/>
  <c r="M59" i="4"/>
  <c r="M60" i="4" s="1"/>
  <c r="K61" i="4"/>
  <c r="Z10" i="6"/>
  <c r="M16" i="4"/>
  <c r="M17" i="4" s="1"/>
  <c r="AD14" i="6"/>
  <c r="Z12" i="6"/>
  <c r="L47" i="4"/>
  <c r="M34" i="4"/>
  <c r="M35" i="4" s="1"/>
  <c r="M36" i="4"/>
  <c r="M37" i="4" s="1"/>
  <c r="AA11" i="6"/>
  <c r="AC14" i="7"/>
  <c r="M19" i="4"/>
  <c r="M20" i="4" s="1"/>
  <c r="M38" i="4"/>
  <c r="M39" i="4" s="1"/>
  <c r="I49" i="4"/>
  <c r="J69" i="4"/>
  <c r="K83" i="4"/>
  <c r="F31" i="5"/>
  <c r="J31" i="5"/>
  <c r="Z6" i="6"/>
  <c r="P82" i="6"/>
  <c r="P83" i="6" s="1"/>
  <c r="AB15" i="7"/>
  <c r="M28" i="4"/>
  <c r="M29" i="4" s="1"/>
  <c r="K64" i="4"/>
  <c r="AC43" i="9"/>
  <c r="AC18" i="7"/>
  <c r="AB42" i="7"/>
  <c r="M22" i="4"/>
  <c r="M23" i="4" s="1"/>
  <c r="K38" i="4"/>
  <c r="M62" i="4"/>
  <c r="M63" i="4" s="1"/>
  <c r="J82" i="4"/>
  <c r="L100" i="4"/>
  <c r="N31" i="5"/>
  <c r="R31" i="5"/>
  <c r="V31" i="5"/>
  <c r="Z31" i="5"/>
  <c r="AD31" i="5"/>
  <c r="AC19" i="7"/>
  <c r="AB43" i="7"/>
  <c r="K66" i="8"/>
  <c r="X18" i="4"/>
  <c r="G46" i="4"/>
  <c r="L51" i="4"/>
  <c r="G99" i="4"/>
  <c r="H100" i="4"/>
  <c r="I99" i="4"/>
  <c r="Z9" i="6"/>
  <c r="AB9" i="6" s="1"/>
  <c r="AB17" i="6"/>
  <c r="AB17" i="7"/>
  <c r="AC30" i="7"/>
  <c r="AB31" i="7"/>
  <c r="AE34" i="7"/>
  <c r="J30" i="8"/>
  <c r="G49" i="4"/>
  <c r="E31" i="5"/>
  <c r="I31" i="5"/>
  <c r="M31" i="5"/>
  <c r="Q31" i="5"/>
  <c r="U31" i="5"/>
  <c r="Y31" i="5"/>
  <c r="AC31" i="5"/>
  <c r="P17" i="6"/>
  <c r="I42" i="7"/>
  <c r="I43" i="7" s="1"/>
  <c r="AE22" i="7"/>
  <c r="AC35" i="7"/>
  <c r="AE38" i="7"/>
  <c r="A30" i="7"/>
  <c r="AE30" i="7"/>
  <c r="K42" i="7"/>
  <c r="K43" i="7" s="1"/>
  <c r="AE26" i="7"/>
  <c r="AE18" i="7"/>
  <c r="AC41" i="7"/>
  <c r="AA42" i="7"/>
  <c r="AA43" i="7" s="1"/>
  <c r="AE42" i="7"/>
  <c r="J12" i="4"/>
  <c r="H96" i="4"/>
  <c r="P18" i="6"/>
  <c r="K19" i="7"/>
  <c r="E35" i="7"/>
  <c r="A34" i="7"/>
  <c r="E39" i="7"/>
  <c r="A38" i="7"/>
  <c r="N22" i="8"/>
  <c r="S59" i="8"/>
  <c r="K65" i="8"/>
  <c r="K24" i="4"/>
  <c r="M44" i="4"/>
  <c r="M45" i="4" s="1"/>
  <c r="J95" i="4"/>
  <c r="J96" i="4" s="1"/>
  <c r="M56" i="4"/>
  <c r="M57" i="4" s="1"/>
  <c r="K58" i="4"/>
  <c r="K76" i="4"/>
  <c r="M87" i="4"/>
  <c r="M88" i="4" s="1"/>
  <c r="M89" i="4"/>
  <c r="M90" i="4" s="1"/>
  <c r="Z8" i="6"/>
  <c r="D58" i="6"/>
  <c r="R58" i="6" s="1"/>
  <c r="R56" i="6"/>
  <c r="R57" i="6"/>
  <c r="G127" i="6"/>
  <c r="K127" i="6"/>
  <c r="P127" i="6" s="1"/>
  <c r="O127" i="6"/>
  <c r="AB11" i="7"/>
  <c r="AC15" i="7"/>
  <c r="E19" i="7"/>
  <c r="A18" i="7"/>
  <c r="E23" i="7"/>
  <c r="A22" i="7"/>
  <c r="E27" i="7"/>
  <c r="A26" i="7"/>
  <c r="AC31" i="7"/>
  <c r="AB35" i="7"/>
  <c r="AC39" i="7"/>
  <c r="AB39" i="7"/>
  <c r="L10" i="8"/>
  <c r="L13" i="8"/>
  <c r="L16" i="8"/>
  <c r="L19" i="8"/>
  <c r="F22" i="8"/>
  <c r="H46" i="4"/>
  <c r="J15" i="4"/>
  <c r="K15" i="4" s="1"/>
  <c r="J21" i="4"/>
  <c r="K21" i="4" s="1"/>
  <c r="H49" i="4"/>
  <c r="K55" i="4"/>
  <c r="K73" i="4"/>
  <c r="J75" i="4"/>
  <c r="K91" i="4"/>
  <c r="F100" i="4"/>
  <c r="L98" i="4"/>
  <c r="G31" i="5"/>
  <c r="K31" i="5"/>
  <c r="O31" i="5"/>
  <c r="S31" i="5"/>
  <c r="W31" i="5"/>
  <c r="AA31" i="5"/>
  <c r="AE31" i="5"/>
  <c r="AA6" i="6"/>
  <c r="AB6" i="6" s="1"/>
  <c r="AA7" i="6"/>
  <c r="AA8" i="6"/>
  <c r="AA16" i="6"/>
  <c r="AB16" i="6" s="1"/>
  <c r="P39" i="6"/>
  <c r="AC16" i="6" s="1"/>
  <c r="AE16" i="6" s="1"/>
  <c r="P40" i="6"/>
  <c r="AC17" i="6" s="1"/>
  <c r="AE17" i="6" s="1"/>
  <c r="D41" i="6"/>
  <c r="D42" i="6" s="1"/>
  <c r="P126" i="6"/>
  <c r="Q42" i="7"/>
  <c r="Q43" i="7" s="1"/>
  <c r="O42" i="7"/>
  <c r="O43" i="7" s="1"/>
  <c r="AB19" i="7"/>
  <c r="AC22" i="7"/>
  <c r="AC23" i="7" s="1"/>
  <c r="AB23" i="7"/>
  <c r="AC26" i="7"/>
  <c r="AC27" i="7" s="1"/>
  <c r="AB27" i="7"/>
  <c r="E31" i="7"/>
  <c r="S22" i="8"/>
  <c r="H22" i="8"/>
  <c r="K69" i="8"/>
  <c r="K30" i="4"/>
  <c r="M42" i="4"/>
  <c r="M43" i="4" s="1"/>
  <c r="J43" i="4"/>
  <c r="M55" i="4"/>
  <c r="K67" i="4"/>
  <c r="K70" i="4"/>
  <c r="J72" i="4"/>
  <c r="M91" i="4"/>
  <c r="M92" i="4" s="1"/>
  <c r="G100" i="4"/>
  <c r="E99" i="4"/>
  <c r="H31" i="5"/>
  <c r="L31" i="5"/>
  <c r="P31" i="5"/>
  <c r="T31" i="5"/>
  <c r="X31" i="5"/>
  <c r="AB31" i="5"/>
  <c r="AF31" i="5"/>
  <c r="J41" i="6"/>
  <c r="J42" i="6" s="1"/>
  <c r="P78" i="6"/>
  <c r="P79" i="6" s="1"/>
  <c r="AC10" i="7"/>
  <c r="AC11" i="7" s="1"/>
  <c r="Y42" i="7"/>
  <c r="Y43" i="7" s="1"/>
  <c r="Y11" i="7"/>
  <c r="T22" i="8"/>
  <c r="J22" i="8"/>
  <c r="J29" i="8"/>
  <c r="O59" i="8"/>
  <c r="K67" i="8"/>
  <c r="I22" i="8"/>
  <c r="M22" i="8"/>
  <c r="J28" i="8"/>
  <c r="M59" i="8"/>
  <c r="G22" i="8"/>
  <c r="K22" i="8"/>
  <c r="O22" i="8"/>
  <c r="N59" i="8"/>
  <c r="E43" i="7"/>
  <c r="AC40" i="7"/>
  <c r="AA11" i="7"/>
  <c r="O19" i="7"/>
  <c r="I19" i="7"/>
  <c r="M42" i="7"/>
  <c r="M43" i="7" s="1"/>
  <c r="P21" i="6"/>
  <c r="L30" i="6"/>
  <c r="Z11" i="6"/>
  <c r="AB11" i="6" s="1"/>
  <c r="L38" i="6"/>
  <c r="Z13" i="6"/>
  <c r="L103" i="6"/>
  <c r="AA12" i="6"/>
  <c r="AB12" i="6" s="1"/>
  <c r="J10" i="6"/>
  <c r="P9" i="6"/>
  <c r="AA10" i="6"/>
  <c r="AB10" i="6" s="1"/>
  <c r="P125" i="6"/>
  <c r="L14" i="6"/>
  <c r="Z7" i="6"/>
  <c r="P56" i="6"/>
  <c r="P90" i="6"/>
  <c r="P91" i="6" s="1"/>
  <c r="P110" i="6"/>
  <c r="P111" i="6" s="1"/>
  <c r="P13" i="6"/>
  <c r="P29" i="6"/>
  <c r="P37" i="6"/>
  <c r="P94" i="6"/>
  <c r="P95" i="6" s="1"/>
  <c r="P102" i="6"/>
  <c r="P103" i="6" s="1"/>
  <c r="AC8" i="6"/>
  <c r="AE8" i="6" s="1"/>
  <c r="P25" i="6"/>
  <c r="P33" i="6"/>
  <c r="P57" i="6"/>
  <c r="P86" i="6"/>
  <c r="P87" i="6" s="1"/>
  <c r="P98" i="6"/>
  <c r="P99" i="6" s="1"/>
  <c r="AA13" i="6"/>
  <c r="AA14" i="6" s="1"/>
  <c r="L107" i="6"/>
  <c r="P106" i="6"/>
  <c r="P107" i="6" s="1"/>
  <c r="P108" i="6"/>
  <c r="P109" i="6"/>
  <c r="D79" i="6"/>
  <c r="D83" i="6"/>
  <c r="D87" i="6"/>
  <c r="D18" i="6"/>
  <c r="E46" i="4"/>
  <c r="E47" i="4" s="1"/>
  <c r="F46" i="4"/>
  <c r="F51" i="4" s="1"/>
  <c r="J18" i="4"/>
  <c r="M18" i="4" s="1"/>
  <c r="I46" i="4"/>
  <c r="I50" i="4" s="1"/>
  <c r="G50" i="4"/>
  <c r="G47" i="4"/>
  <c r="G51" i="4"/>
  <c r="H47" i="4"/>
  <c r="H50" i="4"/>
  <c r="M15" i="4"/>
  <c r="M8" i="4"/>
  <c r="M12" i="4"/>
  <c r="K12" i="4"/>
  <c r="M21" i="4"/>
  <c r="J8" i="4"/>
  <c r="F49" i="4"/>
  <c r="J80" i="4"/>
  <c r="K6" i="4"/>
  <c r="J9" i="4"/>
  <c r="J11" i="4"/>
  <c r="M6" i="4"/>
  <c r="J14" i="4"/>
  <c r="M25" i="4"/>
  <c r="M26" i="4" s="1"/>
  <c r="M30" i="4"/>
  <c r="M31" i="4" s="1"/>
  <c r="J33" i="4"/>
  <c r="K34" i="4"/>
  <c r="M40" i="4"/>
  <c r="M41" i="4" s="1"/>
  <c r="L50" i="4"/>
  <c r="J66" i="4"/>
  <c r="M77" i="4"/>
  <c r="M78" i="4" s="1"/>
  <c r="M83" i="4"/>
  <c r="M84" i="4" s="1"/>
  <c r="J86" i="4"/>
  <c r="K87" i="4"/>
  <c r="M93" i="4"/>
  <c r="M94" i="4" s="1"/>
  <c r="E96" i="4"/>
  <c r="I96" i="4"/>
  <c r="H98" i="4"/>
  <c r="L99" i="4"/>
  <c r="J97" i="4"/>
  <c r="J99" i="4" s="1"/>
  <c r="K27" i="4"/>
  <c r="M32" i="4"/>
  <c r="M33" i="4" s="1"/>
  <c r="K42" i="4"/>
  <c r="L49" i="4"/>
  <c r="H51" i="4"/>
  <c r="M65" i="4"/>
  <c r="M66" i="4" s="1"/>
  <c r="K79" i="4"/>
  <c r="M85" i="4"/>
  <c r="M86" i="4" s="1"/>
  <c r="G96" i="4"/>
  <c r="F98" i="4"/>
  <c r="F99" i="4"/>
  <c r="J48" i="4"/>
  <c r="J49" i="4" s="1"/>
  <c r="AB13" i="6" l="1"/>
  <c r="P58" i="6"/>
  <c r="A42" i="7"/>
  <c r="I47" i="4"/>
  <c r="P41" i="6"/>
  <c r="P42" i="6" s="1"/>
  <c r="K95" i="4"/>
  <c r="K99" i="4" s="1"/>
  <c r="F50" i="4"/>
  <c r="I51" i="4"/>
  <c r="E50" i="4"/>
  <c r="E51" i="4"/>
  <c r="AC42" i="7"/>
  <c r="AC43" i="7" s="1"/>
  <c r="L22" i="8"/>
  <c r="AB8" i="6"/>
  <c r="K70" i="8"/>
  <c r="J33" i="8"/>
  <c r="P26" i="6"/>
  <c r="AC10" i="6"/>
  <c r="AE10" i="6" s="1"/>
  <c r="P38" i="6"/>
  <c r="AC13" i="6"/>
  <c r="AE13" i="6" s="1"/>
  <c r="P14" i="6"/>
  <c r="AC7" i="6"/>
  <c r="AE7" i="6" s="1"/>
  <c r="P30" i="6"/>
  <c r="AC11" i="6"/>
  <c r="AE11" i="6" s="1"/>
  <c r="P10" i="6"/>
  <c r="AC6" i="6"/>
  <c r="P22" i="6"/>
  <c r="AC9" i="6"/>
  <c r="AE9" i="6" s="1"/>
  <c r="P34" i="6"/>
  <c r="AC12" i="6"/>
  <c r="AE12" i="6" s="1"/>
  <c r="AB7" i="6"/>
  <c r="Z14" i="6"/>
  <c r="AB14" i="6" s="1"/>
  <c r="K18" i="4"/>
  <c r="F47" i="4"/>
  <c r="M97" i="4"/>
  <c r="K9" i="4"/>
  <c r="M9" i="4"/>
  <c r="M46" i="4" s="1"/>
  <c r="K100" i="4"/>
  <c r="M95" i="4"/>
  <c r="J100" i="4"/>
  <c r="J98" i="4"/>
  <c r="J46" i="4"/>
  <c r="J51" i="4" s="1"/>
  <c r="M48" i="4"/>
  <c r="AC14" i="6" l="1"/>
  <c r="AE14" i="6" s="1"/>
  <c r="AE6" i="6"/>
  <c r="M50" i="4"/>
  <c r="M47" i="4"/>
  <c r="M51" i="4"/>
  <c r="M49" i="4"/>
  <c r="J50" i="4"/>
  <c r="J47" i="4"/>
  <c r="K46" i="4"/>
  <c r="M100" i="4"/>
  <c r="M98" i="4"/>
  <c r="M96" i="4"/>
  <c r="M99" i="4"/>
  <c r="K50" i="4" l="1"/>
  <c r="K51" i="4"/>
  <c r="J8" i="11" l="1"/>
  <c r="L7" i="11"/>
  <c r="L8" i="11" s="1"/>
  <c r="J10" i="11"/>
  <c r="L9" i="11"/>
  <c r="L10" i="11" s="1"/>
  <c r="L11" i="11"/>
  <c r="L12" i="11"/>
  <c r="J12" i="11"/>
  <c r="J16" i="11"/>
  <c r="L15" i="11"/>
  <c r="L16" i="11" s="1"/>
  <c r="L19" i="11"/>
  <c r="J20" i="11"/>
  <c r="L20" i="11" l="1"/>
  <c r="J55" i="11"/>
  <c r="J56" i="11" s="1"/>
  <c r="J24" i="11"/>
  <c r="L23" i="11"/>
  <c r="L55" i="11" s="1"/>
  <c r="L56" i="11" s="1"/>
  <c r="L33" i="11"/>
  <c r="L34" i="11" s="1"/>
  <c r="J34" i="11"/>
  <c r="J30" i="11"/>
  <c r="L29" i="11"/>
  <c r="L30" i="11" s="1"/>
  <c r="L25" i="11"/>
  <c r="L26" i="11" s="1"/>
  <c r="J26" i="11"/>
  <c r="J22" i="11"/>
  <c r="L21" i="11"/>
  <c r="L22" i="11" s="1"/>
  <c r="L17" i="11"/>
  <c r="L18" i="11" s="1"/>
  <c r="J18" i="11"/>
  <c r="J57" i="11"/>
  <c r="J58" i="11" s="1"/>
  <c r="L13" i="11"/>
  <c r="L57" i="11" s="1"/>
  <c r="L58" i="11" s="1"/>
  <c r="AA20" i="11"/>
  <c r="J14" i="11"/>
  <c r="L24" i="11" l="1"/>
  <c r="L14" i="11"/>
</calcChain>
</file>

<file path=xl/sharedStrings.xml><?xml version="1.0" encoding="utf-8"?>
<sst xmlns="http://schemas.openxmlformats.org/spreadsheetml/2006/main" count="1117" uniqueCount="254">
  <si>
    <t>RAKE LOADING WRT TO CBT PLAN  2018-19</t>
  </si>
  <si>
    <t>BSL</t>
  </si>
  <si>
    <t>DSP</t>
  </si>
  <si>
    <t>RSP</t>
  </si>
  <si>
    <t>ISP</t>
  </si>
  <si>
    <t>BSP (RMD)</t>
  </si>
  <si>
    <t>Total</t>
  </si>
  <si>
    <t>Shortfall</t>
  </si>
  <si>
    <t>BSP (Cap Mines)</t>
  </si>
  <si>
    <t>TOTAL SAIL</t>
  </si>
  <si>
    <t>BSP Cap</t>
  </si>
  <si>
    <t>CBT plan</t>
  </si>
  <si>
    <t xml:space="preserve">Actual </t>
  </si>
  <si>
    <t>Average</t>
  </si>
  <si>
    <t>Pro. CBT plan</t>
  </si>
  <si>
    <t>Plan/Day</t>
  </si>
  <si>
    <t>April-Mar'19</t>
  </si>
  <si>
    <t>% Fulfillment</t>
  </si>
  <si>
    <t>RAKE LOADING WRT TO CBT PLAN  2017-18</t>
  </si>
  <si>
    <t xml:space="preserve">Jan-18 </t>
  </si>
  <si>
    <t xml:space="preserve">Feb-18  </t>
  </si>
  <si>
    <t xml:space="preserve">Mar-18  </t>
  </si>
  <si>
    <t>April-Mar'18</t>
  </si>
  <si>
    <t>2018-19</t>
  </si>
  <si>
    <t>Rake Loading Time 2018-19</t>
  </si>
  <si>
    <t>KBR</t>
  </si>
  <si>
    <t>MBR</t>
  </si>
  <si>
    <t>BOL</t>
  </si>
  <si>
    <t>GUA</t>
  </si>
  <si>
    <t>BAR</t>
  </si>
  <si>
    <t>TAL</t>
  </si>
  <si>
    <t>KAL</t>
  </si>
  <si>
    <t>MPR</t>
  </si>
  <si>
    <t>OLD</t>
  </si>
  <si>
    <t>NEW</t>
  </si>
  <si>
    <t>Apr-Mar</t>
  </si>
  <si>
    <t>best</t>
  </si>
  <si>
    <t>17-18</t>
  </si>
  <si>
    <t>Rake Loading Time 2017-18</t>
  </si>
  <si>
    <t>BNDM SECTION</t>
  </si>
  <si>
    <t>DPS SECTION</t>
  </si>
  <si>
    <t>Month</t>
  </si>
  <si>
    <t>KRB</t>
  </si>
  <si>
    <t>BS</t>
  </si>
  <si>
    <t>BX</t>
  </si>
  <si>
    <t>BY</t>
  </si>
  <si>
    <t>TOTAL</t>
  </si>
  <si>
    <t>IISCO</t>
  </si>
  <si>
    <t>BSP</t>
  </si>
  <si>
    <t>BOXN</t>
  </si>
  <si>
    <t>BOBSN</t>
  </si>
  <si>
    <t>BOY</t>
  </si>
  <si>
    <t>BOST</t>
  </si>
  <si>
    <t>CUMM.</t>
  </si>
  <si>
    <t>Apr-18 Total</t>
  </si>
  <si>
    <t>Apr-18 Avg</t>
  </si>
  <si>
    <t>May-18 Total</t>
  </si>
  <si>
    <t>May-18 Avg</t>
  </si>
  <si>
    <t>Jun-18 Total</t>
  </si>
  <si>
    <t>Jun-18 Avg</t>
  </si>
  <si>
    <t>Jul-18 Total</t>
  </si>
  <si>
    <t>Jul-18 Avg</t>
  </si>
  <si>
    <t>Aug-18 Total</t>
  </si>
  <si>
    <t>Aug-18 Avg</t>
  </si>
  <si>
    <t>Sept-18 Total</t>
  </si>
  <si>
    <t>Sept-18 Avg</t>
  </si>
  <si>
    <t>Oct-18 Total</t>
  </si>
  <si>
    <t>Oct-18 Avg</t>
  </si>
  <si>
    <t>Nov-18 Total</t>
  </si>
  <si>
    <t>Nov-18 Avg</t>
  </si>
  <si>
    <t>Dec-18 Total</t>
  </si>
  <si>
    <t>Dec-18 Avg</t>
  </si>
  <si>
    <t>Jan-19 Total</t>
  </si>
  <si>
    <t>Jan-19 Avg</t>
  </si>
  <si>
    <t>Feb-19  Total</t>
  </si>
  <si>
    <t>Feb-19 Avg</t>
  </si>
  <si>
    <t>Mar-19  Total</t>
  </si>
  <si>
    <t>Mar-19 Avg</t>
  </si>
  <si>
    <t>2018-19  Total</t>
  </si>
  <si>
    <t>2018-19  Avg</t>
  </si>
  <si>
    <t>MONTH WISE RAKE SUPPLY -2018-19</t>
  </si>
  <si>
    <t>TILL MOTH</t>
  </si>
  <si>
    <t>Mines</t>
  </si>
  <si>
    <t>Dec'18</t>
  </si>
  <si>
    <t>Dec'17</t>
  </si>
  <si>
    <t>%Grth</t>
  </si>
  <si>
    <t>Till Dec'18</t>
  </si>
  <si>
    <t>CPLY Till Dec'17</t>
  </si>
  <si>
    <t>Norm</t>
  </si>
  <si>
    <t>Kiriburu</t>
  </si>
  <si>
    <t>L</t>
  </si>
  <si>
    <t>Meghatuburu</t>
  </si>
  <si>
    <t>F</t>
  </si>
  <si>
    <t>Bolani</t>
  </si>
  <si>
    <t>TOT</t>
  </si>
  <si>
    <t>Barsua</t>
  </si>
  <si>
    <t>Rakes/day</t>
  </si>
  <si>
    <t>Taldih</t>
  </si>
  <si>
    <t>Kalta</t>
  </si>
  <si>
    <t>Gua</t>
  </si>
  <si>
    <t>Chiria</t>
  </si>
  <si>
    <t>RMD</t>
  </si>
  <si>
    <t>lump</t>
  </si>
  <si>
    <t>fines</t>
  </si>
  <si>
    <t>LUMP TOT</t>
  </si>
  <si>
    <t>FINES TOT</t>
  </si>
  <si>
    <t>LUMP  TOT</t>
  </si>
  <si>
    <t xml:space="preserve">FINES TOT </t>
  </si>
  <si>
    <t>MONTH WISE RAKE SUPPLY -2017-18</t>
  </si>
  <si>
    <t>APR'17</t>
  </si>
  <si>
    <t>MAY'17</t>
  </si>
  <si>
    <t>JUN'17</t>
  </si>
  <si>
    <t>JULY'17</t>
  </si>
  <si>
    <t>AUG'17</t>
  </si>
  <si>
    <t>SEP'17</t>
  </si>
  <si>
    <t>OCT'17</t>
  </si>
  <si>
    <t>NOV'17</t>
  </si>
  <si>
    <t>DEC'17</t>
  </si>
  <si>
    <t>Jan'18</t>
  </si>
  <si>
    <t>Feb'18</t>
  </si>
  <si>
    <t>Mar'18</t>
  </si>
  <si>
    <t>MONTH WISE RAKE SUPPLY -2018-19  at RMD Mines</t>
  </si>
  <si>
    <t>Apr-Mar'19</t>
  </si>
  <si>
    <t>Plan</t>
  </si>
  <si>
    <t>Actual</t>
  </si>
  <si>
    <t>Rakes</t>
  </si>
  <si>
    <t>Avg Rake per Day</t>
  </si>
  <si>
    <t>Total Rakes</t>
  </si>
  <si>
    <t>Avg Rake Per Day</t>
  </si>
  <si>
    <t>Monthly Average Rake Loading                                                                            Unit: Rakes per Day</t>
  </si>
  <si>
    <t>RMD MINES</t>
  </si>
  <si>
    <t>TYPE OF WAGON</t>
  </si>
  <si>
    <t>RMD FLUX</t>
  </si>
  <si>
    <t>Avg</t>
  </si>
  <si>
    <t>Cum</t>
  </si>
  <si>
    <t>BOX-N</t>
  </si>
  <si>
    <t>BOBS</t>
  </si>
  <si>
    <t>KTR</t>
  </si>
  <si>
    <t>TDM</t>
  </si>
  <si>
    <t>TOTAL RAKES</t>
  </si>
  <si>
    <t>AVG  RAKES</t>
  </si>
  <si>
    <t>Avg Ldg.(Cumm.)</t>
  </si>
  <si>
    <t>Rakes/Day</t>
  </si>
  <si>
    <t>Q1</t>
  </si>
  <si>
    <t>max</t>
  </si>
  <si>
    <t>Q2</t>
  </si>
  <si>
    <t>Q3</t>
  </si>
  <si>
    <t>Q1-Q3</t>
  </si>
  <si>
    <t>Q4</t>
  </si>
  <si>
    <t>ANNUAL</t>
  </si>
  <si>
    <t>2017-18</t>
  </si>
  <si>
    <t>MONTH WISE RAKE SUPPLY -2019-20  at RMD Mines</t>
  </si>
  <si>
    <t>Apr-Mar'20</t>
  </si>
  <si>
    <t>CBT</t>
  </si>
  <si>
    <t>ACT</t>
  </si>
  <si>
    <t>RAKE LOADING WRT TO CBT PLAN  2019-20</t>
  </si>
  <si>
    <t>CBT AVG</t>
  </si>
  <si>
    <t>2019-20</t>
  </si>
  <si>
    <t>Rake Loading Time 2019-20</t>
  </si>
  <si>
    <t>Apr-19 Total</t>
  </si>
  <si>
    <t>Apr-19 Avg</t>
  </si>
  <si>
    <t>May-19 Total</t>
  </si>
  <si>
    <t>May-19 Avg</t>
  </si>
  <si>
    <t>Jun-19 Total</t>
  </si>
  <si>
    <t>Jun-19 Avg</t>
  </si>
  <si>
    <t>Jul-19 Total</t>
  </si>
  <si>
    <t>Jul-19 Avg</t>
  </si>
  <si>
    <t>Aug-19 Total</t>
  </si>
  <si>
    <t>Aug-19 Avg</t>
  </si>
  <si>
    <t>Sept-19 Total</t>
  </si>
  <si>
    <t>Sept-19 Avg</t>
  </si>
  <si>
    <t>Oct-19 Total</t>
  </si>
  <si>
    <t>Oct-19 Avg</t>
  </si>
  <si>
    <t>2019-20  Avg</t>
  </si>
  <si>
    <t>2019-20  Total</t>
  </si>
  <si>
    <t>Nov-19 Total</t>
  </si>
  <si>
    <t>Nov-19 Avg</t>
  </si>
  <si>
    <t>Dec-19 Total</t>
  </si>
  <si>
    <t>Dec-19 Avg</t>
  </si>
  <si>
    <t>Jan-20 Total</t>
  </si>
  <si>
    <t>Jan-20 Avg</t>
  </si>
  <si>
    <t>20-21</t>
  </si>
  <si>
    <t>SALE</t>
  </si>
  <si>
    <t>Rake Despatch Performance</t>
  </si>
  <si>
    <t>Unit: Nos of Rake</t>
  </si>
  <si>
    <t>MINES</t>
  </si>
  <si>
    <t>%FF</t>
  </si>
  <si>
    <t>GRTH %</t>
  </si>
  <si>
    <t>CPLY</t>
  </si>
  <si>
    <t>KIRIBURU</t>
  </si>
  <si>
    <t>MEGHATUBURU</t>
  </si>
  <si>
    <t>BOLANI</t>
  </si>
  <si>
    <t>BARSUA</t>
  </si>
  <si>
    <t>TALDIH</t>
  </si>
  <si>
    <t>KALTA</t>
  </si>
  <si>
    <t>CHIRIA</t>
  </si>
  <si>
    <t>RMD TOTAL</t>
  </si>
  <si>
    <t>PLANTS</t>
  </si>
  <si>
    <t>COMM</t>
  </si>
  <si>
    <t>LUMP</t>
  </si>
  <si>
    <t>FINES</t>
  </si>
  <si>
    <t>SAIL TOTAL</t>
  </si>
  <si>
    <t>RAKE LOADING WRT TO CBT PLAN  2020-21</t>
  </si>
  <si>
    <t>2020-21</t>
  </si>
  <si>
    <t>Rake Loading Time 2020-21</t>
  </si>
  <si>
    <t>MONTH WISE RAKE SUPPLY -2020-21  at RMD Mines</t>
  </si>
  <si>
    <t>Apr-Mar'21</t>
  </si>
  <si>
    <t>Feb-20 Total</t>
  </si>
  <si>
    <t>Feb-20 Avg</t>
  </si>
  <si>
    <t>Mar-20 Total</t>
  </si>
  <si>
    <t>Mar-20 Avg</t>
  </si>
  <si>
    <t>Jan-21 Total</t>
  </si>
  <si>
    <t>Jan-21 Avg</t>
  </si>
  <si>
    <t>Feb-21 Total</t>
  </si>
  <si>
    <t>Feb-21 Avg</t>
  </si>
  <si>
    <t>Mar-21 Total</t>
  </si>
  <si>
    <t>Mar-21 Avg</t>
  </si>
  <si>
    <t>Apr-20 Total</t>
  </si>
  <si>
    <t>Apr-20 Avg</t>
  </si>
  <si>
    <t>May-20 Total</t>
  </si>
  <si>
    <t>May-20 Avg</t>
  </si>
  <si>
    <t>Jun-20 Total</t>
  </si>
  <si>
    <t>Jun-20 Avg</t>
  </si>
  <si>
    <t>Jul-20 Total</t>
  </si>
  <si>
    <t>Jul-20 Avg</t>
  </si>
  <si>
    <t>Aug-20 Total</t>
  </si>
  <si>
    <t>Aug-20 Avg</t>
  </si>
  <si>
    <t>Sept-20 Total</t>
  </si>
  <si>
    <t>Sept-20 Avg</t>
  </si>
  <si>
    <t>Oct-20 Total</t>
  </si>
  <si>
    <t>Oct-20 Avg</t>
  </si>
  <si>
    <t>Nov-20 Total</t>
  </si>
  <si>
    <t>Nov-20 Avg</t>
  </si>
  <si>
    <t>Dec-20 Total</t>
  </si>
  <si>
    <t>Dec-20 Avg</t>
  </si>
  <si>
    <t>2120-21  Total</t>
  </si>
  <si>
    <t>2120-21  Avg</t>
  </si>
  <si>
    <t>OTH</t>
  </si>
  <si>
    <t>Pellets</t>
  </si>
  <si>
    <t>Barsua Siding</t>
  </si>
  <si>
    <t>Rake Loading Time Siding wise  2021-22</t>
  </si>
  <si>
    <t>Jharkhand Group of Mines</t>
  </si>
  <si>
    <t>SOBK</t>
  </si>
  <si>
    <t>FOS</t>
  </si>
  <si>
    <t>2021-22</t>
  </si>
  <si>
    <t>Odisha Group of Mines</t>
  </si>
  <si>
    <t>Bolani (BYFS)</t>
  </si>
  <si>
    <t>Barsua(PBSB)</t>
  </si>
  <si>
    <t>Kalta (HLSR)</t>
  </si>
  <si>
    <t>Gua(ISCG)</t>
  </si>
  <si>
    <t>Manoharpur(IISM)</t>
  </si>
  <si>
    <t>Meghahatuburu(SSMK)</t>
  </si>
  <si>
    <t>Avg Rake Loading(Rakes/days)  Siding wise  2021-22</t>
  </si>
  <si>
    <t>Barsua&amp; Taldih (PBSB)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</si>
</sst>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[$€-2]* #,##0.00_);_([$€-2]* \(#,##0.00\);_([$€-2]* &quot;-&quot;??_)"/>
    <numFmt numFmtId="165" formatCode="[h]:mm"/>
    <numFmt numFmtId="166" formatCode="[$-409]mmmm/yy;@"/>
    <numFmt numFmtId="167" formatCode="[$-409]mmm/yy;@"/>
    <numFmt numFmtId="168" formatCode="0.0"/>
    <numFmt numFmtId="169" formatCode="0.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4.9989318521683403E-2"/>
      <name val="Arial"/>
      <family val="2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6">
    <xf numFmtId="0" fontId="0" fillId="0" borderId="0"/>
    <xf numFmtId="164" fontId="1" fillId="0" borderId="0"/>
    <xf numFmtId="164" fontId="9" fillId="5" borderId="0" applyNumberFormat="0" applyBorder="0" applyAlignment="0" applyProtection="0"/>
    <xf numFmtId="164" fontId="9" fillId="5" borderId="0" applyNumberFormat="0" applyBorder="0" applyAlignment="0" applyProtection="0"/>
    <xf numFmtId="164" fontId="9" fillId="5" borderId="0" applyNumberFormat="0" applyBorder="0" applyAlignment="0" applyProtection="0"/>
    <xf numFmtId="164" fontId="9" fillId="5" borderId="0" applyNumberFormat="0" applyBorder="0" applyAlignment="0" applyProtection="0"/>
    <xf numFmtId="164" fontId="9" fillId="5" borderId="0" applyNumberFormat="0" applyBorder="0" applyAlignment="0" applyProtection="0"/>
    <xf numFmtId="164" fontId="9" fillId="5" borderId="0" applyNumberFormat="0" applyBorder="0" applyAlignment="0" applyProtection="0"/>
    <xf numFmtId="164" fontId="9" fillId="5" borderId="0" applyNumberFormat="0" applyBorder="0" applyAlignment="0" applyProtection="0"/>
    <xf numFmtId="164" fontId="9" fillId="5" borderId="0" applyNumberFormat="0" applyBorder="0" applyAlignment="0" applyProtection="0"/>
    <xf numFmtId="164" fontId="9" fillId="5" borderId="0" applyNumberFormat="0" applyBorder="0" applyAlignment="0" applyProtection="0"/>
    <xf numFmtId="164" fontId="9" fillId="5" borderId="0" applyNumberFormat="0" applyBorder="0" applyAlignment="0" applyProtection="0"/>
    <xf numFmtId="164" fontId="9" fillId="5" borderId="0" applyNumberFormat="0" applyBorder="0" applyAlignment="0" applyProtection="0"/>
    <xf numFmtId="164" fontId="9" fillId="5" borderId="0" applyNumberFormat="0" applyBorder="0" applyAlignment="0" applyProtection="0"/>
    <xf numFmtId="164" fontId="9" fillId="6" borderId="0" applyNumberFormat="0" applyBorder="0" applyAlignment="0" applyProtection="0"/>
    <xf numFmtId="164" fontId="9" fillId="6" borderId="0" applyNumberFormat="0" applyBorder="0" applyAlignment="0" applyProtection="0"/>
    <xf numFmtId="164" fontId="9" fillId="6" borderId="0" applyNumberFormat="0" applyBorder="0" applyAlignment="0" applyProtection="0"/>
    <xf numFmtId="164" fontId="9" fillId="6" borderId="0" applyNumberFormat="0" applyBorder="0" applyAlignment="0" applyProtection="0"/>
    <xf numFmtId="164" fontId="9" fillId="6" borderId="0" applyNumberFormat="0" applyBorder="0" applyAlignment="0" applyProtection="0"/>
    <xf numFmtId="164" fontId="9" fillId="6" borderId="0" applyNumberFormat="0" applyBorder="0" applyAlignment="0" applyProtection="0"/>
    <xf numFmtId="164" fontId="9" fillId="6" borderId="0" applyNumberFormat="0" applyBorder="0" applyAlignment="0" applyProtection="0"/>
    <xf numFmtId="164" fontId="9" fillId="6" borderId="0" applyNumberFormat="0" applyBorder="0" applyAlignment="0" applyProtection="0"/>
    <xf numFmtId="164" fontId="9" fillId="6" borderId="0" applyNumberFormat="0" applyBorder="0" applyAlignment="0" applyProtection="0"/>
    <xf numFmtId="164" fontId="9" fillId="6" borderId="0" applyNumberFormat="0" applyBorder="0" applyAlignment="0" applyProtection="0"/>
    <xf numFmtId="164" fontId="9" fillId="6" borderId="0" applyNumberFormat="0" applyBorder="0" applyAlignment="0" applyProtection="0"/>
    <xf numFmtId="164" fontId="9" fillId="6" borderId="0" applyNumberFormat="0" applyBorder="0" applyAlignment="0" applyProtection="0"/>
    <xf numFmtId="164" fontId="9" fillId="7" borderId="0" applyNumberFormat="0" applyBorder="0" applyAlignment="0" applyProtection="0"/>
    <xf numFmtId="164" fontId="9" fillId="7" borderId="0" applyNumberFormat="0" applyBorder="0" applyAlignment="0" applyProtection="0"/>
    <xf numFmtId="164" fontId="9" fillId="7" borderId="0" applyNumberFormat="0" applyBorder="0" applyAlignment="0" applyProtection="0"/>
    <xf numFmtId="164" fontId="9" fillId="7" borderId="0" applyNumberFormat="0" applyBorder="0" applyAlignment="0" applyProtection="0"/>
    <xf numFmtId="164" fontId="9" fillId="7" borderId="0" applyNumberFormat="0" applyBorder="0" applyAlignment="0" applyProtection="0"/>
    <xf numFmtId="164" fontId="9" fillId="7" borderId="0" applyNumberFormat="0" applyBorder="0" applyAlignment="0" applyProtection="0"/>
    <xf numFmtId="164" fontId="9" fillId="7" borderId="0" applyNumberFormat="0" applyBorder="0" applyAlignment="0" applyProtection="0"/>
    <xf numFmtId="164" fontId="9" fillId="7" borderId="0" applyNumberFormat="0" applyBorder="0" applyAlignment="0" applyProtection="0"/>
    <xf numFmtId="164" fontId="9" fillId="7" borderId="0" applyNumberFormat="0" applyBorder="0" applyAlignment="0" applyProtection="0"/>
    <xf numFmtId="164" fontId="9" fillId="7" borderId="0" applyNumberFormat="0" applyBorder="0" applyAlignment="0" applyProtection="0"/>
    <xf numFmtId="164" fontId="9" fillId="7" borderId="0" applyNumberFormat="0" applyBorder="0" applyAlignment="0" applyProtection="0"/>
    <xf numFmtId="164" fontId="9" fillId="7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9" borderId="0" applyNumberFormat="0" applyBorder="0" applyAlignment="0" applyProtection="0"/>
    <xf numFmtId="164" fontId="9" fillId="9" borderId="0" applyNumberFormat="0" applyBorder="0" applyAlignment="0" applyProtection="0"/>
    <xf numFmtId="164" fontId="9" fillId="9" borderId="0" applyNumberFormat="0" applyBorder="0" applyAlignment="0" applyProtection="0"/>
    <xf numFmtId="164" fontId="9" fillId="9" borderId="0" applyNumberFormat="0" applyBorder="0" applyAlignment="0" applyProtection="0"/>
    <xf numFmtId="164" fontId="9" fillId="9" borderId="0" applyNumberFormat="0" applyBorder="0" applyAlignment="0" applyProtection="0"/>
    <xf numFmtId="164" fontId="9" fillId="9" borderId="0" applyNumberFormat="0" applyBorder="0" applyAlignment="0" applyProtection="0"/>
    <xf numFmtId="164" fontId="9" fillId="9" borderId="0" applyNumberFormat="0" applyBorder="0" applyAlignment="0" applyProtection="0"/>
    <xf numFmtId="164" fontId="9" fillId="9" borderId="0" applyNumberFormat="0" applyBorder="0" applyAlignment="0" applyProtection="0"/>
    <xf numFmtId="164" fontId="9" fillId="9" borderId="0" applyNumberFormat="0" applyBorder="0" applyAlignment="0" applyProtection="0"/>
    <xf numFmtId="164" fontId="9" fillId="9" borderId="0" applyNumberFormat="0" applyBorder="0" applyAlignment="0" applyProtection="0"/>
    <xf numFmtId="164" fontId="9" fillId="9" borderId="0" applyNumberFormat="0" applyBorder="0" applyAlignment="0" applyProtection="0"/>
    <xf numFmtId="164" fontId="9" fillId="9" borderId="0" applyNumberFormat="0" applyBorder="0" applyAlignment="0" applyProtection="0"/>
    <xf numFmtId="164" fontId="9" fillId="10" borderId="0" applyNumberFormat="0" applyBorder="0" applyAlignment="0" applyProtection="0"/>
    <xf numFmtId="164" fontId="9" fillId="10" borderId="0" applyNumberFormat="0" applyBorder="0" applyAlignment="0" applyProtection="0"/>
    <xf numFmtId="164" fontId="9" fillId="10" borderId="0" applyNumberFormat="0" applyBorder="0" applyAlignment="0" applyProtection="0"/>
    <xf numFmtId="164" fontId="9" fillId="10" borderId="0" applyNumberFormat="0" applyBorder="0" applyAlignment="0" applyProtection="0"/>
    <xf numFmtId="164" fontId="9" fillId="10" borderId="0" applyNumberFormat="0" applyBorder="0" applyAlignment="0" applyProtection="0"/>
    <xf numFmtId="164" fontId="9" fillId="10" borderId="0" applyNumberFormat="0" applyBorder="0" applyAlignment="0" applyProtection="0"/>
    <xf numFmtId="164" fontId="9" fillId="10" borderId="0" applyNumberFormat="0" applyBorder="0" applyAlignment="0" applyProtection="0"/>
    <xf numFmtId="164" fontId="9" fillId="10" borderId="0" applyNumberFormat="0" applyBorder="0" applyAlignment="0" applyProtection="0"/>
    <xf numFmtId="164" fontId="9" fillId="10" borderId="0" applyNumberFormat="0" applyBorder="0" applyAlignment="0" applyProtection="0"/>
    <xf numFmtId="164" fontId="9" fillId="10" borderId="0" applyNumberFormat="0" applyBorder="0" applyAlignment="0" applyProtection="0"/>
    <xf numFmtId="164" fontId="9" fillId="10" borderId="0" applyNumberFormat="0" applyBorder="0" applyAlignment="0" applyProtection="0"/>
    <xf numFmtId="164" fontId="9" fillId="10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2" borderId="0" applyNumberFormat="0" applyBorder="0" applyAlignment="0" applyProtection="0"/>
    <xf numFmtId="164" fontId="9" fillId="12" borderId="0" applyNumberFormat="0" applyBorder="0" applyAlignment="0" applyProtection="0"/>
    <xf numFmtId="164" fontId="9" fillId="12" borderId="0" applyNumberFormat="0" applyBorder="0" applyAlignment="0" applyProtection="0"/>
    <xf numFmtId="164" fontId="9" fillId="12" borderId="0" applyNumberFormat="0" applyBorder="0" applyAlignment="0" applyProtection="0"/>
    <xf numFmtId="164" fontId="9" fillId="12" borderId="0" applyNumberFormat="0" applyBorder="0" applyAlignment="0" applyProtection="0"/>
    <xf numFmtId="164" fontId="9" fillId="12" borderId="0" applyNumberFormat="0" applyBorder="0" applyAlignment="0" applyProtection="0"/>
    <xf numFmtId="164" fontId="9" fillId="12" borderId="0" applyNumberFormat="0" applyBorder="0" applyAlignment="0" applyProtection="0"/>
    <xf numFmtId="164" fontId="9" fillId="12" borderId="0" applyNumberFormat="0" applyBorder="0" applyAlignment="0" applyProtection="0"/>
    <xf numFmtId="164" fontId="9" fillId="12" borderId="0" applyNumberFormat="0" applyBorder="0" applyAlignment="0" applyProtection="0"/>
    <xf numFmtId="164" fontId="9" fillId="12" borderId="0" applyNumberFormat="0" applyBorder="0" applyAlignment="0" applyProtection="0"/>
    <xf numFmtId="164" fontId="9" fillId="12" borderId="0" applyNumberFormat="0" applyBorder="0" applyAlignment="0" applyProtection="0"/>
    <xf numFmtId="164" fontId="9" fillId="12" borderId="0" applyNumberFormat="0" applyBorder="0" applyAlignment="0" applyProtection="0"/>
    <xf numFmtId="164" fontId="9" fillId="13" borderId="0" applyNumberFormat="0" applyBorder="0" applyAlignment="0" applyProtection="0"/>
    <xf numFmtId="164" fontId="9" fillId="13" borderId="0" applyNumberFormat="0" applyBorder="0" applyAlignment="0" applyProtection="0"/>
    <xf numFmtId="164" fontId="9" fillId="13" borderId="0" applyNumberFormat="0" applyBorder="0" applyAlignment="0" applyProtection="0"/>
    <xf numFmtId="164" fontId="9" fillId="13" borderId="0" applyNumberFormat="0" applyBorder="0" applyAlignment="0" applyProtection="0"/>
    <xf numFmtId="164" fontId="9" fillId="13" borderId="0" applyNumberFormat="0" applyBorder="0" applyAlignment="0" applyProtection="0"/>
    <xf numFmtId="164" fontId="9" fillId="13" borderId="0" applyNumberFormat="0" applyBorder="0" applyAlignment="0" applyProtection="0"/>
    <xf numFmtId="164" fontId="9" fillId="13" borderId="0" applyNumberFormat="0" applyBorder="0" applyAlignment="0" applyProtection="0"/>
    <xf numFmtId="164" fontId="9" fillId="13" borderId="0" applyNumberFormat="0" applyBorder="0" applyAlignment="0" applyProtection="0"/>
    <xf numFmtId="164" fontId="9" fillId="13" borderId="0" applyNumberFormat="0" applyBorder="0" applyAlignment="0" applyProtection="0"/>
    <xf numFmtId="164" fontId="9" fillId="13" borderId="0" applyNumberFormat="0" applyBorder="0" applyAlignment="0" applyProtection="0"/>
    <xf numFmtId="164" fontId="9" fillId="13" borderId="0" applyNumberFormat="0" applyBorder="0" applyAlignment="0" applyProtection="0"/>
    <xf numFmtId="164" fontId="9" fillId="13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8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1" borderId="0" applyNumberFormat="0" applyBorder="0" applyAlignment="0" applyProtection="0"/>
    <xf numFmtId="164" fontId="9" fillId="14" borderId="0" applyNumberFormat="0" applyBorder="0" applyAlignment="0" applyProtection="0"/>
    <xf numFmtId="164" fontId="9" fillId="14" borderId="0" applyNumberFormat="0" applyBorder="0" applyAlignment="0" applyProtection="0"/>
    <xf numFmtId="164" fontId="9" fillId="14" borderId="0" applyNumberFormat="0" applyBorder="0" applyAlignment="0" applyProtection="0"/>
    <xf numFmtId="164" fontId="9" fillId="14" borderId="0" applyNumberFormat="0" applyBorder="0" applyAlignment="0" applyProtection="0"/>
    <xf numFmtId="164" fontId="9" fillId="14" borderId="0" applyNumberFormat="0" applyBorder="0" applyAlignment="0" applyProtection="0"/>
    <xf numFmtId="164" fontId="9" fillId="14" borderId="0" applyNumberFormat="0" applyBorder="0" applyAlignment="0" applyProtection="0"/>
    <xf numFmtId="164" fontId="9" fillId="14" borderId="0" applyNumberFormat="0" applyBorder="0" applyAlignment="0" applyProtection="0"/>
    <xf numFmtId="164" fontId="9" fillId="14" borderId="0" applyNumberFormat="0" applyBorder="0" applyAlignment="0" applyProtection="0"/>
    <xf numFmtId="164" fontId="9" fillId="14" borderId="0" applyNumberFormat="0" applyBorder="0" applyAlignment="0" applyProtection="0"/>
    <xf numFmtId="164" fontId="9" fillId="14" borderId="0" applyNumberFormat="0" applyBorder="0" applyAlignment="0" applyProtection="0"/>
    <xf numFmtId="164" fontId="9" fillId="14" borderId="0" applyNumberFormat="0" applyBorder="0" applyAlignment="0" applyProtection="0"/>
    <xf numFmtId="164" fontId="9" fillId="14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5" borderId="0" applyNumberFormat="0" applyBorder="0" applyAlignment="0" applyProtection="0"/>
    <xf numFmtId="164" fontId="10" fillId="12" borderId="0" applyNumberFormat="0" applyBorder="0" applyAlignment="0" applyProtection="0"/>
    <xf numFmtId="164" fontId="10" fillId="12" borderId="0" applyNumberFormat="0" applyBorder="0" applyAlignment="0" applyProtection="0"/>
    <xf numFmtId="164" fontId="10" fillId="12" borderId="0" applyNumberFormat="0" applyBorder="0" applyAlignment="0" applyProtection="0"/>
    <xf numFmtId="164" fontId="10" fillId="12" borderId="0" applyNumberFormat="0" applyBorder="0" applyAlignment="0" applyProtection="0"/>
    <xf numFmtId="164" fontId="10" fillId="12" borderId="0" applyNumberFormat="0" applyBorder="0" applyAlignment="0" applyProtection="0"/>
    <xf numFmtId="164" fontId="10" fillId="12" borderId="0" applyNumberFormat="0" applyBorder="0" applyAlignment="0" applyProtection="0"/>
    <xf numFmtId="164" fontId="10" fillId="12" borderId="0" applyNumberFormat="0" applyBorder="0" applyAlignment="0" applyProtection="0"/>
    <xf numFmtId="164" fontId="10" fillId="12" borderId="0" applyNumberFormat="0" applyBorder="0" applyAlignment="0" applyProtection="0"/>
    <xf numFmtId="164" fontId="10" fillId="12" borderId="0" applyNumberFormat="0" applyBorder="0" applyAlignment="0" applyProtection="0"/>
    <xf numFmtId="164" fontId="10" fillId="12" borderId="0" applyNumberFormat="0" applyBorder="0" applyAlignment="0" applyProtection="0"/>
    <xf numFmtId="164" fontId="10" fillId="12" borderId="0" applyNumberFormat="0" applyBorder="0" applyAlignment="0" applyProtection="0"/>
    <xf numFmtId="164" fontId="10" fillId="12" borderId="0" applyNumberFormat="0" applyBorder="0" applyAlignment="0" applyProtection="0"/>
    <xf numFmtId="164" fontId="10" fillId="13" borderId="0" applyNumberFormat="0" applyBorder="0" applyAlignment="0" applyProtection="0"/>
    <xf numFmtId="164" fontId="10" fillId="13" borderId="0" applyNumberFormat="0" applyBorder="0" applyAlignment="0" applyProtection="0"/>
    <xf numFmtId="164" fontId="10" fillId="13" borderId="0" applyNumberFormat="0" applyBorder="0" applyAlignment="0" applyProtection="0"/>
    <xf numFmtId="164" fontId="10" fillId="13" borderId="0" applyNumberFormat="0" applyBorder="0" applyAlignment="0" applyProtection="0"/>
    <xf numFmtId="164" fontId="10" fillId="13" borderId="0" applyNumberFormat="0" applyBorder="0" applyAlignment="0" applyProtection="0"/>
    <xf numFmtId="164" fontId="10" fillId="13" borderId="0" applyNumberFormat="0" applyBorder="0" applyAlignment="0" applyProtection="0"/>
    <xf numFmtId="164" fontId="10" fillId="13" borderId="0" applyNumberFormat="0" applyBorder="0" applyAlignment="0" applyProtection="0"/>
    <xf numFmtId="164" fontId="10" fillId="13" borderId="0" applyNumberFormat="0" applyBorder="0" applyAlignment="0" applyProtection="0"/>
    <xf numFmtId="164" fontId="10" fillId="13" borderId="0" applyNumberFormat="0" applyBorder="0" applyAlignment="0" applyProtection="0"/>
    <xf numFmtId="164" fontId="10" fillId="13" borderId="0" applyNumberFormat="0" applyBorder="0" applyAlignment="0" applyProtection="0"/>
    <xf numFmtId="164" fontId="10" fillId="13" borderId="0" applyNumberFormat="0" applyBorder="0" applyAlignment="0" applyProtection="0"/>
    <xf numFmtId="164" fontId="10" fillId="13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8" borderId="0" applyNumberFormat="0" applyBorder="0" applyAlignment="0" applyProtection="0"/>
    <xf numFmtId="164" fontId="10" fillId="18" borderId="0" applyNumberFormat="0" applyBorder="0" applyAlignment="0" applyProtection="0"/>
    <xf numFmtId="164" fontId="10" fillId="18" borderId="0" applyNumberFormat="0" applyBorder="0" applyAlignment="0" applyProtection="0"/>
    <xf numFmtId="164" fontId="10" fillId="18" borderId="0" applyNumberFormat="0" applyBorder="0" applyAlignment="0" applyProtection="0"/>
    <xf numFmtId="164" fontId="10" fillId="18" borderId="0" applyNumberFormat="0" applyBorder="0" applyAlignment="0" applyProtection="0"/>
    <xf numFmtId="164" fontId="10" fillId="18" borderId="0" applyNumberFormat="0" applyBorder="0" applyAlignment="0" applyProtection="0"/>
    <xf numFmtId="164" fontId="10" fillId="18" borderId="0" applyNumberFormat="0" applyBorder="0" applyAlignment="0" applyProtection="0"/>
    <xf numFmtId="164" fontId="10" fillId="18" borderId="0" applyNumberFormat="0" applyBorder="0" applyAlignment="0" applyProtection="0"/>
    <xf numFmtId="164" fontId="10" fillId="18" borderId="0" applyNumberFormat="0" applyBorder="0" applyAlignment="0" applyProtection="0"/>
    <xf numFmtId="164" fontId="10" fillId="18" borderId="0" applyNumberFormat="0" applyBorder="0" applyAlignment="0" applyProtection="0"/>
    <xf numFmtId="164" fontId="10" fillId="18" borderId="0" applyNumberFormat="0" applyBorder="0" applyAlignment="0" applyProtection="0"/>
    <xf numFmtId="164" fontId="10" fillId="18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19" borderId="0" applyNumberFormat="0" applyBorder="0" applyAlignment="0" applyProtection="0"/>
    <xf numFmtId="164" fontId="10" fillId="20" borderId="0" applyNumberFormat="0" applyBorder="0" applyAlignment="0" applyProtection="0"/>
    <xf numFmtId="164" fontId="10" fillId="20" borderId="0" applyNumberFormat="0" applyBorder="0" applyAlignment="0" applyProtection="0"/>
    <xf numFmtId="164" fontId="10" fillId="20" borderId="0" applyNumberFormat="0" applyBorder="0" applyAlignment="0" applyProtection="0"/>
    <xf numFmtId="164" fontId="10" fillId="20" borderId="0" applyNumberFormat="0" applyBorder="0" applyAlignment="0" applyProtection="0"/>
    <xf numFmtId="164" fontId="10" fillId="20" borderId="0" applyNumberFormat="0" applyBorder="0" applyAlignment="0" applyProtection="0"/>
    <xf numFmtId="164" fontId="10" fillId="20" borderId="0" applyNumberFormat="0" applyBorder="0" applyAlignment="0" applyProtection="0"/>
    <xf numFmtId="164" fontId="10" fillId="20" borderId="0" applyNumberFormat="0" applyBorder="0" applyAlignment="0" applyProtection="0"/>
    <xf numFmtId="164" fontId="10" fillId="20" borderId="0" applyNumberFormat="0" applyBorder="0" applyAlignment="0" applyProtection="0"/>
    <xf numFmtId="164" fontId="10" fillId="20" borderId="0" applyNumberFormat="0" applyBorder="0" applyAlignment="0" applyProtection="0"/>
    <xf numFmtId="164" fontId="10" fillId="20" borderId="0" applyNumberFormat="0" applyBorder="0" applyAlignment="0" applyProtection="0"/>
    <xf numFmtId="164" fontId="10" fillId="20" borderId="0" applyNumberFormat="0" applyBorder="0" applyAlignment="0" applyProtection="0"/>
    <xf numFmtId="164" fontId="10" fillId="20" borderId="0" applyNumberFormat="0" applyBorder="0" applyAlignment="0" applyProtection="0"/>
    <xf numFmtId="164" fontId="10" fillId="21" borderId="0" applyNumberFormat="0" applyBorder="0" applyAlignment="0" applyProtection="0"/>
    <xf numFmtId="164" fontId="10" fillId="21" borderId="0" applyNumberFormat="0" applyBorder="0" applyAlignment="0" applyProtection="0"/>
    <xf numFmtId="164" fontId="10" fillId="21" borderId="0" applyNumberFormat="0" applyBorder="0" applyAlignment="0" applyProtection="0"/>
    <xf numFmtId="164" fontId="10" fillId="21" borderId="0" applyNumberFormat="0" applyBorder="0" applyAlignment="0" applyProtection="0"/>
    <xf numFmtId="164" fontId="10" fillId="21" borderId="0" applyNumberFormat="0" applyBorder="0" applyAlignment="0" applyProtection="0"/>
    <xf numFmtId="164" fontId="10" fillId="21" borderId="0" applyNumberFormat="0" applyBorder="0" applyAlignment="0" applyProtection="0"/>
    <xf numFmtId="164" fontId="10" fillId="21" borderId="0" applyNumberFormat="0" applyBorder="0" applyAlignment="0" applyProtection="0"/>
    <xf numFmtId="164" fontId="10" fillId="21" borderId="0" applyNumberFormat="0" applyBorder="0" applyAlignment="0" applyProtection="0"/>
    <xf numFmtId="164" fontId="10" fillId="21" borderId="0" applyNumberFormat="0" applyBorder="0" applyAlignment="0" applyProtection="0"/>
    <xf numFmtId="164" fontId="10" fillId="21" borderId="0" applyNumberFormat="0" applyBorder="0" applyAlignment="0" applyProtection="0"/>
    <xf numFmtId="164" fontId="10" fillId="21" borderId="0" applyNumberFormat="0" applyBorder="0" applyAlignment="0" applyProtection="0"/>
    <xf numFmtId="164" fontId="10" fillId="21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6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17" borderId="0" applyNumberFormat="0" applyBorder="0" applyAlignment="0" applyProtection="0"/>
    <xf numFmtId="164" fontId="10" fillId="22" borderId="0" applyNumberFormat="0" applyBorder="0" applyAlignment="0" applyProtection="0"/>
    <xf numFmtId="164" fontId="10" fillId="22" borderId="0" applyNumberFormat="0" applyBorder="0" applyAlignment="0" applyProtection="0"/>
    <xf numFmtId="164" fontId="10" fillId="22" borderId="0" applyNumberFormat="0" applyBorder="0" applyAlignment="0" applyProtection="0"/>
    <xf numFmtId="164" fontId="10" fillId="22" borderId="0" applyNumberFormat="0" applyBorder="0" applyAlignment="0" applyProtection="0"/>
    <xf numFmtId="164" fontId="10" fillId="22" borderId="0" applyNumberFormat="0" applyBorder="0" applyAlignment="0" applyProtection="0"/>
    <xf numFmtId="164" fontId="10" fillId="22" borderId="0" applyNumberFormat="0" applyBorder="0" applyAlignment="0" applyProtection="0"/>
    <xf numFmtId="164" fontId="10" fillId="22" borderId="0" applyNumberFormat="0" applyBorder="0" applyAlignment="0" applyProtection="0"/>
    <xf numFmtId="164" fontId="10" fillId="22" borderId="0" applyNumberFormat="0" applyBorder="0" applyAlignment="0" applyProtection="0"/>
    <xf numFmtId="164" fontId="10" fillId="22" borderId="0" applyNumberFormat="0" applyBorder="0" applyAlignment="0" applyProtection="0"/>
    <xf numFmtId="164" fontId="10" fillId="22" borderId="0" applyNumberFormat="0" applyBorder="0" applyAlignment="0" applyProtection="0"/>
    <xf numFmtId="164" fontId="10" fillId="22" borderId="0" applyNumberFormat="0" applyBorder="0" applyAlignment="0" applyProtection="0"/>
    <xf numFmtId="164" fontId="10" fillId="22" borderId="0" applyNumberFormat="0" applyBorder="0" applyAlignment="0" applyProtection="0"/>
    <xf numFmtId="164" fontId="11" fillId="6" borderId="0" applyNumberFormat="0" applyBorder="0" applyAlignment="0" applyProtection="0"/>
    <xf numFmtId="164" fontId="11" fillId="6" borderId="0" applyNumberFormat="0" applyBorder="0" applyAlignment="0" applyProtection="0"/>
    <xf numFmtId="164" fontId="11" fillId="6" borderId="0" applyNumberFormat="0" applyBorder="0" applyAlignment="0" applyProtection="0"/>
    <xf numFmtId="164" fontId="11" fillId="6" borderId="0" applyNumberFormat="0" applyBorder="0" applyAlignment="0" applyProtection="0"/>
    <xf numFmtId="164" fontId="11" fillId="6" borderId="0" applyNumberFormat="0" applyBorder="0" applyAlignment="0" applyProtection="0"/>
    <xf numFmtId="164" fontId="11" fillId="6" borderId="0" applyNumberFormat="0" applyBorder="0" applyAlignment="0" applyProtection="0"/>
    <xf numFmtId="164" fontId="11" fillId="6" borderId="0" applyNumberFormat="0" applyBorder="0" applyAlignment="0" applyProtection="0"/>
    <xf numFmtId="164" fontId="11" fillId="6" borderId="0" applyNumberFormat="0" applyBorder="0" applyAlignment="0" applyProtection="0"/>
    <xf numFmtId="164" fontId="11" fillId="6" borderId="0" applyNumberFormat="0" applyBorder="0" applyAlignment="0" applyProtection="0"/>
    <xf numFmtId="164" fontId="11" fillId="6" borderId="0" applyNumberFormat="0" applyBorder="0" applyAlignment="0" applyProtection="0"/>
    <xf numFmtId="164" fontId="11" fillId="6" borderId="0" applyNumberFormat="0" applyBorder="0" applyAlignment="0" applyProtection="0"/>
    <xf numFmtId="164" fontId="11" fillId="6" borderId="0" applyNumberFormat="0" applyBorder="0" applyAlignment="0" applyProtection="0"/>
    <xf numFmtId="164" fontId="12" fillId="23" borderId="58" applyNumberFormat="0" applyAlignment="0" applyProtection="0"/>
    <xf numFmtId="164" fontId="12" fillId="23" borderId="58" applyNumberFormat="0" applyAlignment="0" applyProtection="0"/>
    <xf numFmtId="164" fontId="12" fillId="23" borderId="58" applyNumberFormat="0" applyAlignment="0" applyProtection="0"/>
    <xf numFmtId="164" fontId="12" fillId="23" borderId="58" applyNumberFormat="0" applyAlignment="0" applyProtection="0"/>
    <xf numFmtId="164" fontId="12" fillId="23" borderId="58" applyNumberFormat="0" applyAlignment="0" applyProtection="0"/>
    <xf numFmtId="164" fontId="12" fillId="23" borderId="58" applyNumberFormat="0" applyAlignment="0" applyProtection="0"/>
    <xf numFmtId="164" fontId="12" fillId="23" borderId="58" applyNumberFormat="0" applyAlignment="0" applyProtection="0"/>
    <xf numFmtId="164" fontId="12" fillId="23" borderId="58" applyNumberFormat="0" applyAlignment="0" applyProtection="0"/>
    <xf numFmtId="164" fontId="12" fillId="23" borderId="58" applyNumberFormat="0" applyAlignment="0" applyProtection="0"/>
    <xf numFmtId="164" fontId="12" fillId="23" borderId="58" applyNumberFormat="0" applyAlignment="0" applyProtection="0"/>
    <xf numFmtId="164" fontId="12" fillId="23" borderId="58" applyNumberFormat="0" applyAlignment="0" applyProtection="0"/>
    <xf numFmtId="164" fontId="12" fillId="23" borderId="58" applyNumberFormat="0" applyAlignment="0" applyProtection="0"/>
    <xf numFmtId="164" fontId="13" fillId="24" borderId="59" applyNumberFormat="0" applyAlignment="0" applyProtection="0"/>
    <xf numFmtId="164" fontId="13" fillId="24" borderId="59" applyNumberFormat="0" applyAlignment="0" applyProtection="0"/>
    <xf numFmtId="164" fontId="13" fillId="24" borderId="59" applyNumberFormat="0" applyAlignment="0" applyProtection="0"/>
    <xf numFmtId="164" fontId="13" fillId="24" borderId="59" applyNumberFormat="0" applyAlignment="0" applyProtection="0"/>
    <xf numFmtId="164" fontId="13" fillId="24" borderId="59" applyNumberFormat="0" applyAlignment="0" applyProtection="0"/>
    <xf numFmtId="164" fontId="13" fillId="24" borderId="59" applyNumberFormat="0" applyAlignment="0" applyProtection="0"/>
    <xf numFmtId="164" fontId="13" fillId="24" borderId="59" applyNumberFormat="0" applyAlignment="0" applyProtection="0"/>
    <xf numFmtId="164" fontId="13" fillId="24" borderId="59" applyNumberFormat="0" applyAlignment="0" applyProtection="0"/>
    <xf numFmtId="164" fontId="13" fillId="24" borderId="59" applyNumberFormat="0" applyAlignment="0" applyProtection="0"/>
    <xf numFmtId="164" fontId="13" fillId="24" borderId="59" applyNumberFormat="0" applyAlignment="0" applyProtection="0"/>
    <xf numFmtId="164" fontId="13" fillId="24" borderId="59" applyNumberFormat="0" applyAlignment="0" applyProtection="0"/>
    <xf numFmtId="164" fontId="13" fillId="24" borderId="59" applyNumberFormat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6" fillId="7" borderId="0" applyNumberFormat="0" applyBorder="0" applyAlignment="0" applyProtection="0"/>
    <xf numFmtId="164" fontId="17" fillId="0" borderId="60" applyNumberFormat="0" applyFill="0" applyAlignment="0" applyProtection="0"/>
    <xf numFmtId="164" fontId="17" fillId="0" borderId="60" applyNumberFormat="0" applyFill="0" applyAlignment="0" applyProtection="0"/>
    <xf numFmtId="164" fontId="17" fillId="0" borderId="60" applyNumberFormat="0" applyFill="0" applyAlignment="0" applyProtection="0"/>
    <xf numFmtId="164" fontId="17" fillId="0" borderId="60" applyNumberFormat="0" applyFill="0" applyAlignment="0" applyProtection="0"/>
    <xf numFmtId="164" fontId="17" fillId="0" borderId="60" applyNumberFormat="0" applyFill="0" applyAlignment="0" applyProtection="0"/>
    <xf numFmtId="164" fontId="17" fillId="0" borderId="60" applyNumberFormat="0" applyFill="0" applyAlignment="0" applyProtection="0"/>
    <xf numFmtId="164" fontId="17" fillId="0" borderId="60" applyNumberFormat="0" applyFill="0" applyAlignment="0" applyProtection="0"/>
    <xf numFmtId="164" fontId="17" fillId="0" borderId="60" applyNumberFormat="0" applyFill="0" applyAlignment="0" applyProtection="0"/>
    <xf numFmtId="164" fontId="17" fillId="0" borderId="60" applyNumberFormat="0" applyFill="0" applyAlignment="0" applyProtection="0"/>
    <xf numFmtId="164" fontId="17" fillId="0" borderId="60" applyNumberFormat="0" applyFill="0" applyAlignment="0" applyProtection="0"/>
    <xf numFmtId="164" fontId="17" fillId="0" borderId="60" applyNumberFormat="0" applyFill="0" applyAlignment="0" applyProtection="0"/>
    <xf numFmtId="164" fontId="17" fillId="0" borderId="60" applyNumberFormat="0" applyFill="0" applyAlignment="0" applyProtection="0"/>
    <xf numFmtId="164" fontId="18" fillId="0" borderId="61" applyNumberFormat="0" applyFill="0" applyAlignment="0" applyProtection="0"/>
    <xf numFmtId="164" fontId="18" fillId="0" borderId="61" applyNumberFormat="0" applyFill="0" applyAlignment="0" applyProtection="0"/>
    <xf numFmtId="164" fontId="18" fillId="0" borderId="61" applyNumberFormat="0" applyFill="0" applyAlignment="0" applyProtection="0"/>
    <xf numFmtId="164" fontId="18" fillId="0" borderId="61" applyNumberFormat="0" applyFill="0" applyAlignment="0" applyProtection="0"/>
    <xf numFmtId="164" fontId="18" fillId="0" borderId="61" applyNumberFormat="0" applyFill="0" applyAlignment="0" applyProtection="0"/>
    <xf numFmtId="164" fontId="18" fillId="0" borderId="61" applyNumberFormat="0" applyFill="0" applyAlignment="0" applyProtection="0"/>
    <xf numFmtId="164" fontId="18" fillId="0" borderId="61" applyNumberFormat="0" applyFill="0" applyAlignment="0" applyProtection="0"/>
    <xf numFmtId="164" fontId="18" fillId="0" borderId="61" applyNumberFormat="0" applyFill="0" applyAlignment="0" applyProtection="0"/>
    <xf numFmtId="164" fontId="18" fillId="0" borderId="61" applyNumberFormat="0" applyFill="0" applyAlignment="0" applyProtection="0"/>
    <xf numFmtId="164" fontId="18" fillId="0" borderId="61" applyNumberFormat="0" applyFill="0" applyAlignment="0" applyProtection="0"/>
    <xf numFmtId="164" fontId="18" fillId="0" borderId="61" applyNumberFormat="0" applyFill="0" applyAlignment="0" applyProtection="0"/>
    <xf numFmtId="164" fontId="18" fillId="0" borderId="61" applyNumberFormat="0" applyFill="0" applyAlignment="0" applyProtection="0"/>
    <xf numFmtId="164" fontId="19" fillId="0" borderId="62" applyNumberFormat="0" applyFill="0" applyAlignment="0" applyProtection="0"/>
    <xf numFmtId="164" fontId="19" fillId="0" borderId="62" applyNumberFormat="0" applyFill="0" applyAlignment="0" applyProtection="0"/>
    <xf numFmtId="164" fontId="19" fillId="0" borderId="62" applyNumberFormat="0" applyFill="0" applyAlignment="0" applyProtection="0"/>
    <xf numFmtId="164" fontId="19" fillId="0" borderId="62" applyNumberFormat="0" applyFill="0" applyAlignment="0" applyProtection="0"/>
    <xf numFmtId="164" fontId="19" fillId="0" borderId="62" applyNumberFormat="0" applyFill="0" applyAlignment="0" applyProtection="0"/>
    <xf numFmtId="164" fontId="19" fillId="0" borderId="62" applyNumberFormat="0" applyFill="0" applyAlignment="0" applyProtection="0"/>
    <xf numFmtId="164" fontId="19" fillId="0" borderId="62" applyNumberFormat="0" applyFill="0" applyAlignment="0" applyProtection="0"/>
    <xf numFmtId="164" fontId="19" fillId="0" borderId="62" applyNumberFormat="0" applyFill="0" applyAlignment="0" applyProtection="0"/>
    <xf numFmtId="164" fontId="19" fillId="0" borderId="62" applyNumberFormat="0" applyFill="0" applyAlignment="0" applyProtection="0"/>
    <xf numFmtId="164" fontId="19" fillId="0" borderId="62" applyNumberFormat="0" applyFill="0" applyAlignment="0" applyProtection="0"/>
    <xf numFmtId="164" fontId="19" fillId="0" borderId="62" applyNumberFormat="0" applyFill="0" applyAlignment="0" applyProtection="0"/>
    <xf numFmtId="164" fontId="19" fillId="0" borderId="62" applyNumberFormat="0" applyFill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20" fillId="0" borderId="0" applyNumberFormat="0" applyFill="0" applyBorder="0" applyAlignment="0" applyProtection="0">
      <alignment vertical="top"/>
      <protection locked="0"/>
    </xf>
    <xf numFmtId="164" fontId="21" fillId="10" borderId="58" applyNumberFormat="0" applyAlignment="0" applyProtection="0"/>
    <xf numFmtId="164" fontId="21" fillId="10" borderId="58" applyNumberFormat="0" applyAlignment="0" applyProtection="0"/>
    <xf numFmtId="164" fontId="21" fillId="10" borderId="58" applyNumberFormat="0" applyAlignment="0" applyProtection="0"/>
    <xf numFmtId="164" fontId="21" fillId="10" borderId="58" applyNumberFormat="0" applyAlignment="0" applyProtection="0"/>
    <xf numFmtId="164" fontId="21" fillId="10" borderId="58" applyNumberFormat="0" applyAlignment="0" applyProtection="0"/>
    <xf numFmtId="164" fontId="21" fillId="10" borderId="58" applyNumberFormat="0" applyAlignment="0" applyProtection="0"/>
    <xf numFmtId="164" fontId="21" fillId="10" borderId="58" applyNumberFormat="0" applyAlignment="0" applyProtection="0"/>
    <xf numFmtId="164" fontId="21" fillId="10" borderId="58" applyNumberFormat="0" applyAlignment="0" applyProtection="0"/>
    <xf numFmtId="164" fontId="21" fillId="10" borderId="58" applyNumberFormat="0" applyAlignment="0" applyProtection="0"/>
    <xf numFmtId="164" fontId="21" fillId="10" borderId="58" applyNumberFormat="0" applyAlignment="0" applyProtection="0"/>
    <xf numFmtId="164" fontId="21" fillId="10" borderId="58" applyNumberFormat="0" applyAlignment="0" applyProtection="0"/>
    <xf numFmtId="164" fontId="21" fillId="10" borderId="58" applyNumberFormat="0" applyAlignment="0" applyProtection="0"/>
    <xf numFmtId="164" fontId="22" fillId="0" borderId="63" applyNumberFormat="0" applyFill="0" applyAlignment="0" applyProtection="0"/>
    <xf numFmtId="164" fontId="22" fillId="0" borderId="63" applyNumberFormat="0" applyFill="0" applyAlignment="0" applyProtection="0"/>
    <xf numFmtId="164" fontId="22" fillId="0" borderId="63" applyNumberFormat="0" applyFill="0" applyAlignment="0" applyProtection="0"/>
    <xf numFmtId="164" fontId="22" fillId="0" borderId="63" applyNumberFormat="0" applyFill="0" applyAlignment="0" applyProtection="0"/>
    <xf numFmtId="164" fontId="22" fillId="0" borderId="63" applyNumberFormat="0" applyFill="0" applyAlignment="0" applyProtection="0"/>
    <xf numFmtId="164" fontId="22" fillId="0" borderId="63" applyNumberFormat="0" applyFill="0" applyAlignment="0" applyProtection="0"/>
    <xf numFmtId="164" fontId="22" fillId="0" borderId="63" applyNumberFormat="0" applyFill="0" applyAlignment="0" applyProtection="0"/>
    <xf numFmtId="164" fontId="22" fillId="0" borderId="63" applyNumberFormat="0" applyFill="0" applyAlignment="0" applyProtection="0"/>
    <xf numFmtId="164" fontId="22" fillId="0" borderId="63" applyNumberFormat="0" applyFill="0" applyAlignment="0" applyProtection="0"/>
    <xf numFmtId="164" fontId="22" fillId="0" borderId="63" applyNumberFormat="0" applyFill="0" applyAlignment="0" applyProtection="0"/>
    <xf numFmtId="164" fontId="22" fillId="0" borderId="63" applyNumberFormat="0" applyFill="0" applyAlignment="0" applyProtection="0"/>
    <xf numFmtId="164" fontId="22" fillId="0" borderId="63" applyNumberFormat="0" applyFill="0" applyAlignment="0" applyProtection="0"/>
    <xf numFmtId="164" fontId="23" fillId="25" borderId="0" applyNumberFormat="0" applyBorder="0" applyAlignment="0" applyProtection="0"/>
    <xf numFmtId="164" fontId="23" fillId="25" borderId="0" applyNumberFormat="0" applyBorder="0" applyAlignment="0" applyProtection="0"/>
    <xf numFmtId="164" fontId="23" fillId="25" borderId="0" applyNumberFormat="0" applyBorder="0" applyAlignment="0" applyProtection="0"/>
    <xf numFmtId="164" fontId="23" fillId="25" borderId="0" applyNumberFormat="0" applyBorder="0" applyAlignment="0" applyProtection="0"/>
    <xf numFmtId="164" fontId="23" fillId="25" borderId="0" applyNumberFormat="0" applyBorder="0" applyAlignment="0" applyProtection="0"/>
    <xf numFmtId="164" fontId="23" fillId="25" borderId="0" applyNumberFormat="0" applyBorder="0" applyAlignment="0" applyProtection="0"/>
    <xf numFmtId="164" fontId="23" fillId="25" borderId="0" applyNumberFormat="0" applyBorder="0" applyAlignment="0" applyProtection="0"/>
    <xf numFmtId="164" fontId="23" fillId="25" borderId="0" applyNumberFormat="0" applyBorder="0" applyAlignment="0" applyProtection="0"/>
    <xf numFmtId="164" fontId="23" fillId="25" borderId="0" applyNumberFormat="0" applyBorder="0" applyAlignment="0" applyProtection="0"/>
    <xf numFmtId="164" fontId="23" fillId="25" borderId="0" applyNumberFormat="0" applyBorder="0" applyAlignment="0" applyProtection="0"/>
    <xf numFmtId="164" fontId="23" fillId="25" borderId="0" applyNumberFormat="0" applyBorder="0" applyAlignment="0" applyProtection="0"/>
    <xf numFmtId="164" fontId="23" fillId="25" borderId="0" applyNumberFormat="0" applyBorder="0" applyAlignment="0" applyProtection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0" fontId="14" fillId="0" borderId="0"/>
    <xf numFmtId="0" fontId="14" fillId="0" borderId="0"/>
    <xf numFmtId="0" fontId="14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24" fillId="0" borderId="0"/>
    <xf numFmtId="164" fontId="24" fillId="0" borderId="0"/>
    <xf numFmtId="164" fontId="2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26" borderId="64" applyNumberFormat="0" applyFont="0" applyAlignment="0" applyProtection="0"/>
    <xf numFmtId="164" fontId="14" fillId="26" borderId="64" applyNumberFormat="0" applyFont="0" applyAlignment="0" applyProtection="0"/>
    <xf numFmtId="164" fontId="14" fillId="26" borderId="64" applyNumberFormat="0" applyFont="0" applyAlignment="0" applyProtection="0"/>
    <xf numFmtId="164" fontId="14" fillId="26" borderId="64" applyNumberFormat="0" applyFont="0" applyAlignment="0" applyProtection="0"/>
    <xf numFmtId="164" fontId="14" fillId="26" borderId="64" applyNumberFormat="0" applyFont="0" applyAlignment="0" applyProtection="0"/>
    <xf numFmtId="164" fontId="14" fillId="26" borderId="64" applyNumberFormat="0" applyFont="0" applyAlignment="0" applyProtection="0"/>
    <xf numFmtId="164" fontId="14" fillId="26" borderId="64" applyNumberFormat="0" applyFont="0" applyAlignment="0" applyProtection="0"/>
    <xf numFmtId="164" fontId="14" fillId="26" borderId="64" applyNumberFormat="0" applyFont="0" applyAlignment="0" applyProtection="0"/>
    <xf numFmtId="164" fontId="14" fillId="26" borderId="64" applyNumberFormat="0" applyFont="0" applyAlignment="0" applyProtection="0"/>
    <xf numFmtId="164" fontId="14" fillId="26" borderId="64" applyNumberFormat="0" applyFont="0" applyAlignment="0" applyProtection="0"/>
    <xf numFmtId="164" fontId="14" fillId="26" borderId="64" applyNumberFormat="0" applyFont="0" applyAlignment="0" applyProtection="0"/>
    <xf numFmtId="164" fontId="14" fillId="26" borderId="64" applyNumberFormat="0" applyFont="0" applyAlignment="0" applyProtection="0"/>
    <xf numFmtId="164" fontId="25" fillId="23" borderId="65" applyNumberFormat="0" applyAlignment="0" applyProtection="0"/>
    <xf numFmtId="164" fontId="25" fillId="23" borderId="65" applyNumberFormat="0" applyAlignment="0" applyProtection="0"/>
    <xf numFmtId="164" fontId="25" fillId="23" borderId="65" applyNumberFormat="0" applyAlignment="0" applyProtection="0"/>
    <xf numFmtId="164" fontId="25" fillId="23" borderId="65" applyNumberFormat="0" applyAlignment="0" applyProtection="0"/>
    <xf numFmtId="164" fontId="25" fillId="23" borderId="65" applyNumberFormat="0" applyAlignment="0" applyProtection="0"/>
    <xf numFmtId="164" fontId="25" fillId="23" borderId="65" applyNumberFormat="0" applyAlignment="0" applyProtection="0"/>
    <xf numFmtId="164" fontId="25" fillId="23" borderId="65" applyNumberFormat="0" applyAlignment="0" applyProtection="0"/>
    <xf numFmtId="164" fontId="25" fillId="23" borderId="65" applyNumberFormat="0" applyAlignment="0" applyProtection="0"/>
    <xf numFmtId="164" fontId="25" fillId="23" borderId="65" applyNumberFormat="0" applyAlignment="0" applyProtection="0"/>
    <xf numFmtId="164" fontId="25" fillId="23" borderId="65" applyNumberFormat="0" applyAlignment="0" applyProtection="0"/>
    <xf numFmtId="164" fontId="25" fillId="23" borderId="65" applyNumberFormat="0" applyAlignment="0" applyProtection="0"/>
    <xf numFmtId="164" fontId="25" fillId="23" borderId="65" applyNumberFormat="0" applyAlignment="0" applyProtection="0"/>
    <xf numFmtId="9" fontId="14" fillId="0" borderId="0" applyFon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7" fillId="0" borderId="66" applyNumberFormat="0" applyFill="0" applyAlignment="0" applyProtection="0"/>
    <xf numFmtId="164" fontId="27" fillId="0" borderId="66" applyNumberFormat="0" applyFill="0" applyAlignment="0" applyProtection="0"/>
    <xf numFmtId="164" fontId="27" fillId="0" borderId="66" applyNumberFormat="0" applyFill="0" applyAlignment="0" applyProtection="0"/>
    <xf numFmtId="164" fontId="27" fillId="0" borderId="66" applyNumberFormat="0" applyFill="0" applyAlignment="0" applyProtection="0"/>
    <xf numFmtId="164" fontId="27" fillId="0" borderId="66" applyNumberFormat="0" applyFill="0" applyAlignment="0" applyProtection="0"/>
    <xf numFmtId="164" fontId="27" fillId="0" borderId="66" applyNumberFormat="0" applyFill="0" applyAlignment="0" applyProtection="0"/>
    <xf numFmtId="164" fontId="27" fillId="0" borderId="66" applyNumberFormat="0" applyFill="0" applyAlignment="0" applyProtection="0"/>
    <xf numFmtId="164" fontId="27" fillId="0" borderId="66" applyNumberFormat="0" applyFill="0" applyAlignment="0" applyProtection="0"/>
    <xf numFmtId="164" fontId="27" fillId="0" borderId="66" applyNumberFormat="0" applyFill="0" applyAlignment="0" applyProtection="0"/>
    <xf numFmtId="164" fontId="27" fillId="0" borderId="66" applyNumberFormat="0" applyFill="0" applyAlignment="0" applyProtection="0"/>
    <xf numFmtId="164" fontId="27" fillId="0" borderId="66" applyNumberFormat="0" applyFill="0" applyAlignment="0" applyProtection="0"/>
    <xf numFmtId="164" fontId="27" fillId="0" borderId="66" applyNumberFormat="0" applyFill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1" fillId="0" borderId="0"/>
    <xf numFmtId="164" fontId="1" fillId="0" borderId="0"/>
    <xf numFmtId="166" fontId="1" fillId="0" borderId="0"/>
    <xf numFmtId="166" fontId="14" fillId="0" borderId="0"/>
    <xf numFmtId="166" fontId="9" fillId="5" borderId="0" applyNumberFormat="0" applyBorder="0" applyAlignment="0" applyProtection="0"/>
    <xf numFmtId="166" fontId="9" fillId="5" borderId="0" applyNumberFormat="0" applyBorder="0" applyAlignment="0" applyProtection="0"/>
    <xf numFmtId="166" fontId="9" fillId="5" borderId="0" applyNumberFormat="0" applyBorder="0" applyAlignment="0" applyProtection="0"/>
    <xf numFmtId="166" fontId="9" fillId="5" borderId="0" applyNumberFormat="0" applyBorder="0" applyAlignment="0" applyProtection="0"/>
    <xf numFmtId="166" fontId="9" fillId="5" borderId="0" applyNumberFormat="0" applyBorder="0" applyAlignment="0" applyProtection="0"/>
    <xf numFmtId="166" fontId="9" fillId="5" borderId="0" applyNumberFormat="0" applyBorder="0" applyAlignment="0" applyProtection="0"/>
    <xf numFmtId="166" fontId="9" fillId="5" borderId="0" applyNumberFormat="0" applyBorder="0" applyAlignment="0" applyProtection="0"/>
    <xf numFmtId="166" fontId="9" fillId="5" borderId="0" applyNumberFormat="0" applyBorder="0" applyAlignment="0" applyProtection="0"/>
    <xf numFmtId="166" fontId="9" fillId="5" borderId="0" applyNumberFormat="0" applyBorder="0" applyAlignment="0" applyProtection="0"/>
    <xf numFmtId="166" fontId="9" fillId="5" borderId="0" applyNumberFormat="0" applyBorder="0" applyAlignment="0" applyProtection="0"/>
    <xf numFmtId="166" fontId="9" fillId="5" borderId="0" applyNumberFormat="0" applyBorder="0" applyAlignment="0" applyProtection="0"/>
    <xf numFmtId="166" fontId="9" fillId="5" borderId="0" applyNumberFormat="0" applyBorder="0" applyAlignment="0" applyProtection="0"/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166" fontId="9" fillId="7" borderId="0" applyNumberFormat="0" applyBorder="0" applyAlignment="0" applyProtection="0"/>
    <xf numFmtId="166" fontId="9" fillId="7" borderId="0" applyNumberFormat="0" applyBorder="0" applyAlignment="0" applyProtection="0"/>
    <xf numFmtId="166" fontId="9" fillId="7" borderId="0" applyNumberFormat="0" applyBorder="0" applyAlignment="0" applyProtection="0"/>
    <xf numFmtId="166" fontId="9" fillId="7" borderId="0" applyNumberFormat="0" applyBorder="0" applyAlignment="0" applyProtection="0"/>
    <xf numFmtId="166" fontId="9" fillId="7" borderId="0" applyNumberFormat="0" applyBorder="0" applyAlignment="0" applyProtection="0"/>
    <xf numFmtId="166" fontId="9" fillId="7" borderId="0" applyNumberFormat="0" applyBorder="0" applyAlignment="0" applyProtection="0"/>
    <xf numFmtId="166" fontId="9" fillId="7" borderId="0" applyNumberFormat="0" applyBorder="0" applyAlignment="0" applyProtection="0"/>
    <xf numFmtId="166" fontId="9" fillId="7" borderId="0" applyNumberFormat="0" applyBorder="0" applyAlignment="0" applyProtection="0"/>
    <xf numFmtId="166" fontId="9" fillId="7" borderId="0" applyNumberFormat="0" applyBorder="0" applyAlignment="0" applyProtection="0"/>
    <xf numFmtId="166" fontId="9" fillId="7" borderId="0" applyNumberFormat="0" applyBorder="0" applyAlignment="0" applyProtection="0"/>
    <xf numFmtId="166" fontId="9" fillId="7" borderId="0" applyNumberFormat="0" applyBorder="0" applyAlignment="0" applyProtection="0"/>
    <xf numFmtId="166" fontId="9" fillId="7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9" borderId="0" applyNumberFormat="0" applyBorder="0" applyAlignment="0" applyProtection="0"/>
    <xf numFmtId="166" fontId="9" fillId="9" borderId="0" applyNumberFormat="0" applyBorder="0" applyAlignment="0" applyProtection="0"/>
    <xf numFmtId="166" fontId="9" fillId="9" borderId="0" applyNumberFormat="0" applyBorder="0" applyAlignment="0" applyProtection="0"/>
    <xf numFmtId="166" fontId="9" fillId="9" borderId="0" applyNumberFormat="0" applyBorder="0" applyAlignment="0" applyProtection="0"/>
    <xf numFmtId="166" fontId="9" fillId="9" borderId="0" applyNumberFormat="0" applyBorder="0" applyAlignment="0" applyProtection="0"/>
    <xf numFmtId="166" fontId="9" fillId="9" borderId="0" applyNumberFormat="0" applyBorder="0" applyAlignment="0" applyProtection="0"/>
    <xf numFmtId="166" fontId="9" fillId="9" borderId="0" applyNumberFormat="0" applyBorder="0" applyAlignment="0" applyProtection="0"/>
    <xf numFmtId="166" fontId="9" fillId="9" borderId="0" applyNumberFormat="0" applyBorder="0" applyAlignment="0" applyProtection="0"/>
    <xf numFmtId="166" fontId="9" fillId="9" borderId="0" applyNumberFormat="0" applyBorder="0" applyAlignment="0" applyProtection="0"/>
    <xf numFmtId="166" fontId="9" fillId="9" borderId="0" applyNumberFormat="0" applyBorder="0" applyAlignment="0" applyProtection="0"/>
    <xf numFmtId="166" fontId="9" fillId="9" borderId="0" applyNumberFormat="0" applyBorder="0" applyAlignment="0" applyProtection="0"/>
    <xf numFmtId="166" fontId="9" fillId="9" borderId="0" applyNumberFormat="0" applyBorder="0" applyAlignment="0" applyProtection="0"/>
    <xf numFmtId="166" fontId="9" fillId="10" borderId="0" applyNumberFormat="0" applyBorder="0" applyAlignment="0" applyProtection="0"/>
    <xf numFmtId="166" fontId="9" fillId="10" borderId="0" applyNumberFormat="0" applyBorder="0" applyAlignment="0" applyProtection="0"/>
    <xf numFmtId="166" fontId="9" fillId="10" borderId="0" applyNumberFormat="0" applyBorder="0" applyAlignment="0" applyProtection="0"/>
    <xf numFmtId="166" fontId="9" fillId="10" borderId="0" applyNumberFormat="0" applyBorder="0" applyAlignment="0" applyProtection="0"/>
    <xf numFmtId="166" fontId="9" fillId="10" borderId="0" applyNumberFormat="0" applyBorder="0" applyAlignment="0" applyProtection="0"/>
    <xf numFmtId="166" fontId="9" fillId="10" borderId="0" applyNumberFormat="0" applyBorder="0" applyAlignment="0" applyProtection="0"/>
    <xf numFmtId="166" fontId="9" fillId="10" borderId="0" applyNumberFormat="0" applyBorder="0" applyAlignment="0" applyProtection="0"/>
    <xf numFmtId="166" fontId="9" fillId="10" borderId="0" applyNumberFormat="0" applyBorder="0" applyAlignment="0" applyProtection="0"/>
    <xf numFmtId="166" fontId="9" fillId="10" borderId="0" applyNumberFormat="0" applyBorder="0" applyAlignment="0" applyProtection="0"/>
    <xf numFmtId="166" fontId="9" fillId="10" borderId="0" applyNumberFormat="0" applyBorder="0" applyAlignment="0" applyProtection="0"/>
    <xf numFmtId="166" fontId="9" fillId="10" borderId="0" applyNumberFormat="0" applyBorder="0" applyAlignment="0" applyProtection="0"/>
    <xf numFmtId="166" fontId="9" fillId="10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2" borderId="0" applyNumberFormat="0" applyBorder="0" applyAlignment="0" applyProtection="0"/>
    <xf numFmtId="166" fontId="9" fillId="12" borderId="0" applyNumberFormat="0" applyBorder="0" applyAlignment="0" applyProtection="0"/>
    <xf numFmtId="166" fontId="9" fillId="12" borderId="0" applyNumberFormat="0" applyBorder="0" applyAlignment="0" applyProtection="0"/>
    <xf numFmtId="166" fontId="9" fillId="12" borderId="0" applyNumberFormat="0" applyBorder="0" applyAlignment="0" applyProtection="0"/>
    <xf numFmtId="166" fontId="9" fillId="12" borderId="0" applyNumberFormat="0" applyBorder="0" applyAlignment="0" applyProtection="0"/>
    <xf numFmtId="166" fontId="9" fillId="12" borderId="0" applyNumberFormat="0" applyBorder="0" applyAlignment="0" applyProtection="0"/>
    <xf numFmtId="166" fontId="9" fillId="12" borderId="0" applyNumberFormat="0" applyBorder="0" applyAlignment="0" applyProtection="0"/>
    <xf numFmtId="166" fontId="9" fillId="12" borderId="0" applyNumberFormat="0" applyBorder="0" applyAlignment="0" applyProtection="0"/>
    <xf numFmtId="166" fontId="9" fillId="12" borderId="0" applyNumberFormat="0" applyBorder="0" applyAlignment="0" applyProtection="0"/>
    <xf numFmtId="166" fontId="9" fillId="12" borderId="0" applyNumberFormat="0" applyBorder="0" applyAlignment="0" applyProtection="0"/>
    <xf numFmtId="166" fontId="9" fillId="12" borderId="0" applyNumberFormat="0" applyBorder="0" applyAlignment="0" applyProtection="0"/>
    <xf numFmtId="166" fontId="9" fillId="12" borderId="0" applyNumberFormat="0" applyBorder="0" applyAlignment="0" applyProtection="0"/>
    <xf numFmtId="166" fontId="9" fillId="13" borderId="0" applyNumberFormat="0" applyBorder="0" applyAlignment="0" applyProtection="0"/>
    <xf numFmtId="166" fontId="9" fillId="13" borderId="0" applyNumberFormat="0" applyBorder="0" applyAlignment="0" applyProtection="0"/>
    <xf numFmtId="166" fontId="9" fillId="13" borderId="0" applyNumberFormat="0" applyBorder="0" applyAlignment="0" applyProtection="0"/>
    <xf numFmtId="166" fontId="9" fillId="13" borderId="0" applyNumberFormat="0" applyBorder="0" applyAlignment="0" applyProtection="0"/>
    <xf numFmtId="166" fontId="9" fillId="13" borderId="0" applyNumberFormat="0" applyBorder="0" applyAlignment="0" applyProtection="0"/>
    <xf numFmtId="166" fontId="9" fillId="13" borderId="0" applyNumberFormat="0" applyBorder="0" applyAlignment="0" applyProtection="0"/>
    <xf numFmtId="166" fontId="9" fillId="13" borderId="0" applyNumberFormat="0" applyBorder="0" applyAlignment="0" applyProtection="0"/>
    <xf numFmtId="166" fontId="9" fillId="13" borderId="0" applyNumberFormat="0" applyBorder="0" applyAlignment="0" applyProtection="0"/>
    <xf numFmtId="166" fontId="9" fillId="13" borderId="0" applyNumberFormat="0" applyBorder="0" applyAlignment="0" applyProtection="0"/>
    <xf numFmtId="166" fontId="9" fillId="13" borderId="0" applyNumberFormat="0" applyBorder="0" applyAlignment="0" applyProtection="0"/>
    <xf numFmtId="166" fontId="9" fillId="13" borderId="0" applyNumberFormat="0" applyBorder="0" applyAlignment="0" applyProtection="0"/>
    <xf numFmtId="166" fontId="9" fillId="13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8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1" borderId="0" applyNumberFormat="0" applyBorder="0" applyAlignment="0" applyProtection="0"/>
    <xf numFmtId="166" fontId="9" fillId="14" borderId="0" applyNumberFormat="0" applyBorder="0" applyAlignment="0" applyProtection="0"/>
    <xf numFmtId="166" fontId="9" fillId="14" borderId="0" applyNumberFormat="0" applyBorder="0" applyAlignment="0" applyProtection="0"/>
    <xf numFmtId="166" fontId="9" fillId="14" borderId="0" applyNumberFormat="0" applyBorder="0" applyAlignment="0" applyProtection="0"/>
    <xf numFmtId="166" fontId="9" fillId="14" borderId="0" applyNumberFormat="0" applyBorder="0" applyAlignment="0" applyProtection="0"/>
    <xf numFmtId="166" fontId="9" fillId="14" borderId="0" applyNumberFormat="0" applyBorder="0" applyAlignment="0" applyProtection="0"/>
    <xf numFmtId="166" fontId="9" fillId="14" borderId="0" applyNumberFormat="0" applyBorder="0" applyAlignment="0" applyProtection="0"/>
    <xf numFmtId="166" fontId="9" fillId="14" borderId="0" applyNumberFormat="0" applyBorder="0" applyAlignment="0" applyProtection="0"/>
    <xf numFmtId="166" fontId="9" fillId="14" borderId="0" applyNumberFormat="0" applyBorder="0" applyAlignment="0" applyProtection="0"/>
    <xf numFmtId="166" fontId="9" fillId="14" borderId="0" applyNumberFormat="0" applyBorder="0" applyAlignment="0" applyProtection="0"/>
    <xf numFmtId="166" fontId="9" fillId="14" borderId="0" applyNumberFormat="0" applyBorder="0" applyAlignment="0" applyProtection="0"/>
    <xf numFmtId="166" fontId="9" fillId="14" borderId="0" applyNumberFormat="0" applyBorder="0" applyAlignment="0" applyProtection="0"/>
    <xf numFmtId="166" fontId="9" fillId="14" borderId="0" applyNumberFormat="0" applyBorder="0" applyAlignment="0" applyProtection="0"/>
    <xf numFmtId="166" fontId="10" fillId="15" borderId="0" applyNumberFormat="0" applyBorder="0" applyAlignment="0" applyProtection="0"/>
    <xf numFmtId="166" fontId="10" fillId="15" borderId="0" applyNumberFormat="0" applyBorder="0" applyAlignment="0" applyProtection="0"/>
    <xf numFmtId="166" fontId="10" fillId="15" borderId="0" applyNumberFormat="0" applyBorder="0" applyAlignment="0" applyProtection="0"/>
    <xf numFmtId="166" fontId="10" fillId="15" borderId="0" applyNumberFormat="0" applyBorder="0" applyAlignment="0" applyProtection="0"/>
    <xf numFmtId="166" fontId="10" fillId="15" borderId="0" applyNumberFormat="0" applyBorder="0" applyAlignment="0" applyProtection="0"/>
    <xf numFmtId="166" fontId="10" fillId="15" borderId="0" applyNumberFormat="0" applyBorder="0" applyAlignment="0" applyProtection="0"/>
    <xf numFmtId="166" fontId="10" fillId="15" borderId="0" applyNumberFormat="0" applyBorder="0" applyAlignment="0" applyProtection="0"/>
    <xf numFmtId="166" fontId="10" fillId="15" borderId="0" applyNumberFormat="0" applyBorder="0" applyAlignment="0" applyProtection="0"/>
    <xf numFmtId="166" fontId="10" fillId="15" borderId="0" applyNumberFormat="0" applyBorder="0" applyAlignment="0" applyProtection="0"/>
    <xf numFmtId="166" fontId="10" fillId="15" borderId="0" applyNumberFormat="0" applyBorder="0" applyAlignment="0" applyProtection="0"/>
    <xf numFmtId="166" fontId="10" fillId="15" borderId="0" applyNumberFormat="0" applyBorder="0" applyAlignment="0" applyProtection="0"/>
    <xf numFmtId="166" fontId="10" fillId="15" borderId="0" applyNumberFormat="0" applyBorder="0" applyAlignment="0" applyProtection="0"/>
    <xf numFmtId="166" fontId="10" fillId="12" borderId="0" applyNumberFormat="0" applyBorder="0" applyAlignment="0" applyProtection="0"/>
    <xf numFmtId="166" fontId="10" fillId="12" borderId="0" applyNumberFormat="0" applyBorder="0" applyAlignment="0" applyProtection="0"/>
    <xf numFmtId="166" fontId="10" fillId="12" borderId="0" applyNumberFormat="0" applyBorder="0" applyAlignment="0" applyProtection="0"/>
    <xf numFmtId="166" fontId="10" fillId="12" borderId="0" applyNumberFormat="0" applyBorder="0" applyAlignment="0" applyProtection="0"/>
    <xf numFmtId="166" fontId="10" fillId="12" borderId="0" applyNumberFormat="0" applyBorder="0" applyAlignment="0" applyProtection="0"/>
    <xf numFmtId="166" fontId="10" fillId="12" borderId="0" applyNumberFormat="0" applyBorder="0" applyAlignment="0" applyProtection="0"/>
    <xf numFmtId="166" fontId="10" fillId="12" borderId="0" applyNumberFormat="0" applyBorder="0" applyAlignment="0" applyProtection="0"/>
    <xf numFmtId="166" fontId="10" fillId="12" borderId="0" applyNumberFormat="0" applyBorder="0" applyAlignment="0" applyProtection="0"/>
    <xf numFmtId="166" fontId="10" fillId="12" borderId="0" applyNumberFormat="0" applyBorder="0" applyAlignment="0" applyProtection="0"/>
    <xf numFmtId="166" fontId="10" fillId="12" borderId="0" applyNumberFormat="0" applyBorder="0" applyAlignment="0" applyProtection="0"/>
    <xf numFmtId="166" fontId="10" fillId="12" borderId="0" applyNumberFormat="0" applyBorder="0" applyAlignment="0" applyProtection="0"/>
    <xf numFmtId="166" fontId="10" fillId="12" borderId="0" applyNumberFormat="0" applyBorder="0" applyAlignment="0" applyProtection="0"/>
    <xf numFmtId="166" fontId="10" fillId="13" borderId="0" applyNumberFormat="0" applyBorder="0" applyAlignment="0" applyProtection="0"/>
    <xf numFmtId="166" fontId="10" fillId="13" borderId="0" applyNumberFormat="0" applyBorder="0" applyAlignment="0" applyProtection="0"/>
    <xf numFmtId="166" fontId="10" fillId="13" borderId="0" applyNumberFormat="0" applyBorder="0" applyAlignment="0" applyProtection="0"/>
    <xf numFmtId="166" fontId="10" fillId="13" borderId="0" applyNumberFormat="0" applyBorder="0" applyAlignment="0" applyProtection="0"/>
    <xf numFmtId="166" fontId="10" fillId="13" borderId="0" applyNumberFormat="0" applyBorder="0" applyAlignment="0" applyProtection="0"/>
    <xf numFmtId="166" fontId="10" fillId="13" borderId="0" applyNumberFormat="0" applyBorder="0" applyAlignment="0" applyProtection="0"/>
    <xf numFmtId="166" fontId="10" fillId="13" borderId="0" applyNumberFormat="0" applyBorder="0" applyAlignment="0" applyProtection="0"/>
    <xf numFmtId="166" fontId="10" fillId="13" borderId="0" applyNumberFormat="0" applyBorder="0" applyAlignment="0" applyProtection="0"/>
    <xf numFmtId="166" fontId="10" fillId="13" borderId="0" applyNumberFormat="0" applyBorder="0" applyAlignment="0" applyProtection="0"/>
    <xf numFmtId="166" fontId="10" fillId="13" borderId="0" applyNumberFormat="0" applyBorder="0" applyAlignment="0" applyProtection="0"/>
    <xf numFmtId="166" fontId="10" fillId="13" borderId="0" applyNumberFormat="0" applyBorder="0" applyAlignment="0" applyProtection="0"/>
    <xf numFmtId="166" fontId="10" fillId="13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8" borderId="0" applyNumberFormat="0" applyBorder="0" applyAlignment="0" applyProtection="0"/>
    <xf numFmtId="166" fontId="10" fillId="18" borderId="0" applyNumberFormat="0" applyBorder="0" applyAlignment="0" applyProtection="0"/>
    <xf numFmtId="166" fontId="10" fillId="18" borderId="0" applyNumberFormat="0" applyBorder="0" applyAlignment="0" applyProtection="0"/>
    <xf numFmtId="166" fontId="10" fillId="18" borderId="0" applyNumberFormat="0" applyBorder="0" applyAlignment="0" applyProtection="0"/>
    <xf numFmtId="166" fontId="10" fillId="18" borderId="0" applyNumberFormat="0" applyBorder="0" applyAlignment="0" applyProtection="0"/>
    <xf numFmtId="166" fontId="10" fillId="18" borderId="0" applyNumberFormat="0" applyBorder="0" applyAlignment="0" applyProtection="0"/>
    <xf numFmtId="166" fontId="10" fillId="18" borderId="0" applyNumberFormat="0" applyBorder="0" applyAlignment="0" applyProtection="0"/>
    <xf numFmtId="166" fontId="10" fillId="18" borderId="0" applyNumberFormat="0" applyBorder="0" applyAlignment="0" applyProtection="0"/>
    <xf numFmtId="166" fontId="10" fillId="18" borderId="0" applyNumberFormat="0" applyBorder="0" applyAlignment="0" applyProtection="0"/>
    <xf numFmtId="166" fontId="10" fillId="18" borderId="0" applyNumberFormat="0" applyBorder="0" applyAlignment="0" applyProtection="0"/>
    <xf numFmtId="166" fontId="10" fillId="18" borderId="0" applyNumberFormat="0" applyBorder="0" applyAlignment="0" applyProtection="0"/>
    <xf numFmtId="166" fontId="10" fillId="18" borderId="0" applyNumberFormat="0" applyBorder="0" applyAlignment="0" applyProtection="0"/>
    <xf numFmtId="166" fontId="10" fillId="19" borderId="0" applyNumberFormat="0" applyBorder="0" applyAlignment="0" applyProtection="0"/>
    <xf numFmtId="166" fontId="10" fillId="19" borderId="0" applyNumberFormat="0" applyBorder="0" applyAlignment="0" applyProtection="0"/>
    <xf numFmtId="166" fontId="10" fillId="19" borderId="0" applyNumberFormat="0" applyBorder="0" applyAlignment="0" applyProtection="0"/>
    <xf numFmtId="166" fontId="10" fillId="19" borderId="0" applyNumberFormat="0" applyBorder="0" applyAlignment="0" applyProtection="0"/>
    <xf numFmtId="166" fontId="10" fillId="19" borderId="0" applyNumberFormat="0" applyBorder="0" applyAlignment="0" applyProtection="0"/>
    <xf numFmtId="166" fontId="10" fillId="19" borderId="0" applyNumberFormat="0" applyBorder="0" applyAlignment="0" applyProtection="0"/>
    <xf numFmtId="166" fontId="10" fillId="19" borderId="0" applyNumberFormat="0" applyBorder="0" applyAlignment="0" applyProtection="0"/>
    <xf numFmtId="166" fontId="10" fillId="19" borderId="0" applyNumberFormat="0" applyBorder="0" applyAlignment="0" applyProtection="0"/>
    <xf numFmtId="166" fontId="10" fillId="19" borderId="0" applyNumberFormat="0" applyBorder="0" applyAlignment="0" applyProtection="0"/>
    <xf numFmtId="166" fontId="10" fillId="19" borderId="0" applyNumberFormat="0" applyBorder="0" applyAlignment="0" applyProtection="0"/>
    <xf numFmtId="166" fontId="10" fillId="19" borderId="0" applyNumberFormat="0" applyBorder="0" applyAlignment="0" applyProtection="0"/>
    <xf numFmtId="166" fontId="10" fillId="19" borderId="0" applyNumberFormat="0" applyBorder="0" applyAlignment="0" applyProtection="0"/>
    <xf numFmtId="166" fontId="10" fillId="20" borderId="0" applyNumberFormat="0" applyBorder="0" applyAlignment="0" applyProtection="0"/>
    <xf numFmtId="166" fontId="10" fillId="20" borderId="0" applyNumberFormat="0" applyBorder="0" applyAlignment="0" applyProtection="0"/>
    <xf numFmtId="166" fontId="10" fillId="20" borderId="0" applyNumberFormat="0" applyBorder="0" applyAlignment="0" applyProtection="0"/>
    <xf numFmtId="166" fontId="10" fillId="20" borderId="0" applyNumberFormat="0" applyBorder="0" applyAlignment="0" applyProtection="0"/>
    <xf numFmtId="166" fontId="10" fillId="20" borderId="0" applyNumberFormat="0" applyBorder="0" applyAlignment="0" applyProtection="0"/>
    <xf numFmtId="166" fontId="10" fillId="20" borderId="0" applyNumberFormat="0" applyBorder="0" applyAlignment="0" applyProtection="0"/>
    <xf numFmtId="166" fontId="10" fillId="20" borderId="0" applyNumberFormat="0" applyBorder="0" applyAlignment="0" applyProtection="0"/>
    <xf numFmtId="166" fontId="10" fillId="20" borderId="0" applyNumberFormat="0" applyBorder="0" applyAlignment="0" applyProtection="0"/>
    <xf numFmtId="166" fontId="10" fillId="20" borderId="0" applyNumberFormat="0" applyBorder="0" applyAlignment="0" applyProtection="0"/>
    <xf numFmtId="166" fontId="10" fillId="20" borderId="0" applyNumberFormat="0" applyBorder="0" applyAlignment="0" applyProtection="0"/>
    <xf numFmtId="166" fontId="10" fillId="20" borderId="0" applyNumberFormat="0" applyBorder="0" applyAlignment="0" applyProtection="0"/>
    <xf numFmtId="166" fontId="10" fillId="20" borderId="0" applyNumberFormat="0" applyBorder="0" applyAlignment="0" applyProtection="0"/>
    <xf numFmtId="166" fontId="10" fillId="21" borderId="0" applyNumberFormat="0" applyBorder="0" applyAlignment="0" applyProtection="0"/>
    <xf numFmtId="166" fontId="10" fillId="21" borderId="0" applyNumberFormat="0" applyBorder="0" applyAlignment="0" applyProtection="0"/>
    <xf numFmtId="166" fontId="10" fillId="21" borderId="0" applyNumberFormat="0" applyBorder="0" applyAlignment="0" applyProtection="0"/>
    <xf numFmtId="166" fontId="10" fillId="21" borderId="0" applyNumberFormat="0" applyBorder="0" applyAlignment="0" applyProtection="0"/>
    <xf numFmtId="166" fontId="10" fillId="21" borderId="0" applyNumberFormat="0" applyBorder="0" applyAlignment="0" applyProtection="0"/>
    <xf numFmtId="166" fontId="10" fillId="21" borderId="0" applyNumberFormat="0" applyBorder="0" applyAlignment="0" applyProtection="0"/>
    <xf numFmtId="166" fontId="10" fillId="21" borderId="0" applyNumberFormat="0" applyBorder="0" applyAlignment="0" applyProtection="0"/>
    <xf numFmtId="166" fontId="10" fillId="21" borderId="0" applyNumberFormat="0" applyBorder="0" applyAlignment="0" applyProtection="0"/>
    <xf numFmtId="166" fontId="10" fillId="21" borderId="0" applyNumberFormat="0" applyBorder="0" applyAlignment="0" applyProtection="0"/>
    <xf numFmtId="166" fontId="10" fillId="21" borderId="0" applyNumberFormat="0" applyBorder="0" applyAlignment="0" applyProtection="0"/>
    <xf numFmtId="166" fontId="10" fillId="21" borderId="0" applyNumberFormat="0" applyBorder="0" applyAlignment="0" applyProtection="0"/>
    <xf numFmtId="166" fontId="10" fillId="21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6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17" borderId="0" applyNumberFormat="0" applyBorder="0" applyAlignment="0" applyProtection="0"/>
    <xf numFmtId="166" fontId="10" fillId="22" borderId="0" applyNumberFormat="0" applyBorder="0" applyAlignment="0" applyProtection="0"/>
    <xf numFmtId="166" fontId="10" fillId="22" borderId="0" applyNumberFormat="0" applyBorder="0" applyAlignment="0" applyProtection="0"/>
    <xf numFmtId="166" fontId="10" fillId="22" borderId="0" applyNumberFormat="0" applyBorder="0" applyAlignment="0" applyProtection="0"/>
    <xf numFmtId="166" fontId="10" fillId="22" borderId="0" applyNumberFormat="0" applyBorder="0" applyAlignment="0" applyProtection="0"/>
    <xf numFmtId="166" fontId="10" fillId="22" borderId="0" applyNumberFormat="0" applyBorder="0" applyAlignment="0" applyProtection="0"/>
    <xf numFmtId="166" fontId="10" fillId="22" borderId="0" applyNumberFormat="0" applyBorder="0" applyAlignment="0" applyProtection="0"/>
    <xf numFmtId="166" fontId="10" fillId="22" borderId="0" applyNumberFormat="0" applyBorder="0" applyAlignment="0" applyProtection="0"/>
    <xf numFmtId="166" fontId="10" fillId="22" borderId="0" applyNumberFormat="0" applyBorder="0" applyAlignment="0" applyProtection="0"/>
    <xf numFmtId="166" fontId="10" fillId="22" borderId="0" applyNumberFormat="0" applyBorder="0" applyAlignment="0" applyProtection="0"/>
    <xf numFmtId="166" fontId="10" fillId="22" borderId="0" applyNumberFormat="0" applyBorder="0" applyAlignment="0" applyProtection="0"/>
    <xf numFmtId="166" fontId="10" fillId="22" borderId="0" applyNumberFormat="0" applyBorder="0" applyAlignment="0" applyProtection="0"/>
    <xf numFmtId="166" fontId="10" fillId="22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2" fillId="23" borderId="58" applyNumberFormat="0" applyAlignment="0" applyProtection="0"/>
    <xf numFmtId="166" fontId="12" fillId="23" borderId="58" applyNumberFormat="0" applyAlignment="0" applyProtection="0"/>
    <xf numFmtId="166" fontId="12" fillId="23" borderId="58" applyNumberFormat="0" applyAlignment="0" applyProtection="0"/>
    <xf numFmtId="166" fontId="12" fillId="23" borderId="58" applyNumberFormat="0" applyAlignment="0" applyProtection="0"/>
    <xf numFmtId="166" fontId="12" fillId="23" borderId="58" applyNumberFormat="0" applyAlignment="0" applyProtection="0"/>
    <xf numFmtId="166" fontId="12" fillId="23" borderId="58" applyNumberFormat="0" applyAlignment="0" applyProtection="0"/>
    <xf numFmtId="166" fontId="12" fillId="23" borderId="58" applyNumberFormat="0" applyAlignment="0" applyProtection="0"/>
    <xf numFmtId="166" fontId="12" fillId="23" borderId="58" applyNumberFormat="0" applyAlignment="0" applyProtection="0"/>
    <xf numFmtId="166" fontId="12" fillId="23" borderId="58" applyNumberFormat="0" applyAlignment="0" applyProtection="0"/>
    <xf numFmtId="166" fontId="12" fillId="23" borderId="58" applyNumberFormat="0" applyAlignment="0" applyProtection="0"/>
    <xf numFmtId="166" fontId="12" fillId="23" borderId="58" applyNumberFormat="0" applyAlignment="0" applyProtection="0"/>
    <xf numFmtId="166" fontId="12" fillId="23" borderId="58" applyNumberFormat="0" applyAlignment="0" applyProtection="0"/>
    <xf numFmtId="166" fontId="13" fillId="24" borderId="59" applyNumberFormat="0" applyAlignment="0" applyProtection="0"/>
    <xf numFmtId="166" fontId="13" fillId="24" borderId="59" applyNumberFormat="0" applyAlignment="0" applyProtection="0"/>
    <xf numFmtId="166" fontId="13" fillId="24" borderId="59" applyNumberFormat="0" applyAlignment="0" applyProtection="0"/>
    <xf numFmtId="166" fontId="13" fillId="24" borderId="59" applyNumberFormat="0" applyAlignment="0" applyProtection="0"/>
    <xf numFmtId="166" fontId="13" fillId="24" borderId="59" applyNumberFormat="0" applyAlignment="0" applyProtection="0"/>
    <xf numFmtId="166" fontId="13" fillId="24" borderId="59" applyNumberFormat="0" applyAlignment="0" applyProtection="0"/>
    <xf numFmtId="166" fontId="13" fillId="24" borderId="59" applyNumberFormat="0" applyAlignment="0" applyProtection="0"/>
    <xf numFmtId="166" fontId="13" fillId="24" borderId="59" applyNumberFormat="0" applyAlignment="0" applyProtection="0"/>
    <xf numFmtId="166" fontId="13" fillId="24" borderId="59" applyNumberFormat="0" applyAlignment="0" applyProtection="0"/>
    <xf numFmtId="166" fontId="13" fillId="24" borderId="59" applyNumberFormat="0" applyAlignment="0" applyProtection="0"/>
    <xf numFmtId="166" fontId="13" fillId="24" borderId="59" applyNumberFormat="0" applyAlignment="0" applyProtection="0"/>
    <xf numFmtId="166" fontId="13" fillId="24" borderId="59" applyNumberFormat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5" fillId="0" borderId="0" applyNumberFormat="0" applyFill="0" applyBorder="0" applyAlignment="0" applyProtection="0"/>
    <xf numFmtId="166" fontId="16" fillId="7" borderId="0" applyNumberFormat="0" applyBorder="0" applyAlignment="0" applyProtection="0"/>
    <xf numFmtId="166" fontId="16" fillId="7" borderId="0" applyNumberFormat="0" applyBorder="0" applyAlignment="0" applyProtection="0"/>
    <xf numFmtId="166" fontId="16" fillId="7" borderId="0" applyNumberFormat="0" applyBorder="0" applyAlignment="0" applyProtection="0"/>
    <xf numFmtId="166" fontId="16" fillId="7" borderId="0" applyNumberFormat="0" applyBorder="0" applyAlignment="0" applyProtection="0"/>
    <xf numFmtId="166" fontId="16" fillId="7" borderId="0" applyNumberFormat="0" applyBorder="0" applyAlignment="0" applyProtection="0"/>
    <xf numFmtId="166" fontId="16" fillId="7" borderId="0" applyNumberFormat="0" applyBorder="0" applyAlignment="0" applyProtection="0"/>
    <xf numFmtId="166" fontId="16" fillId="7" borderId="0" applyNumberFormat="0" applyBorder="0" applyAlignment="0" applyProtection="0"/>
    <xf numFmtId="166" fontId="16" fillId="7" borderId="0" applyNumberFormat="0" applyBorder="0" applyAlignment="0" applyProtection="0"/>
    <xf numFmtId="166" fontId="16" fillId="7" borderId="0" applyNumberFormat="0" applyBorder="0" applyAlignment="0" applyProtection="0"/>
    <xf numFmtId="166" fontId="16" fillId="7" borderId="0" applyNumberFormat="0" applyBorder="0" applyAlignment="0" applyProtection="0"/>
    <xf numFmtId="166" fontId="16" fillId="7" borderId="0" applyNumberFormat="0" applyBorder="0" applyAlignment="0" applyProtection="0"/>
    <xf numFmtId="166" fontId="16" fillId="7" borderId="0" applyNumberFormat="0" applyBorder="0" applyAlignment="0" applyProtection="0"/>
    <xf numFmtId="166" fontId="17" fillId="0" borderId="60" applyNumberFormat="0" applyFill="0" applyAlignment="0" applyProtection="0"/>
    <xf numFmtId="166" fontId="17" fillId="0" borderId="60" applyNumberFormat="0" applyFill="0" applyAlignment="0" applyProtection="0"/>
    <xf numFmtId="166" fontId="17" fillId="0" borderId="60" applyNumberFormat="0" applyFill="0" applyAlignment="0" applyProtection="0"/>
    <xf numFmtId="166" fontId="17" fillId="0" borderId="60" applyNumberFormat="0" applyFill="0" applyAlignment="0" applyProtection="0"/>
    <xf numFmtId="166" fontId="17" fillId="0" borderId="60" applyNumberFormat="0" applyFill="0" applyAlignment="0" applyProtection="0"/>
    <xf numFmtId="166" fontId="17" fillId="0" borderId="60" applyNumberFormat="0" applyFill="0" applyAlignment="0" applyProtection="0"/>
    <xf numFmtId="166" fontId="17" fillId="0" borderId="60" applyNumberFormat="0" applyFill="0" applyAlignment="0" applyProtection="0"/>
    <xf numFmtId="166" fontId="17" fillId="0" borderId="60" applyNumberFormat="0" applyFill="0" applyAlignment="0" applyProtection="0"/>
    <xf numFmtId="166" fontId="17" fillId="0" borderId="60" applyNumberFormat="0" applyFill="0" applyAlignment="0" applyProtection="0"/>
    <xf numFmtId="166" fontId="17" fillId="0" borderId="60" applyNumberFormat="0" applyFill="0" applyAlignment="0" applyProtection="0"/>
    <xf numFmtId="166" fontId="17" fillId="0" borderId="60" applyNumberFormat="0" applyFill="0" applyAlignment="0" applyProtection="0"/>
    <xf numFmtId="166" fontId="17" fillId="0" borderId="60" applyNumberFormat="0" applyFill="0" applyAlignment="0" applyProtection="0"/>
    <xf numFmtId="166" fontId="18" fillId="0" borderId="61" applyNumberFormat="0" applyFill="0" applyAlignment="0" applyProtection="0"/>
    <xf numFmtId="166" fontId="18" fillId="0" borderId="61" applyNumberFormat="0" applyFill="0" applyAlignment="0" applyProtection="0"/>
    <xf numFmtId="166" fontId="18" fillId="0" borderId="61" applyNumberFormat="0" applyFill="0" applyAlignment="0" applyProtection="0"/>
    <xf numFmtId="166" fontId="18" fillId="0" borderId="61" applyNumberFormat="0" applyFill="0" applyAlignment="0" applyProtection="0"/>
    <xf numFmtId="166" fontId="18" fillId="0" borderId="61" applyNumberFormat="0" applyFill="0" applyAlignment="0" applyProtection="0"/>
    <xf numFmtId="166" fontId="18" fillId="0" borderId="61" applyNumberFormat="0" applyFill="0" applyAlignment="0" applyProtection="0"/>
    <xf numFmtId="166" fontId="18" fillId="0" borderId="61" applyNumberFormat="0" applyFill="0" applyAlignment="0" applyProtection="0"/>
    <xf numFmtId="166" fontId="18" fillId="0" borderId="61" applyNumberFormat="0" applyFill="0" applyAlignment="0" applyProtection="0"/>
    <xf numFmtId="166" fontId="18" fillId="0" borderId="61" applyNumberFormat="0" applyFill="0" applyAlignment="0" applyProtection="0"/>
    <xf numFmtId="166" fontId="18" fillId="0" borderId="61" applyNumberFormat="0" applyFill="0" applyAlignment="0" applyProtection="0"/>
    <xf numFmtId="166" fontId="18" fillId="0" borderId="61" applyNumberFormat="0" applyFill="0" applyAlignment="0" applyProtection="0"/>
    <xf numFmtId="166" fontId="18" fillId="0" borderId="61" applyNumberFormat="0" applyFill="0" applyAlignment="0" applyProtection="0"/>
    <xf numFmtId="166" fontId="19" fillId="0" borderId="62" applyNumberFormat="0" applyFill="0" applyAlignment="0" applyProtection="0"/>
    <xf numFmtId="166" fontId="19" fillId="0" borderId="62" applyNumberFormat="0" applyFill="0" applyAlignment="0" applyProtection="0"/>
    <xf numFmtId="166" fontId="19" fillId="0" borderId="62" applyNumberFormat="0" applyFill="0" applyAlignment="0" applyProtection="0"/>
    <xf numFmtId="166" fontId="19" fillId="0" borderId="62" applyNumberFormat="0" applyFill="0" applyAlignment="0" applyProtection="0"/>
    <xf numFmtId="166" fontId="19" fillId="0" borderId="62" applyNumberFormat="0" applyFill="0" applyAlignment="0" applyProtection="0"/>
    <xf numFmtId="166" fontId="19" fillId="0" borderId="62" applyNumberFormat="0" applyFill="0" applyAlignment="0" applyProtection="0"/>
    <xf numFmtId="166" fontId="19" fillId="0" borderId="62" applyNumberFormat="0" applyFill="0" applyAlignment="0" applyProtection="0"/>
    <xf numFmtId="166" fontId="19" fillId="0" borderId="62" applyNumberFormat="0" applyFill="0" applyAlignment="0" applyProtection="0"/>
    <xf numFmtId="166" fontId="19" fillId="0" borderId="62" applyNumberFormat="0" applyFill="0" applyAlignment="0" applyProtection="0"/>
    <xf numFmtId="166" fontId="19" fillId="0" borderId="62" applyNumberFormat="0" applyFill="0" applyAlignment="0" applyProtection="0"/>
    <xf numFmtId="166" fontId="19" fillId="0" borderId="62" applyNumberFormat="0" applyFill="0" applyAlignment="0" applyProtection="0"/>
    <xf numFmtId="166" fontId="19" fillId="0" borderId="62" applyNumberFormat="0" applyFill="0" applyAlignment="0" applyProtection="0"/>
    <xf numFmtId="166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166" fontId="21" fillId="10" borderId="58" applyNumberFormat="0" applyAlignment="0" applyProtection="0"/>
    <xf numFmtId="166" fontId="21" fillId="10" borderId="58" applyNumberFormat="0" applyAlignment="0" applyProtection="0"/>
    <xf numFmtId="166" fontId="21" fillId="10" borderId="58" applyNumberFormat="0" applyAlignment="0" applyProtection="0"/>
    <xf numFmtId="166" fontId="21" fillId="10" borderId="58" applyNumberFormat="0" applyAlignment="0" applyProtection="0"/>
    <xf numFmtId="166" fontId="21" fillId="10" borderId="58" applyNumberFormat="0" applyAlignment="0" applyProtection="0"/>
    <xf numFmtId="166" fontId="21" fillId="10" borderId="58" applyNumberFormat="0" applyAlignment="0" applyProtection="0"/>
    <xf numFmtId="166" fontId="21" fillId="10" borderId="58" applyNumberFormat="0" applyAlignment="0" applyProtection="0"/>
    <xf numFmtId="166" fontId="21" fillId="10" borderId="58" applyNumberFormat="0" applyAlignment="0" applyProtection="0"/>
    <xf numFmtId="166" fontId="21" fillId="10" borderId="58" applyNumberFormat="0" applyAlignment="0" applyProtection="0"/>
    <xf numFmtId="166" fontId="21" fillId="10" borderId="58" applyNumberFormat="0" applyAlignment="0" applyProtection="0"/>
    <xf numFmtId="166" fontId="21" fillId="10" borderId="58" applyNumberFormat="0" applyAlignment="0" applyProtection="0"/>
    <xf numFmtId="166" fontId="21" fillId="10" borderId="58" applyNumberFormat="0" applyAlignment="0" applyProtection="0"/>
    <xf numFmtId="166" fontId="22" fillId="0" borderId="63" applyNumberFormat="0" applyFill="0" applyAlignment="0" applyProtection="0"/>
    <xf numFmtId="166" fontId="22" fillId="0" borderId="63" applyNumberFormat="0" applyFill="0" applyAlignment="0" applyProtection="0"/>
    <xf numFmtId="166" fontId="22" fillId="0" borderId="63" applyNumberFormat="0" applyFill="0" applyAlignment="0" applyProtection="0"/>
    <xf numFmtId="166" fontId="22" fillId="0" borderId="63" applyNumberFormat="0" applyFill="0" applyAlignment="0" applyProtection="0"/>
    <xf numFmtId="166" fontId="22" fillId="0" borderId="63" applyNumberFormat="0" applyFill="0" applyAlignment="0" applyProtection="0"/>
    <xf numFmtId="166" fontId="22" fillId="0" borderId="63" applyNumberFormat="0" applyFill="0" applyAlignment="0" applyProtection="0"/>
    <xf numFmtId="166" fontId="22" fillId="0" borderId="63" applyNumberFormat="0" applyFill="0" applyAlignment="0" applyProtection="0"/>
    <xf numFmtId="166" fontId="22" fillId="0" borderId="63" applyNumberFormat="0" applyFill="0" applyAlignment="0" applyProtection="0"/>
    <xf numFmtId="166" fontId="22" fillId="0" borderId="63" applyNumberFormat="0" applyFill="0" applyAlignment="0" applyProtection="0"/>
    <xf numFmtId="166" fontId="22" fillId="0" borderId="63" applyNumberFormat="0" applyFill="0" applyAlignment="0" applyProtection="0"/>
    <xf numFmtId="166" fontId="22" fillId="0" borderId="63" applyNumberFormat="0" applyFill="0" applyAlignment="0" applyProtection="0"/>
    <xf numFmtId="166" fontId="22" fillId="0" borderId="63" applyNumberFormat="0" applyFill="0" applyAlignment="0" applyProtection="0"/>
    <xf numFmtId="166" fontId="23" fillId="25" borderId="0" applyNumberFormat="0" applyBorder="0" applyAlignment="0" applyProtection="0"/>
    <xf numFmtId="166" fontId="23" fillId="25" borderId="0" applyNumberFormat="0" applyBorder="0" applyAlignment="0" applyProtection="0"/>
    <xf numFmtId="166" fontId="23" fillId="25" borderId="0" applyNumberFormat="0" applyBorder="0" applyAlignment="0" applyProtection="0"/>
    <xf numFmtId="166" fontId="23" fillId="25" borderId="0" applyNumberFormat="0" applyBorder="0" applyAlignment="0" applyProtection="0"/>
    <xf numFmtId="166" fontId="23" fillId="25" borderId="0" applyNumberFormat="0" applyBorder="0" applyAlignment="0" applyProtection="0"/>
    <xf numFmtId="166" fontId="23" fillId="25" borderId="0" applyNumberFormat="0" applyBorder="0" applyAlignment="0" applyProtection="0"/>
    <xf numFmtId="166" fontId="23" fillId="25" borderId="0" applyNumberFormat="0" applyBorder="0" applyAlignment="0" applyProtection="0"/>
    <xf numFmtId="166" fontId="23" fillId="25" borderId="0" applyNumberFormat="0" applyBorder="0" applyAlignment="0" applyProtection="0"/>
    <xf numFmtId="166" fontId="23" fillId="25" borderId="0" applyNumberFormat="0" applyBorder="0" applyAlignment="0" applyProtection="0"/>
    <xf numFmtId="166" fontId="23" fillId="25" borderId="0" applyNumberFormat="0" applyBorder="0" applyAlignment="0" applyProtection="0"/>
    <xf numFmtId="166" fontId="23" fillId="25" borderId="0" applyNumberFormat="0" applyBorder="0" applyAlignment="0" applyProtection="0"/>
    <xf numFmtId="166" fontId="23" fillId="25" borderId="0" applyNumberFormat="0" applyBorder="0" applyAlignment="0" applyProtection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4" fillId="0" borderId="0"/>
    <xf numFmtId="166" fontId="24" fillId="0" borderId="0"/>
    <xf numFmtId="166" fontId="2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26" borderId="64" applyNumberFormat="0" applyFont="0" applyAlignment="0" applyProtection="0"/>
    <xf numFmtId="166" fontId="14" fillId="26" borderId="64" applyNumberFormat="0" applyFont="0" applyAlignment="0" applyProtection="0"/>
    <xf numFmtId="166" fontId="14" fillId="26" borderId="64" applyNumberFormat="0" applyFont="0" applyAlignment="0" applyProtection="0"/>
    <xf numFmtId="166" fontId="14" fillId="26" borderId="64" applyNumberFormat="0" applyFont="0" applyAlignment="0" applyProtection="0"/>
    <xf numFmtId="166" fontId="14" fillId="26" borderId="64" applyNumberFormat="0" applyFont="0" applyAlignment="0" applyProtection="0"/>
    <xf numFmtId="166" fontId="14" fillId="26" borderId="64" applyNumberFormat="0" applyFont="0" applyAlignment="0" applyProtection="0"/>
    <xf numFmtId="166" fontId="14" fillId="26" borderId="64" applyNumberFormat="0" applyFont="0" applyAlignment="0" applyProtection="0"/>
    <xf numFmtId="166" fontId="14" fillId="26" borderId="64" applyNumberFormat="0" applyFont="0" applyAlignment="0" applyProtection="0"/>
    <xf numFmtId="166" fontId="14" fillId="26" borderId="64" applyNumberFormat="0" applyFont="0" applyAlignment="0" applyProtection="0"/>
    <xf numFmtId="166" fontId="14" fillId="26" borderId="64" applyNumberFormat="0" applyFont="0" applyAlignment="0" applyProtection="0"/>
    <xf numFmtId="166" fontId="14" fillId="26" borderId="64" applyNumberFormat="0" applyFont="0" applyAlignment="0" applyProtection="0"/>
    <xf numFmtId="166" fontId="14" fillId="26" borderId="64" applyNumberFormat="0" applyFont="0" applyAlignment="0" applyProtection="0"/>
    <xf numFmtId="166" fontId="25" fillId="23" borderId="65" applyNumberFormat="0" applyAlignment="0" applyProtection="0"/>
    <xf numFmtId="166" fontId="25" fillId="23" borderId="65" applyNumberFormat="0" applyAlignment="0" applyProtection="0"/>
    <xf numFmtId="166" fontId="25" fillId="23" borderId="65" applyNumberFormat="0" applyAlignment="0" applyProtection="0"/>
    <xf numFmtId="166" fontId="25" fillId="23" borderId="65" applyNumberFormat="0" applyAlignment="0" applyProtection="0"/>
    <xf numFmtId="166" fontId="25" fillId="23" borderId="65" applyNumberFormat="0" applyAlignment="0" applyProtection="0"/>
    <xf numFmtId="166" fontId="25" fillId="23" borderId="65" applyNumberFormat="0" applyAlignment="0" applyProtection="0"/>
    <xf numFmtId="166" fontId="25" fillId="23" borderId="65" applyNumberFormat="0" applyAlignment="0" applyProtection="0"/>
    <xf numFmtId="166" fontId="25" fillId="23" borderId="65" applyNumberFormat="0" applyAlignment="0" applyProtection="0"/>
    <xf numFmtId="166" fontId="25" fillId="23" borderId="65" applyNumberFormat="0" applyAlignment="0" applyProtection="0"/>
    <xf numFmtId="166" fontId="25" fillId="23" borderId="65" applyNumberFormat="0" applyAlignment="0" applyProtection="0"/>
    <xf numFmtId="166" fontId="25" fillId="23" borderId="65" applyNumberFormat="0" applyAlignment="0" applyProtection="0"/>
    <xf numFmtId="166" fontId="25" fillId="23" borderId="65" applyNumberFormat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7" fillId="0" borderId="66" applyNumberFormat="0" applyFill="0" applyAlignment="0" applyProtection="0"/>
    <xf numFmtId="166" fontId="27" fillId="0" borderId="66" applyNumberFormat="0" applyFill="0" applyAlignment="0" applyProtection="0"/>
    <xf numFmtId="166" fontId="27" fillId="0" borderId="66" applyNumberFormat="0" applyFill="0" applyAlignment="0" applyProtection="0"/>
    <xf numFmtId="166" fontId="27" fillId="0" borderId="66" applyNumberFormat="0" applyFill="0" applyAlignment="0" applyProtection="0"/>
    <xf numFmtId="166" fontId="27" fillId="0" borderId="66" applyNumberFormat="0" applyFill="0" applyAlignment="0" applyProtection="0"/>
    <xf numFmtId="166" fontId="27" fillId="0" borderId="66" applyNumberFormat="0" applyFill="0" applyAlignment="0" applyProtection="0"/>
    <xf numFmtId="166" fontId="27" fillId="0" borderId="66" applyNumberFormat="0" applyFill="0" applyAlignment="0" applyProtection="0"/>
    <xf numFmtId="166" fontId="27" fillId="0" borderId="66" applyNumberFormat="0" applyFill="0" applyAlignment="0" applyProtection="0"/>
    <xf numFmtId="166" fontId="27" fillId="0" borderId="66" applyNumberFormat="0" applyFill="0" applyAlignment="0" applyProtection="0"/>
    <xf numFmtId="166" fontId="27" fillId="0" borderId="66" applyNumberFormat="0" applyFill="0" applyAlignment="0" applyProtection="0"/>
    <xf numFmtId="166" fontId="27" fillId="0" borderId="66" applyNumberFormat="0" applyFill="0" applyAlignment="0" applyProtection="0"/>
    <xf numFmtId="166" fontId="27" fillId="0" borderId="66" applyNumberFormat="0" applyFill="0" applyAlignment="0" applyProtection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20" fillId="0" borderId="0" applyNumberFormat="0" applyFill="0" applyBorder="0" applyAlignment="0" applyProtection="0">
      <alignment vertical="top"/>
      <protection locked="0"/>
    </xf>
    <xf numFmtId="166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/>
    <xf numFmtId="166" fontId="1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0" fontId="1" fillId="0" borderId="0"/>
  </cellStyleXfs>
  <cellXfs count="903">
    <xf numFmtId="0" fontId="0" fillId="0" borderId="0" xfId="0"/>
    <xf numFmtId="0" fontId="1" fillId="0" borderId="0" xfId="1" applyNumberFormat="1" applyBorder="1"/>
    <xf numFmtId="2" fontId="1" fillId="0" borderId="0" xfId="1" applyNumberFormat="1"/>
    <xf numFmtId="2" fontId="0" fillId="0" borderId="0" xfId="1" applyNumberFormat="1" applyFont="1" applyAlignment="1"/>
    <xf numFmtId="2" fontId="4" fillId="0" borderId="0" xfId="1" applyNumberFormat="1" applyFont="1" applyAlignment="1">
      <alignment wrapText="1"/>
    </xf>
    <xf numFmtId="2" fontId="5" fillId="0" borderId="1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2" fontId="5" fillId="0" borderId="3" xfId="1" applyNumberFormat="1" applyFont="1" applyBorder="1" applyAlignment="1">
      <alignment horizontal="center" vertical="center"/>
    </xf>
    <xf numFmtId="2" fontId="5" fillId="0" borderId="4" xfId="1" applyNumberFormat="1" applyFont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2" fontId="5" fillId="0" borderId="6" xfId="1" applyNumberFormat="1" applyFont="1" applyBorder="1" applyAlignment="1">
      <alignment horizontal="center" vertical="center" wrapText="1"/>
    </xf>
    <xf numFmtId="2" fontId="5" fillId="0" borderId="6" xfId="1" applyNumberFormat="1" applyFont="1" applyBorder="1" applyAlignment="1">
      <alignment horizontal="center" vertical="center"/>
    </xf>
    <xf numFmtId="2" fontId="4" fillId="0" borderId="7" xfId="1" applyNumberFormat="1" applyFont="1" applyBorder="1" applyAlignment="1">
      <alignment horizontal="center" wrapText="1"/>
    </xf>
    <xf numFmtId="1" fontId="5" fillId="0" borderId="7" xfId="1" applyNumberFormat="1" applyFont="1" applyBorder="1" applyAlignment="1">
      <alignment horizontal="center"/>
    </xf>
    <xf numFmtId="1" fontId="5" fillId="0" borderId="9" xfId="1" applyNumberFormat="1" applyFont="1" applyFill="1" applyBorder="1" applyAlignment="1">
      <alignment horizontal="center"/>
    </xf>
    <xf numFmtId="1" fontId="6" fillId="0" borderId="9" xfId="1" applyNumberFormat="1" applyFont="1" applyBorder="1" applyAlignment="1">
      <alignment horizontal="center"/>
    </xf>
    <xf numFmtId="1" fontId="5" fillId="0" borderId="10" xfId="1" applyNumberFormat="1" applyFont="1" applyBorder="1" applyAlignment="1">
      <alignment horizontal="center"/>
    </xf>
    <xf numFmtId="1" fontId="5" fillId="0" borderId="11" xfId="1" applyNumberFormat="1" applyFont="1" applyBorder="1" applyAlignment="1">
      <alignment horizontal="center"/>
    </xf>
    <xf numFmtId="1" fontId="5" fillId="0" borderId="12" xfId="1" applyNumberFormat="1" applyFont="1" applyFill="1" applyBorder="1" applyAlignment="1">
      <alignment horizontal="center"/>
    </xf>
    <xf numFmtId="2" fontId="4" fillId="0" borderId="14" xfId="1" applyNumberFormat="1" applyFont="1" applyBorder="1" applyAlignment="1">
      <alignment horizontal="center" wrapText="1"/>
    </xf>
    <xf numFmtId="1" fontId="5" fillId="0" borderId="14" xfId="1" applyNumberFormat="1" applyFont="1" applyBorder="1" applyAlignment="1">
      <alignment horizontal="center"/>
    </xf>
    <xf numFmtId="1" fontId="5" fillId="0" borderId="15" xfId="1" applyNumberFormat="1" applyFont="1" applyFill="1" applyBorder="1" applyAlignment="1">
      <alignment horizontal="center"/>
    </xf>
    <xf numFmtId="1" fontId="6" fillId="0" borderId="15" xfId="1" applyNumberFormat="1" applyFont="1" applyBorder="1" applyAlignment="1">
      <alignment horizontal="center"/>
    </xf>
    <xf numFmtId="1" fontId="5" fillId="0" borderId="16" xfId="1" applyNumberFormat="1" applyFont="1" applyBorder="1" applyAlignment="1">
      <alignment horizontal="center"/>
    </xf>
    <xf numFmtId="1" fontId="5" fillId="0" borderId="17" xfId="1" applyNumberFormat="1" applyFont="1" applyBorder="1" applyAlignment="1">
      <alignment horizontal="center"/>
    </xf>
    <xf numFmtId="1" fontId="5" fillId="0" borderId="18" xfId="1" applyNumberFormat="1" applyFont="1" applyFill="1" applyBorder="1" applyAlignment="1">
      <alignment horizontal="center"/>
    </xf>
    <xf numFmtId="2" fontId="4" fillId="2" borderId="20" xfId="1" applyNumberFormat="1" applyFont="1" applyFill="1" applyBorder="1" applyAlignment="1">
      <alignment horizontal="center" wrapText="1"/>
    </xf>
    <xf numFmtId="2" fontId="5" fillId="2" borderId="20" xfId="1" applyNumberFormat="1" applyFont="1" applyFill="1" applyBorder="1" applyAlignment="1">
      <alignment horizontal="center"/>
    </xf>
    <xf numFmtId="2" fontId="5" fillId="2" borderId="22" xfId="1" applyNumberFormat="1" applyFont="1" applyFill="1" applyBorder="1" applyAlignment="1">
      <alignment horizontal="center"/>
    </xf>
    <xf numFmtId="2" fontId="5" fillId="2" borderId="23" xfId="1" applyNumberFormat="1" applyFont="1" applyFill="1" applyBorder="1" applyAlignment="1">
      <alignment horizontal="center"/>
    </xf>
    <xf numFmtId="1" fontId="5" fillId="0" borderId="24" xfId="1" applyNumberFormat="1" applyFont="1" applyBorder="1" applyAlignment="1">
      <alignment horizontal="center"/>
    </xf>
    <xf numFmtId="1" fontId="5" fillId="0" borderId="25" xfId="1" applyNumberFormat="1" applyFont="1" applyBorder="1" applyAlignment="1">
      <alignment horizontal="center"/>
    </xf>
    <xf numFmtId="1" fontId="5" fillId="0" borderId="26" xfId="1" applyNumberFormat="1" applyFont="1" applyFill="1" applyBorder="1" applyAlignment="1">
      <alignment horizontal="center"/>
    </xf>
    <xf numFmtId="1" fontId="5" fillId="0" borderId="10" xfId="1" applyNumberFormat="1" applyFont="1" applyFill="1" applyBorder="1" applyAlignment="1">
      <alignment horizontal="center" vertical="center"/>
    </xf>
    <xf numFmtId="1" fontId="5" fillId="0" borderId="11" xfId="1" applyNumberFormat="1" applyFont="1" applyFill="1" applyBorder="1" applyAlignment="1">
      <alignment horizontal="center" vertical="center"/>
    </xf>
    <xf numFmtId="1" fontId="6" fillId="0" borderId="11" xfId="1" applyNumberFormat="1" applyFont="1" applyBorder="1" applyAlignment="1">
      <alignment horizontal="center" vertical="center"/>
    </xf>
    <xf numFmtId="1" fontId="5" fillId="0" borderId="16" xfId="1" applyNumberFormat="1" applyFont="1" applyFill="1" applyBorder="1" applyAlignment="1">
      <alignment horizontal="center" vertical="center"/>
    </xf>
    <xf numFmtId="1" fontId="5" fillId="0" borderId="17" xfId="1" applyNumberFormat="1" applyFont="1" applyFill="1" applyBorder="1" applyAlignment="1">
      <alignment horizontal="center" vertical="center"/>
    </xf>
    <xf numFmtId="1" fontId="6" fillId="0" borderId="17" xfId="1" applyNumberFormat="1" applyFont="1" applyBorder="1" applyAlignment="1">
      <alignment horizontal="center" vertical="center"/>
    </xf>
    <xf numFmtId="1" fontId="5" fillId="0" borderId="24" xfId="1" applyNumberFormat="1" applyFont="1" applyFill="1" applyBorder="1" applyAlignment="1">
      <alignment horizontal="center" vertical="center"/>
    </xf>
    <xf numFmtId="1" fontId="5" fillId="0" borderId="25" xfId="1" applyNumberFormat="1" applyFont="1" applyFill="1" applyBorder="1" applyAlignment="1">
      <alignment horizontal="center" vertical="center"/>
    </xf>
    <xf numFmtId="1" fontId="6" fillId="0" borderId="25" xfId="1" applyNumberFormat="1" applyFont="1" applyBorder="1" applyAlignment="1">
      <alignment horizontal="center" vertical="center"/>
    </xf>
    <xf numFmtId="1" fontId="1" fillId="0" borderId="12" xfId="1" applyNumberFormat="1" applyBorder="1" applyAlignment="1">
      <alignment horizontal="center"/>
    </xf>
    <xf numFmtId="1" fontId="1" fillId="0" borderId="18" xfId="1" applyNumberFormat="1" applyBorder="1" applyAlignment="1">
      <alignment horizontal="center"/>
    </xf>
    <xf numFmtId="1" fontId="1" fillId="0" borderId="26" xfId="1" applyNumberFormat="1" applyBorder="1" applyAlignment="1">
      <alignment horizontal="center"/>
    </xf>
    <xf numFmtId="1" fontId="5" fillId="0" borderId="27" xfId="1" applyNumberFormat="1" applyFont="1" applyBorder="1" applyAlignment="1">
      <alignment horizontal="center"/>
    </xf>
    <xf numFmtId="1" fontId="5" fillId="0" borderId="9" xfId="1" applyNumberFormat="1" applyFont="1" applyBorder="1" applyAlignment="1">
      <alignment horizontal="center"/>
    </xf>
    <xf numFmtId="1" fontId="6" fillId="0" borderId="9" xfId="1" applyNumberFormat="1" applyFont="1" applyBorder="1" applyAlignment="1">
      <alignment horizontal="center" vertical="center"/>
    </xf>
    <xf numFmtId="1" fontId="5" fillId="0" borderId="11" xfId="1" applyNumberFormat="1" applyFont="1" applyFill="1" applyBorder="1" applyAlignment="1">
      <alignment horizontal="center"/>
    </xf>
    <xf numFmtId="1" fontId="6" fillId="0" borderId="12" xfId="1" applyNumberFormat="1" applyFont="1" applyBorder="1" applyAlignment="1">
      <alignment horizontal="center"/>
    </xf>
    <xf numFmtId="1" fontId="6" fillId="0" borderId="28" xfId="1" applyNumberFormat="1" applyFont="1" applyBorder="1" applyAlignment="1">
      <alignment horizontal="center"/>
    </xf>
    <xf numFmtId="2" fontId="4" fillId="0" borderId="20" xfId="1" applyNumberFormat="1" applyFont="1" applyBorder="1" applyAlignment="1">
      <alignment horizontal="center" wrapText="1"/>
    </xf>
    <xf numFmtId="2" fontId="5" fillId="3" borderId="20" xfId="1" applyNumberFormat="1" applyFont="1" applyFill="1" applyBorder="1" applyAlignment="1">
      <alignment horizontal="center"/>
    </xf>
    <xf numFmtId="2" fontId="5" fillId="3" borderId="18" xfId="1" applyNumberFormat="1" applyFont="1" applyFill="1" applyBorder="1" applyAlignment="1">
      <alignment horizontal="center"/>
    </xf>
    <xf numFmtId="2" fontId="4" fillId="2" borderId="29" xfId="1" applyNumberFormat="1" applyFont="1" applyFill="1" applyBorder="1" applyAlignment="1">
      <alignment horizontal="center" wrapText="1"/>
    </xf>
    <xf numFmtId="2" fontId="4" fillId="0" borderId="27" xfId="1" applyNumberFormat="1" applyFont="1" applyBorder="1" applyAlignment="1">
      <alignment horizontal="center" wrapText="1"/>
    </xf>
    <xf numFmtId="1" fontId="6" fillId="0" borderId="30" xfId="1" applyNumberFormat="1" applyFont="1" applyBorder="1" applyAlignment="1">
      <alignment horizontal="center"/>
    </xf>
    <xf numFmtId="2" fontId="4" fillId="0" borderId="31" xfId="1" applyNumberFormat="1" applyFont="1" applyBorder="1" applyAlignment="1">
      <alignment horizontal="center" wrapText="1"/>
    </xf>
    <xf numFmtId="2" fontId="5" fillId="0" borderId="32" xfId="1" applyNumberFormat="1" applyFont="1" applyFill="1" applyBorder="1" applyAlignment="1">
      <alignment horizontal="center"/>
    </xf>
    <xf numFmtId="2" fontId="5" fillId="0" borderId="17" xfId="1" applyNumberFormat="1" applyFont="1" applyFill="1" applyBorder="1" applyAlignment="1">
      <alignment horizontal="center"/>
    </xf>
    <xf numFmtId="2" fontId="5" fillId="0" borderId="18" xfId="1" applyNumberFormat="1" applyFont="1" applyFill="1" applyBorder="1" applyAlignment="1">
      <alignment horizontal="center"/>
    </xf>
    <xf numFmtId="2" fontId="4" fillId="0" borderId="33" xfId="1" applyNumberFormat="1" applyFont="1" applyBorder="1" applyAlignment="1">
      <alignment horizontal="center" wrapText="1"/>
    </xf>
    <xf numFmtId="1" fontId="5" fillId="0" borderId="20" xfId="1" applyNumberFormat="1" applyFont="1" applyBorder="1" applyAlignment="1">
      <alignment horizontal="center"/>
    </xf>
    <xf numFmtId="2" fontId="4" fillId="2" borderId="34" xfId="1" applyNumberFormat="1" applyFont="1" applyFill="1" applyBorder="1" applyAlignment="1">
      <alignment horizontal="center" wrapText="1"/>
    </xf>
    <xf numFmtId="2" fontId="5" fillId="2" borderId="6" xfId="1" applyNumberFormat="1" applyFont="1" applyFill="1" applyBorder="1" applyAlignment="1">
      <alignment horizontal="center"/>
    </xf>
    <xf numFmtId="2" fontId="6" fillId="2" borderId="23" xfId="1" applyNumberFormat="1" applyFont="1" applyFill="1" applyBorder="1" applyAlignment="1">
      <alignment horizontal="center"/>
    </xf>
    <xf numFmtId="2" fontId="5" fillId="2" borderId="2" xfId="1" applyNumberFormat="1" applyFont="1" applyFill="1" applyBorder="1" applyAlignment="1">
      <alignment horizontal="center"/>
    </xf>
    <xf numFmtId="0" fontId="1" fillId="0" borderId="0" xfId="1" applyNumberFormat="1"/>
    <xf numFmtId="2" fontId="4" fillId="2" borderId="35" xfId="1" applyNumberFormat="1" applyFont="1" applyFill="1" applyBorder="1" applyAlignment="1">
      <alignment horizontal="center" wrapText="1"/>
    </xf>
    <xf numFmtId="2" fontId="7" fillId="0" borderId="36" xfId="1" applyNumberFormat="1" applyFont="1" applyBorder="1" applyAlignment="1">
      <alignment horizontal="center" wrapText="1"/>
    </xf>
    <xf numFmtId="1" fontId="5" fillId="4" borderId="37" xfId="1" applyNumberFormat="1" applyFont="1" applyFill="1" applyBorder="1" applyAlignment="1">
      <alignment horizontal="center"/>
    </xf>
    <xf numFmtId="1" fontId="5" fillId="4" borderId="29" xfId="1" applyNumberFormat="1" applyFont="1" applyFill="1" applyBorder="1" applyAlignment="1">
      <alignment horizontal="center"/>
    </xf>
    <xf numFmtId="1" fontId="5" fillId="4" borderId="38" xfId="1" applyNumberFormat="1" applyFont="1" applyFill="1" applyBorder="1" applyAlignment="1">
      <alignment horizontal="center"/>
    </xf>
    <xf numFmtId="1" fontId="5" fillId="4" borderId="39" xfId="1" applyNumberFormat="1" applyFont="1" applyFill="1" applyBorder="1" applyAlignment="1">
      <alignment horizontal="center"/>
    </xf>
    <xf numFmtId="1" fontId="5" fillId="4" borderId="40" xfId="1" applyNumberFormat="1" applyFont="1" applyFill="1" applyBorder="1" applyAlignment="1">
      <alignment horizontal="center"/>
    </xf>
    <xf numFmtId="2" fontId="7" fillId="0" borderId="41" xfId="1" applyNumberFormat="1" applyFont="1" applyBorder="1" applyAlignment="1">
      <alignment horizontal="center"/>
    </xf>
    <xf numFmtId="2" fontId="5" fillId="0" borderId="42" xfId="1" applyNumberFormat="1" applyFont="1" applyBorder="1" applyAlignment="1">
      <alignment horizontal="center"/>
    </xf>
    <xf numFmtId="2" fontId="5" fillId="0" borderId="6" xfId="1" applyNumberFormat="1" applyFont="1" applyBorder="1" applyAlignment="1">
      <alignment horizontal="center"/>
    </xf>
    <xf numFmtId="2" fontId="5" fillId="0" borderId="43" xfId="1" applyNumberFormat="1" applyFont="1" applyBorder="1" applyAlignment="1">
      <alignment horizontal="center"/>
    </xf>
    <xf numFmtId="2" fontId="5" fillId="0" borderId="44" xfId="1" applyNumberFormat="1" applyFont="1" applyBorder="1" applyAlignment="1">
      <alignment horizontal="center"/>
    </xf>
    <xf numFmtId="2" fontId="5" fillId="0" borderId="45" xfId="1" applyNumberFormat="1" applyFont="1" applyBorder="1" applyAlignment="1">
      <alignment horizontal="center"/>
    </xf>
    <xf numFmtId="2" fontId="7" fillId="0" borderId="8" xfId="1" applyNumberFormat="1" applyFont="1" applyBorder="1" applyAlignment="1">
      <alignment horizontal="center"/>
    </xf>
    <xf numFmtId="2" fontId="5" fillId="0" borderId="8" xfId="1" applyNumberFormat="1" applyFont="1" applyBorder="1" applyAlignment="1">
      <alignment horizontal="center"/>
    </xf>
    <xf numFmtId="2" fontId="4" fillId="0" borderId="11" xfId="1" applyNumberFormat="1" applyFont="1" applyBorder="1" applyAlignment="1">
      <alignment horizontal="center" wrapText="1"/>
    </xf>
    <xf numFmtId="1" fontId="5" fillId="0" borderId="47" xfId="1" applyNumberFormat="1" applyFont="1" applyBorder="1" applyAlignment="1">
      <alignment horizontal="center"/>
    </xf>
    <xf numFmtId="1" fontId="5" fillId="0" borderId="12" xfId="1" applyNumberFormat="1" applyFont="1" applyBorder="1" applyAlignment="1">
      <alignment horizontal="center"/>
    </xf>
    <xf numFmtId="2" fontId="4" fillId="0" borderId="25" xfId="1" applyNumberFormat="1" applyFont="1" applyBorder="1" applyAlignment="1">
      <alignment horizontal="center" wrapText="1"/>
    </xf>
    <xf numFmtId="1" fontId="5" fillId="0" borderId="33" xfId="1" applyNumberFormat="1" applyFont="1" applyBorder="1" applyAlignment="1">
      <alignment horizontal="center"/>
    </xf>
    <xf numFmtId="1" fontId="5" fillId="0" borderId="49" xfId="1" applyNumberFormat="1" applyFont="1" applyBorder="1" applyAlignment="1">
      <alignment horizontal="center"/>
    </xf>
    <xf numFmtId="1" fontId="5" fillId="0" borderId="26" xfId="1" applyNumberFormat="1" applyFont="1" applyBorder="1" applyAlignment="1">
      <alignment horizontal="center"/>
    </xf>
    <xf numFmtId="2" fontId="4" fillId="2" borderId="51" xfId="1" applyNumberFormat="1" applyFont="1" applyFill="1" applyBorder="1" applyAlignment="1">
      <alignment horizontal="center" wrapText="1"/>
    </xf>
    <xf numFmtId="2" fontId="5" fillId="2" borderId="34" xfId="1" applyNumberFormat="1" applyFont="1" applyFill="1" applyBorder="1" applyAlignment="1">
      <alignment horizontal="center"/>
    </xf>
    <xf numFmtId="2" fontId="5" fillId="2" borderId="52" xfId="1" applyNumberFormat="1" applyFont="1" applyFill="1" applyBorder="1" applyAlignment="1">
      <alignment horizontal="center"/>
    </xf>
    <xf numFmtId="2" fontId="5" fillId="2" borderId="51" xfId="1" applyNumberFormat="1" applyFont="1" applyFill="1" applyBorder="1" applyAlignment="1">
      <alignment horizontal="center"/>
    </xf>
    <xf numFmtId="2" fontId="4" fillId="0" borderId="51" xfId="1" applyNumberFormat="1" applyFont="1" applyBorder="1" applyAlignment="1">
      <alignment horizontal="center" wrapText="1"/>
    </xf>
    <xf numFmtId="1" fontId="5" fillId="3" borderId="34" xfId="1" applyNumberFormat="1" applyFont="1" applyFill="1" applyBorder="1" applyAlignment="1">
      <alignment horizontal="center"/>
    </xf>
    <xf numFmtId="1" fontId="5" fillId="3" borderId="20" xfId="1" applyNumberFormat="1" applyFont="1" applyFill="1" applyBorder="1" applyAlignment="1">
      <alignment horizontal="center"/>
    </xf>
    <xf numFmtId="1" fontId="5" fillId="3" borderId="52" xfId="1" applyNumberFormat="1" applyFont="1" applyFill="1" applyBorder="1" applyAlignment="1">
      <alignment horizontal="center"/>
    </xf>
    <xf numFmtId="1" fontId="5" fillId="3" borderId="51" xfId="1" applyNumberFormat="1" applyFont="1" applyFill="1" applyBorder="1" applyAlignment="1">
      <alignment horizontal="center"/>
    </xf>
    <xf numFmtId="1" fontId="5" fillId="3" borderId="17" xfId="1" applyNumberFormat="1" applyFont="1" applyFill="1" applyBorder="1" applyAlignment="1">
      <alignment horizontal="center"/>
    </xf>
    <xf numFmtId="1" fontId="5" fillId="3" borderId="18" xfId="1" applyNumberFormat="1" applyFont="1" applyFill="1" applyBorder="1" applyAlignment="1">
      <alignment horizontal="center"/>
    </xf>
    <xf numFmtId="2" fontId="4" fillId="0" borderId="17" xfId="1" applyNumberFormat="1" applyFont="1" applyBorder="1" applyAlignment="1">
      <alignment horizontal="center" wrapText="1"/>
    </xf>
    <xf numFmtId="1" fontId="5" fillId="0" borderId="31" xfId="1" applyNumberFormat="1" applyFont="1" applyFill="1" applyBorder="1" applyAlignment="1">
      <alignment horizontal="center"/>
    </xf>
    <xf numFmtId="1" fontId="5" fillId="0" borderId="32" xfId="1" applyNumberFormat="1" applyFont="1" applyFill="1" applyBorder="1" applyAlignment="1">
      <alignment horizontal="center"/>
    </xf>
    <xf numFmtId="1" fontId="5" fillId="0" borderId="53" xfId="1" applyNumberFormat="1" applyFont="1" applyFill="1" applyBorder="1" applyAlignment="1">
      <alignment horizontal="center"/>
    </xf>
    <xf numFmtId="1" fontId="5" fillId="0" borderId="17" xfId="1" applyNumberFormat="1" applyFont="1" applyFill="1" applyBorder="1" applyAlignment="1">
      <alignment horizontal="center"/>
    </xf>
    <xf numFmtId="1" fontId="5" fillId="0" borderId="54" xfId="1" applyNumberFormat="1" applyFont="1" applyBorder="1" applyAlignment="1">
      <alignment horizontal="center"/>
    </xf>
    <xf numFmtId="1" fontId="5" fillId="0" borderId="30" xfId="1" applyNumberFormat="1" applyFont="1" applyBorder="1" applyAlignment="1">
      <alignment horizontal="center"/>
    </xf>
    <xf numFmtId="2" fontId="4" fillId="4" borderId="51" xfId="1" applyNumberFormat="1" applyFont="1" applyFill="1" applyBorder="1" applyAlignment="1">
      <alignment horizontal="center" wrapText="1"/>
    </xf>
    <xf numFmtId="1" fontId="5" fillId="4" borderId="34" xfId="1" applyNumberFormat="1" applyFont="1" applyFill="1" applyBorder="1" applyAlignment="1">
      <alignment horizontal="center"/>
    </xf>
    <xf numFmtId="1" fontId="5" fillId="4" borderId="20" xfId="1" applyNumberFormat="1" applyFont="1" applyFill="1" applyBorder="1" applyAlignment="1">
      <alignment horizontal="center"/>
    </xf>
    <xf numFmtId="1" fontId="5" fillId="4" borderId="52" xfId="1" applyNumberFormat="1" applyFont="1" applyFill="1" applyBorder="1" applyAlignment="1">
      <alignment horizontal="center"/>
    </xf>
    <xf numFmtId="1" fontId="5" fillId="4" borderId="51" xfId="1" applyNumberFormat="1" applyFont="1" applyFill="1" applyBorder="1" applyAlignment="1">
      <alignment horizontal="center"/>
    </xf>
    <xf numFmtId="1" fontId="5" fillId="4" borderId="17" xfId="1" applyNumberFormat="1" applyFont="1" applyFill="1" applyBorder="1" applyAlignment="1">
      <alignment horizontal="center"/>
    </xf>
    <xf numFmtId="1" fontId="5" fillId="4" borderId="18" xfId="1" applyNumberFormat="1" applyFont="1" applyFill="1" applyBorder="1" applyAlignment="1">
      <alignment horizontal="center"/>
    </xf>
    <xf numFmtId="2" fontId="5" fillId="0" borderId="27" xfId="1" applyNumberFormat="1" applyFont="1" applyBorder="1" applyAlignment="1">
      <alignment horizontal="center"/>
    </xf>
    <xf numFmtId="2" fontId="5" fillId="0" borderId="7" xfId="1" applyNumberFormat="1" applyFont="1" applyBorder="1" applyAlignment="1">
      <alignment horizontal="center"/>
    </xf>
    <xf numFmtId="2" fontId="5" fillId="0" borderId="47" xfId="1" applyNumberFormat="1" applyFont="1" applyBorder="1" applyAlignment="1">
      <alignment horizontal="center"/>
    </xf>
    <xf numFmtId="2" fontId="5" fillId="0" borderId="11" xfId="1" applyNumberFormat="1" applyFont="1" applyBorder="1" applyAlignment="1">
      <alignment horizontal="center"/>
    </xf>
    <xf numFmtId="1" fontId="5" fillId="0" borderId="15" xfId="1" applyNumberFormat="1" applyFont="1" applyBorder="1" applyAlignment="1">
      <alignment horizontal="center"/>
    </xf>
    <xf numFmtId="1" fontId="5" fillId="0" borderId="28" xfId="1" applyNumberFormat="1" applyFont="1" applyBorder="1" applyAlignment="1">
      <alignment horizontal="center"/>
    </xf>
    <xf numFmtId="2" fontId="4" fillId="2" borderId="55" xfId="1" applyNumberFormat="1" applyFont="1" applyFill="1" applyBorder="1" applyAlignment="1">
      <alignment horizontal="center" wrapText="1"/>
    </xf>
    <xf numFmtId="2" fontId="8" fillId="2" borderId="56" xfId="1" applyNumberFormat="1" applyFont="1" applyFill="1" applyBorder="1" applyAlignment="1">
      <alignment horizontal="center"/>
    </xf>
    <xf numFmtId="2" fontId="8" fillId="2" borderId="29" xfId="1" applyNumberFormat="1" applyFont="1" applyFill="1" applyBorder="1" applyAlignment="1">
      <alignment horizontal="center"/>
    </xf>
    <xf numFmtId="2" fontId="8" fillId="2" borderId="57" xfId="1" applyNumberFormat="1" applyFont="1" applyFill="1" applyBorder="1" applyAlignment="1">
      <alignment horizontal="center"/>
    </xf>
    <xf numFmtId="2" fontId="8" fillId="2" borderId="55" xfId="1" applyNumberFormat="1" applyFont="1" applyFill="1" applyBorder="1" applyAlignment="1">
      <alignment horizontal="center"/>
    </xf>
    <xf numFmtId="2" fontId="8" fillId="2" borderId="22" xfId="1" applyNumberFormat="1" applyFont="1" applyFill="1" applyBorder="1" applyAlignment="1">
      <alignment horizontal="center"/>
    </xf>
    <xf numFmtId="2" fontId="8" fillId="2" borderId="23" xfId="1" applyNumberFormat="1" applyFont="1" applyFill="1" applyBorder="1" applyAlignment="1">
      <alignment horizontal="center"/>
    </xf>
    <xf numFmtId="2" fontId="7" fillId="0" borderId="41" xfId="1" applyNumberFormat="1" applyFont="1" applyBorder="1" applyAlignment="1">
      <alignment horizontal="center" wrapText="1"/>
    </xf>
    <xf numFmtId="1" fontId="5" fillId="4" borderId="42" xfId="1" applyNumberFormat="1" applyFont="1" applyFill="1" applyBorder="1" applyAlignment="1">
      <alignment horizontal="center"/>
    </xf>
    <xf numFmtId="1" fontId="5" fillId="4" borderId="6" xfId="1" applyNumberFormat="1" applyFont="1" applyFill="1" applyBorder="1" applyAlignment="1">
      <alignment horizontal="center"/>
    </xf>
    <xf numFmtId="1" fontId="5" fillId="4" borderId="43" xfId="1" applyNumberFormat="1" applyFont="1" applyFill="1" applyBorder="1" applyAlignment="1">
      <alignment horizontal="center"/>
    </xf>
    <xf numFmtId="1" fontId="5" fillId="4" borderId="44" xfId="1" applyNumberFormat="1" applyFont="1" applyFill="1" applyBorder="1" applyAlignment="1">
      <alignment horizontal="center"/>
    </xf>
    <xf numFmtId="1" fontId="5" fillId="4" borderId="45" xfId="1" applyNumberFormat="1" applyFont="1" applyFill="1" applyBorder="1" applyAlignment="1">
      <alignment horizontal="center"/>
    </xf>
    <xf numFmtId="1" fontId="1" fillId="0" borderId="0" xfId="1" applyNumberFormat="1"/>
    <xf numFmtId="1" fontId="5" fillId="0" borderId="67" xfId="1" applyNumberFormat="1" applyFont="1" applyBorder="1" applyAlignment="1">
      <alignment horizontal="center"/>
    </xf>
    <xf numFmtId="1" fontId="1" fillId="0" borderId="30" xfId="1" applyNumberFormat="1" applyBorder="1" applyAlignment="1">
      <alignment horizontal="center"/>
    </xf>
    <xf numFmtId="17" fontId="1" fillId="0" borderId="2" xfId="1" applyNumberFormat="1" applyBorder="1"/>
    <xf numFmtId="17" fontId="1" fillId="0" borderId="20" xfId="1" applyNumberFormat="1" applyBorder="1"/>
    <xf numFmtId="17" fontId="1" fillId="0" borderId="29" xfId="1" applyNumberFormat="1" applyBorder="1"/>
    <xf numFmtId="1" fontId="5" fillId="0" borderId="48" xfId="1" applyNumberFormat="1" applyFont="1" applyBorder="1" applyAlignment="1">
      <alignment horizontal="center"/>
    </xf>
    <xf numFmtId="1" fontId="5" fillId="0" borderId="51" xfId="1" applyNumberFormat="1" applyFont="1" applyBorder="1" applyAlignment="1">
      <alignment horizontal="center"/>
    </xf>
    <xf numFmtId="1" fontId="6" fillId="0" borderId="51" xfId="1" applyNumberFormat="1" applyFont="1" applyBorder="1" applyAlignment="1">
      <alignment horizontal="center" vertical="center"/>
    </xf>
    <xf numFmtId="1" fontId="1" fillId="0" borderId="54" xfId="1" applyNumberFormat="1" applyBorder="1" applyAlignment="1">
      <alignment horizontal="center"/>
    </xf>
    <xf numFmtId="1" fontId="1" fillId="0" borderId="68" xfId="1" applyNumberFormat="1" applyBorder="1" applyAlignment="1">
      <alignment horizontal="center" vertical="center"/>
    </xf>
    <xf numFmtId="1" fontId="1" fillId="0" borderId="23" xfId="1" applyNumberFormat="1" applyBorder="1" applyAlignment="1">
      <alignment horizontal="center" vertical="center"/>
    </xf>
    <xf numFmtId="1" fontId="1" fillId="0" borderId="69" xfId="1" applyNumberFormat="1" applyBorder="1" applyAlignment="1">
      <alignment horizontal="center" vertical="center"/>
    </xf>
    <xf numFmtId="2" fontId="0" fillId="0" borderId="6" xfId="1" applyNumberFormat="1" applyFont="1" applyBorder="1"/>
    <xf numFmtId="1" fontId="5" fillId="0" borderId="30" xfId="1" applyNumberFormat="1" applyFont="1" applyFill="1" applyBorder="1" applyAlignment="1">
      <alignment horizontal="center"/>
    </xf>
    <xf numFmtId="2" fontId="5" fillId="0" borderId="22" xfId="1" applyNumberFormat="1" applyFont="1" applyBorder="1" applyAlignment="1">
      <alignment horizontal="center" vertical="center"/>
    </xf>
    <xf numFmtId="2" fontId="5" fillId="0" borderId="68" xfId="1" applyNumberFormat="1" applyFont="1" applyBorder="1" applyAlignment="1">
      <alignment horizontal="center" vertical="center"/>
    </xf>
    <xf numFmtId="2" fontId="5" fillId="0" borderId="23" xfId="1" applyNumberFormat="1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7" fontId="30" fillId="0" borderId="17" xfId="0" applyNumberFormat="1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 vertical="center"/>
    </xf>
    <xf numFmtId="0" fontId="0" fillId="0" borderId="17" xfId="0" applyBorder="1"/>
    <xf numFmtId="20" fontId="0" fillId="0" borderId="17" xfId="0" applyNumberFormat="1" applyBorder="1" applyAlignment="1">
      <alignment horizontal="center" vertical="center"/>
    </xf>
    <xf numFmtId="20" fontId="0" fillId="0" borderId="17" xfId="0" applyNumberFormat="1" applyBorder="1" applyAlignment="1">
      <alignment horizontal="center"/>
    </xf>
    <xf numFmtId="20" fontId="0" fillId="0" borderId="17" xfId="0" applyNumberFormat="1" applyFill="1" applyBorder="1" applyAlignment="1">
      <alignment horizontal="center"/>
    </xf>
    <xf numFmtId="17" fontId="30" fillId="0" borderId="15" xfId="0" applyNumberFormat="1" applyFont="1" applyBorder="1" applyAlignment="1">
      <alignment horizontal="center" vertical="center"/>
    </xf>
    <xf numFmtId="165" fontId="6" fillId="0" borderId="51" xfId="0" applyNumberFormat="1" applyFont="1" applyBorder="1" applyAlignment="1">
      <alignment horizontal="center" vertical="center"/>
    </xf>
    <xf numFmtId="20" fontId="0" fillId="0" borderId="51" xfId="0" applyNumberFormat="1" applyFill="1" applyBorder="1" applyAlignment="1">
      <alignment horizontal="center"/>
    </xf>
    <xf numFmtId="20" fontId="0" fillId="0" borderId="34" xfId="0" applyNumberFormat="1" applyFill="1" applyBorder="1" applyAlignment="1">
      <alignment horizontal="center"/>
    </xf>
    <xf numFmtId="0" fontId="29" fillId="27" borderId="22" xfId="0" applyFont="1" applyFill="1" applyBorder="1" applyAlignment="1">
      <alignment horizontal="center"/>
    </xf>
    <xf numFmtId="165" fontId="29" fillId="27" borderId="68" xfId="0" applyNumberFormat="1" applyFont="1" applyFill="1" applyBorder="1" applyAlignment="1">
      <alignment horizontal="center" vertical="center"/>
    </xf>
    <xf numFmtId="20" fontId="29" fillId="27" borderId="68" xfId="0" applyNumberFormat="1" applyFont="1" applyFill="1" applyBorder="1" applyAlignment="1">
      <alignment horizontal="center"/>
    </xf>
    <xf numFmtId="20" fontId="29" fillId="27" borderId="23" xfId="0" applyNumberFormat="1" applyFont="1" applyFill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30" fillId="0" borderId="31" xfId="0" applyNumberFormat="1" applyFont="1" applyBorder="1" applyAlignment="1">
      <alignment horizontal="center" vertical="center"/>
    </xf>
    <xf numFmtId="20" fontId="0" fillId="0" borderId="17" xfId="0" applyNumberFormat="1" applyFont="1" applyBorder="1" applyAlignment="1">
      <alignment horizontal="center"/>
    </xf>
    <xf numFmtId="17" fontId="30" fillId="0" borderId="72" xfId="0" applyNumberFormat="1" applyFont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 vertical="center"/>
    </xf>
    <xf numFmtId="17" fontId="29" fillId="0" borderId="35" xfId="0" applyNumberFormat="1" applyFont="1" applyBorder="1" applyAlignment="1">
      <alignment horizontal="center" vertical="center"/>
    </xf>
    <xf numFmtId="165" fontId="29" fillId="0" borderId="68" xfId="0" applyNumberFormat="1" applyFont="1" applyBorder="1" applyAlignment="1">
      <alignment horizontal="center" vertical="center"/>
    </xf>
    <xf numFmtId="165" fontId="29" fillId="0" borderId="23" xfId="0" applyNumberFormat="1" applyFont="1" applyBorder="1" applyAlignment="1">
      <alignment horizontal="center" vertical="center"/>
    </xf>
    <xf numFmtId="2" fontId="1" fillId="0" borderId="0" xfId="1" applyNumberFormat="1" applyFill="1" applyBorder="1"/>
    <xf numFmtId="0" fontId="30" fillId="0" borderId="0" xfId="0" applyFont="1" applyFill="1" applyBorder="1" applyAlignment="1">
      <alignment horizontal="center" wrapText="1"/>
    </xf>
    <xf numFmtId="164" fontId="1" fillId="0" borderId="0" xfId="557"/>
    <xf numFmtId="164" fontId="0" fillId="0" borderId="0" xfId="557" applyFont="1"/>
    <xf numFmtId="164" fontId="30" fillId="0" borderId="71" xfId="557" applyFont="1" applyBorder="1" applyAlignment="1">
      <alignment horizontal="center" vertical="center"/>
    </xf>
    <xf numFmtId="0" fontId="0" fillId="0" borderId="0" xfId="557" applyNumberFormat="1" applyFont="1"/>
    <xf numFmtId="0" fontId="0" fillId="0" borderId="0" xfId="557" applyNumberFormat="1" applyFont="1" applyFill="1" applyBorder="1"/>
    <xf numFmtId="17" fontId="29" fillId="27" borderId="24" xfId="557" applyNumberFormat="1" applyFont="1" applyFill="1" applyBorder="1" applyAlignment="1">
      <alignment horizontal="center" vertical="center"/>
    </xf>
    <xf numFmtId="2" fontId="29" fillId="27" borderId="25" xfId="557" applyNumberFormat="1" applyFont="1" applyFill="1" applyBorder="1" applyAlignment="1">
      <alignment horizontal="center" vertical="center"/>
    </xf>
    <xf numFmtId="2" fontId="29" fillId="27" borderId="26" xfId="557" applyNumberFormat="1" applyFont="1" applyFill="1" applyBorder="1" applyAlignment="1">
      <alignment horizontal="center" vertical="center"/>
    </xf>
    <xf numFmtId="3" fontId="0" fillId="0" borderId="0" xfId="557" applyNumberFormat="1" applyFont="1"/>
    <xf numFmtId="4" fontId="1" fillId="0" borderId="0" xfId="557" applyNumberFormat="1"/>
    <xf numFmtId="3" fontId="1" fillId="0" borderId="0" xfId="557" applyNumberFormat="1"/>
    <xf numFmtId="2" fontId="1" fillId="0" borderId="0" xfId="558" applyNumberFormat="1"/>
    <xf numFmtId="2" fontId="1" fillId="0" borderId="0" xfId="558" applyNumberFormat="1" applyFill="1" applyBorder="1"/>
    <xf numFmtId="2" fontId="1" fillId="0" borderId="13" xfId="558" applyNumberFormat="1" applyBorder="1"/>
    <xf numFmtId="2" fontId="1" fillId="0" borderId="0" xfId="558" applyNumberFormat="1" applyBorder="1"/>
    <xf numFmtId="2" fontId="1" fillId="0" borderId="78" xfId="558" applyNumberFormat="1" applyBorder="1"/>
    <xf numFmtId="2" fontId="1" fillId="0" borderId="15" xfId="558" applyNumberFormat="1" applyBorder="1"/>
    <xf numFmtId="2" fontId="1" fillId="0" borderId="17" xfId="558" applyNumberFormat="1" applyBorder="1"/>
    <xf numFmtId="166" fontId="2" fillId="0" borderId="17" xfId="558" applyNumberFormat="1" applyFont="1" applyBorder="1" applyAlignment="1">
      <alignment horizontal="center" vertical="center"/>
    </xf>
    <xf numFmtId="2" fontId="2" fillId="0" borderId="17" xfId="558" applyNumberFormat="1" applyFont="1" applyFill="1" applyBorder="1" applyAlignment="1">
      <alignment horizontal="center" vertical="center"/>
    </xf>
    <xf numFmtId="2" fontId="1" fillId="0" borderId="0" xfId="558" applyNumberFormat="1" applyAlignment="1">
      <alignment horizontal="center" vertical="center" wrapText="1"/>
    </xf>
    <xf numFmtId="2" fontId="1" fillId="0" borderId="0" xfId="558" applyNumberFormat="1" applyAlignment="1">
      <alignment wrapText="1"/>
    </xf>
    <xf numFmtId="2" fontId="2" fillId="0" borderId="0" xfId="558" applyNumberFormat="1" applyFont="1" applyBorder="1" applyAlignment="1">
      <alignment horizontal="center"/>
    </xf>
    <xf numFmtId="2" fontId="1" fillId="0" borderId="53" xfId="558" applyNumberFormat="1" applyBorder="1"/>
    <xf numFmtId="2" fontId="2" fillId="0" borderId="17" xfId="558" applyNumberFormat="1" applyFont="1" applyBorder="1" applyAlignment="1">
      <alignment horizontal="center" vertical="center"/>
    </xf>
    <xf numFmtId="2" fontId="2" fillId="0" borderId="17" xfId="558" applyNumberFormat="1" applyFont="1" applyBorder="1" applyAlignment="1">
      <alignment horizontal="center" vertical="center" wrapText="1"/>
    </xf>
    <xf numFmtId="1" fontId="1" fillId="0" borderId="0" xfId="558" applyNumberFormat="1" applyAlignment="1">
      <alignment horizontal="center" vertical="center"/>
    </xf>
    <xf numFmtId="2" fontId="1" fillId="0" borderId="0" xfId="558" applyNumberFormat="1" applyAlignment="1">
      <alignment horizontal="center" vertical="center"/>
    </xf>
    <xf numFmtId="1" fontId="1" fillId="0" borderId="0" xfId="558" applyNumberFormat="1"/>
    <xf numFmtId="2" fontId="2" fillId="0" borderId="53" xfId="558" applyNumberFormat="1" applyFont="1" applyBorder="1"/>
    <xf numFmtId="2" fontId="1" fillId="0" borderId="17" xfId="558" applyNumberFormat="1" applyBorder="1" applyAlignment="1">
      <alignment horizontal="center"/>
    </xf>
    <xf numFmtId="2" fontId="1" fillId="0" borderId="17" xfId="558" applyNumberFormat="1" applyBorder="1" applyAlignment="1">
      <alignment horizontal="center" vertical="center"/>
    </xf>
    <xf numFmtId="2" fontId="2" fillId="0" borderId="34" xfId="558" applyNumberFormat="1" applyFont="1" applyFill="1" applyBorder="1" applyAlignment="1">
      <alignment horizontal="center"/>
    </xf>
    <xf numFmtId="2" fontId="2" fillId="0" borderId="79" xfId="558" applyNumberFormat="1" applyFont="1" applyBorder="1"/>
    <xf numFmtId="2" fontId="2" fillId="0" borderId="15" xfId="558" applyNumberFormat="1" applyFont="1" applyBorder="1" applyAlignment="1">
      <alignment horizontal="center"/>
    </xf>
    <xf numFmtId="2" fontId="2" fillId="4" borderId="69" xfId="558" applyNumberFormat="1" applyFont="1" applyFill="1" applyBorder="1"/>
    <xf numFmtId="2" fontId="30" fillId="4" borderId="68" xfId="558" applyNumberFormat="1" applyFont="1" applyFill="1" applyBorder="1" applyAlignment="1">
      <alignment horizontal="center"/>
    </xf>
    <xf numFmtId="2" fontId="30" fillId="0" borderId="0" xfId="558" applyNumberFormat="1" applyFont="1" applyFill="1" applyBorder="1" applyAlignment="1">
      <alignment horizontal="center"/>
    </xf>
    <xf numFmtId="2" fontId="32" fillId="0" borderId="80" xfId="558" applyNumberFormat="1" applyFont="1" applyBorder="1" applyAlignment="1">
      <alignment horizontal="center" vertical="center"/>
    </xf>
    <xf numFmtId="2" fontId="32" fillId="0" borderId="80" xfId="558" applyNumberFormat="1" applyFont="1" applyBorder="1" applyAlignment="1">
      <alignment horizontal="center" vertical="center" wrapText="1"/>
    </xf>
    <xf numFmtId="2" fontId="2" fillId="0" borderId="53" xfId="558" applyNumberFormat="1" applyFont="1" applyBorder="1" applyAlignment="1">
      <alignment horizontal="center"/>
    </xf>
    <xf numFmtId="2" fontId="2" fillId="0" borderId="17" xfId="558" applyNumberFormat="1" applyFont="1" applyBorder="1" applyAlignment="1">
      <alignment horizontal="center"/>
    </xf>
    <xf numFmtId="2" fontId="33" fillId="27" borderId="17" xfId="558" applyNumberFormat="1" applyFont="1" applyFill="1" applyBorder="1" applyAlignment="1">
      <alignment horizontal="center" vertical="center"/>
    </xf>
    <xf numFmtId="2" fontId="33" fillId="27" borderId="31" xfId="558" applyNumberFormat="1" applyFont="1" applyFill="1" applyBorder="1" applyAlignment="1">
      <alignment horizontal="center" vertical="center"/>
    </xf>
    <xf numFmtId="2" fontId="30" fillId="4" borderId="69" xfId="558" applyNumberFormat="1" applyFont="1" applyFill="1" applyBorder="1" applyAlignment="1">
      <alignment horizontal="center"/>
    </xf>
    <xf numFmtId="2" fontId="2" fillId="0" borderId="0" xfId="558" applyNumberFormat="1" applyFont="1" applyBorder="1" applyAlignment="1">
      <alignment horizontal="left"/>
    </xf>
    <xf numFmtId="2" fontId="2" fillId="0" borderId="18" xfId="558" applyNumberFormat="1" applyFont="1" applyFill="1" applyBorder="1" applyAlignment="1">
      <alignment horizontal="center" vertical="center"/>
    </xf>
    <xf numFmtId="2" fontId="2" fillId="0" borderId="17" xfId="558" applyNumberFormat="1" applyFont="1" applyBorder="1"/>
    <xf numFmtId="2" fontId="1" fillId="0" borderId="31" xfId="558" applyNumberFormat="1" applyBorder="1" applyAlignment="1">
      <alignment horizontal="center" vertical="center"/>
    </xf>
    <xf numFmtId="2" fontId="1" fillId="0" borderId="18" xfId="558" applyNumberFormat="1" applyBorder="1" applyAlignment="1">
      <alignment horizontal="center" vertical="center"/>
    </xf>
    <xf numFmtId="2" fontId="2" fillId="0" borderId="0" xfId="558" applyNumberFormat="1" applyFont="1" applyFill="1" applyBorder="1" applyAlignment="1">
      <alignment horizontal="center" vertical="center"/>
    </xf>
    <xf numFmtId="2" fontId="2" fillId="0" borderId="31" xfId="558" applyNumberFormat="1" applyFont="1" applyBorder="1" applyAlignment="1">
      <alignment horizontal="center" vertical="center" wrapText="1"/>
    </xf>
    <xf numFmtId="164" fontId="1" fillId="0" borderId="0" xfId="1"/>
    <xf numFmtId="164" fontId="1" fillId="0" borderId="0" xfId="1" applyNumberFormat="1"/>
    <xf numFmtId="164" fontId="1" fillId="0" borderId="0" xfId="1" applyNumberFormat="1" applyBorder="1"/>
    <xf numFmtId="164" fontId="1" fillId="0" borderId="0" xfId="1" applyBorder="1"/>
    <xf numFmtId="164" fontId="2" fillId="0" borderId="0" xfId="1" applyNumberFormat="1" applyFont="1" applyBorder="1" applyAlignment="1">
      <alignment horizontal="center"/>
    </xf>
    <xf numFmtId="164" fontId="30" fillId="0" borderId="85" xfId="1" applyNumberFormat="1" applyFont="1" applyBorder="1" applyAlignment="1">
      <alignment horizontal="center"/>
    </xf>
    <xf numFmtId="164" fontId="30" fillId="0" borderId="28" xfId="1" applyNumberFormat="1" applyFont="1" applyBorder="1" applyAlignment="1">
      <alignment horizontal="center" vertical="center"/>
    </xf>
    <xf numFmtId="164" fontId="30" fillId="0" borderId="79" xfId="1" applyNumberFormat="1" applyFont="1" applyBorder="1" applyAlignment="1">
      <alignment horizontal="center"/>
    </xf>
    <xf numFmtId="164" fontId="30" fillId="0" borderId="72" xfId="1" applyNumberFormat="1" applyFont="1" applyBorder="1" applyAlignment="1">
      <alignment horizontal="center" vertical="center"/>
    </xf>
    <xf numFmtId="164" fontId="2" fillId="0" borderId="27" xfId="1" applyNumberFormat="1" applyFont="1" applyBorder="1"/>
    <xf numFmtId="0" fontId="2" fillId="0" borderId="10" xfId="1" applyNumberFormat="1" applyFont="1" applyBorder="1" applyAlignment="1">
      <alignment horizontal="center"/>
    </xf>
    <xf numFmtId="0" fontId="1" fillId="0" borderId="12" xfId="1" applyNumberFormat="1" applyBorder="1" applyAlignment="1">
      <alignment horizontal="center"/>
    </xf>
    <xf numFmtId="0" fontId="2" fillId="0" borderId="47" xfId="1" applyNumberFormat="1" applyFont="1" applyBorder="1" applyAlignment="1">
      <alignment horizontal="center"/>
    </xf>
    <xf numFmtId="0" fontId="1" fillId="0" borderId="27" xfId="1" applyNumberFormat="1" applyBorder="1" applyAlignment="1">
      <alignment horizontal="center"/>
    </xf>
    <xf numFmtId="0" fontId="2" fillId="0" borderId="16" xfId="1" applyNumberFormat="1" applyFont="1" applyBorder="1" applyAlignment="1">
      <alignment horizontal="center"/>
    </xf>
    <xf numFmtId="0" fontId="2" fillId="0" borderId="12" xfId="1" applyNumberFormat="1" applyFont="1" applyBorder="1" applyAlignment="1">
      <alignment horizontal="center"/>
    </xf>
    <xf numFmtId="164" fontId="2" fillId="0" borderId="31" xfId="1" applyNumberFormat="1" applyFont="1" applyBorder="1"/>
    <xf numFmtId="0" fontId="1" fillId="0" borderId="18" xfId="1" applyNumberFormat="1" applyBorder="1" applyAlignment="1">
      <alignment horizontal="center"/>
    </xf>
    <xf numFmtId="0" fontId="2" fillId="0" borderId="53" xfId="1" applyNumberFormat="1" applyFont="1" applyBorder="1" applyAlignment="1">
      <alignment horizontal="center"/>
    </xf>
    <xf numFmtId="0" fontId="1" fillId="0" borderId="31" xfId="1" applyNumberFormat="1" applyBorder="1" applyAlignment="1">
      <alignment horizontal="center"/>
    </xf>
    <xf numFmtId="0" fontId="2" fillId="0" borderId="18" xfId="1" applyNumberFormat="1" applyFont="1" applyBorder="1" applyAlignment="1">
      <alignment horizontal="center"/>
    </xf>
    <xf numFmtId="0" fontId="2" fillId="0" borderId="31" xfId="1" applyNumberFormat="1" applyFont="1" applyBorder="1" applyAlignment="1">
      <alignment horizontal="center"/>
    </xf>
    <xf numFmtId="164" fontId="2" fillId="4" borderId="72" xfId="1" applyNumberFormat="1" applyFont="1" applyFill="1" applyBorder="1"/>
    <xf numFmtId="2" fontId="30" fillId="4" borderId="85" xfId="1" applyNumberFormat="1" applyFont="1" applyFill="1" applyBorder="1" applyAlignment="1">
      <alignment horizontal="center"/>
    </xf>
    <xf numFmtId="2" fontId="30" fillId="4" borderId="28" xfId="1" applyNumberFormat="1" applyFont="1" applyFill="1" applyBorder="1" applyAlignment="1">
      <alignment horizontal="center"/>
    </xf>
    <xf numFmtId="2" fontId="30" fillId="4" borderId="79" xfId="1" applyNumberFormat="1" applyFont="1" applyFill="1" applyBorder="1" applyAlignment="1">
      <alignment horizontal="center"/>
    </xf>
    <xf numFmtId="2" fontId="30" fillId="4" borderId="72" xfId="1" applyNumberFormat="1" applyFont="1" applyFill="1" applyBorder="1" applyAlignment="1">
      <alignment horizontal="center"/>
    </xf>
    <xf numFmtId="1" fontId="2" fillId="0" borderId="18" xfId="1" applyNumberFormat="1" applyFont="1" applyBorder="1" applyAlignment="1">
      <alignment horizontal="center"/>
    </xf>
    <xf numFmtId="164" fontId="2" fillId="4" borderId="33" xfId="1" applyNumberFormat="1" applyFont="1" applyFill="1" applyBorder="1"/>
    <xf numFmtId="164" fontId="2" fillId="4" borderId="24" xfId="1" applyNumberFormat="1" applyFont="1" applyFill="1" applyBorder="1" applyAlignment="1">
      <alignment horizontal="center"/>
    </xf>
    <xf numFmtId="2" fontId="30" fillId="4" borderId="26" xfId="1" applyNumberFormat="1" applyFont="1" applyFill="1" applyBorder="1" applyAlignment="1">
      <alignment horizontal="center"/>
    </xf>
    <xf numFmtId="164" fontId="2" fillId="4" borderId="49" xfId="1" applyNumberFormat="1" applyFont="1" applyFill="1" applyBorder="1" applyAlignment="1">
      <alignment horizontal="center"/>
    </xf>
    <xf numFmtId="2" fontId="30" fillId="4" borderId="33" xfId="1" applyNumberFormat="1" applyFont="1" applyFill="1" applyBorder="1" applyAlignment="1">
      <alignment horizontal="center"/>
    </xf>
    <xf numFmtId="2" fontId="30" fillId="4" borderId="24" xfId="1" applyNumberFormat="1" applyFont="1" applyFill="1" applyBorder="1" applyAlignment="1">
      <alignment horizontal="center"/>
    </xf>
    <xf numFmtId="164" fontId="2" fillId="0" borderId="86" xfId="1" applyNumberFormat="1" applyFont="1" applyBorder="1"/>
    <xf numFmtId="0" fontId="2" fillId="0" borderId="67" xfId="1" applyNumberFormat="1" applyFont="1" applyBorder="1" applyAlignment="1">
      <alignment horizontal="center"/>
    </xf>
    <xf numFmtId="0" fontId="1" fillId="0" borderId="30" xfId="1" applyNumberFormat="1" applyBorder="1" applyAlignment="1">
      <alignment horizontal="center"/>
    </xf>
    <xf numFmtId="0" fontId="2" fillId="0" borderId="87" xfId="1" applyNumberFormat="1" applyFont="1" applyBorder="1" applyAlignment="1">
      <alignment horizontal="center"/>
    </xf>
    <xf numFmtId="0" fontId="1" fillId="0" borderId="86" xfId="1" applyNumberFormat="1" applyBorder="1" applyAlignment="1">
      <alignment horizontal="center"/>
    </xf>
    <xf numFmtId="0" fontId="2" fillId="0" borderId="30" xfId="1" applyNumberFormat="1" applyFont="1" applyBorder="1" applyAlignment="1">
      <alignment horizontal="center"/>
    </xf>
    <xf numFmtId="164" fontId="2" fillId="4" borderId="85" xfId="1" applyNumberFormat="1" applyFont="1" applyFill="1" applyBorder="1" applyAlignment="1">
      <alignment horizontal="center"/>
    </xf>
    <xf numFmtId="164" fontId="2" fillId="4" borderId="79" xfId="1" applyNumberFormat="1" applyFont="1" applyFill="1" applyBorder="1" applyAlignment="1">
      <alignment horizontal="center"/>
    </xf>
    <xf numFmtId="0" fontId="2" fillId="0" borderId="27" xfId="1" applyNumberFormat="1" applyFont="1" applyBorder="1" applyAlignment="1">
      <alignment horizontal="center"/>
    </xf>
    <xf numFmtId="0" fontId="2" fillId="4" borderId="53" xfId="1" applyNumberFormat="1" applyFont="1" applyFill="1" applyBorder="1" applyAlignment="1">
      <alignment horizontal="center"/>
    </xf>
    <xf numFmtId="0" fontId="30" fillId="4" borderId="31" xfId="1" applyNumberFormat="1" applyFont="1" applyFill="1" applyBorder="1" applyAlignment="1">
      <alignment horizontal="center"/>
    </xf>
    <xf numFmtId="0" fontId="2" fillId="4" borderId="16" xfId="1" applyNumberFormat="1" applyFont="1" applyFill="1" applyBorder="1" applyAlignment="1">
      <alignment horizontal="center"/>
    </xf>
    <xf numFmtId="0" fontId="30" fillId="4" borderId="18" xfId="1" applyNumberFormat="1" applyFont="1" applyFill="1" applyBorder="1" applyAlignment="1">
      <alignment horizontal="center"/>
    </xf>
    <xf numFmtId="0" fontId="2" fillId="0" borderId="86" xfId="1" applyNumberFormat="1" applyFont="1" applyBorder="1" applyAlignment="1">
      <alignment horizontal="center"/>
    </xf>
    <xf numFmtId="0" fontId="30" fillId="4" borderId="16" xfId="1" applyNumberFormat="1" applyFont="1" applyFill="1" applyBorder="1" applyAlignment="1">
      <alignment horizontal="center"/>
    </xf>
    <xf numFmtId="2" fontId="2" fillId="4" borderId="24" xfId="1" applyNumberFormat="1" applyFont="1" applyFill="1" applyBorder="1" applyAlignment="1">
      <alignment horizontal="center"/>
    </xf>
    <xf numFmtId="2" fontId="2" fillId="4" borderId="49" xfId="1" applyNumberFormat="1" applyFont="1" applyFill="1" applyBorder="1" applyAlignment="1">
      <alignment horizontal="center"/>
    </xf>
    <xf numFmtId="0" fontId="1" fillId="0" borderId="0" xfId="1" applyNumberFormat="1" applyAlignment="1">
      <alignment horizontal="center"/>
    </xf>
    <xf numFmtId="164" fontId="34" fillId="0" borderId="0" xfId="1" applyFont="1"/>
    <xf numFmtId="164" fontId="34" fillId="0" borderId="35" xfId="1" applyFont="1" applyBorder="1" applyAlignment="1">
      <alignment horizontal="center" vertical="center"/>
    </xf>
    <xf numFmtId="164" fontId="35" fillId="0" borderId="22" xfId="487" applyFont="1" applyBorder="1" applyAlignment="1">
      <alignment horizontal="center" vertical="center" wrapText="1"/>
    </xf>
    <xf numFmtId="164" fontId="35" fillId="0" borderId="68" xfId="487" applyFont="1" applyBorder="1" applyAlignment="1">
      <alignment horizontal="center" vertical="center" wrapText="1"/>
    </xf>
    <xf numFmtId="164" fontId="35" fillId="0" borderId="23" xfId="487" applyFont="1" applyBorder="1" applyAlignment="1">
      <alignment horizontal="center" vertical="center" wrapText="1"/>
    </xf>
    <xf numFmtId="164" fontId="35" fillId="0" borderId="29" xfId="487" applyFont="1" applyBorder="1" applyAlignment="1">
      <alignment horizontal="center" vertical="center" wrapText="1"/>
    </xf>
    <xf numFmtId="164" fontId="35" fillId="0" borderId="21" xfId="487" applyFont="1" applyFill="1" applyBorder="1" applyAlignment="1">
      <alignment horizontal="center" vertical="center" wrapText="1"/>
    </xf>
    <xf numFmtId="164" fontId="35" fillId="0" borderId="22" xfId="487" applyFont="1" applyFill="1" applyBorder="1" applyAlignment="1">
      <alignment horizontal="center" vertical="center" wrapText="1"/>
    </xf>
    <xf numFmtId="164" fontId="35" fillId="0" borderId="23" xfId="487" applyFont="1" applyFill="1" applyBorder="1" applyAlignment="1">
      <alignment horizontal="center" vertical="center" wrapText="1"/>
    </xf>
    <xf numFmtId="0" fontId="1" fillId="0" borderId="53" xfId="1" applyNumberFormat="1" applyBorder="1" applyAlignment="1">
      <alignment horizontal="center"/>
    </xf>
    <xf numFmtId="17" fontId="34" fillId="0" borderId="82" xfId="1" applyNumberFormat="1" applyFont="1" applyBorder="1" applyAlignment="1">
      <alignment horizontal="center"/>
    </xf>
    <xf numFmtId="2" fontId="34" fillId="0" borderId="10" xfId="1" applyNumberFormat="1" applyFont="1" applyBorder="1" applyAlignment="1">
      <alignment horizontal="center" vertical="center"/>
    </xf>
    <xf numFmtId="2" fontId="34" fillId="0" borderId="11" xfId="1" applyNumberFormat="1" applyFont="1" applyBorder="1" applyAlignment="1">
      <alignment horizontal="center" vertical="center"/>
    </xf>
    <xf numFmtId="2" fontId="34" fillId="0" borderId="27" xfId="1" applyNumberFormat="1" applyFont="1" applyBorder="1" applyAlignment="1">
      <alignment horizontal="center" vertical="center"/>
    </xf>
    <xf numFmtId="2" fontId="34" fillId="0" borderId="1" xfId="1" applyNumberFormat="1" applyFont="1" applyBorder="1" applyAlignment="1">
      <alignment horizontal="center" vertical="center"/>
    </xf>
    <xf numFmtId="1" fontId="34" fillId="0" borderId="7" xfId="1" applyNumberFormat="1" applyFont="1" applyBorder="1" applyAlignment="1">
      <alignment horizontal="center" vertical="center"/>
    </xf>
    <xf numFmtId="2" fontId="1" fillId="0" borderId="76" xfId="1" applyNumberFormat="1" applyBorder="1" applyAlignment="1">
      <alignment horizontal="center"/>
    </xf>
    <xf numFmtId="1" fontId="1" fillId="0" borderId="10" xfId="1" applyNumberFormat="1" applyBorder="1" applyAlignment="1">
      <alignment horizontal="center"/>
    </xf>
    <xf numFmtId="2" fontId="1" fillId="0" borderId="47" xfId="1" applyNumberFormat="1" applyBorder="1" applyAlignment="1">
      <alignment horizontal="center"/>
    </xf>
    <xf numFmtId="2" fontId="1" fillId="0" borderId="12" xfId="1" applyNumberFormat="1" applyBorder="1" applyAlignment="1">
      <alignment horizontal="center"/>
    </xf>
    <xf numFmtId="2" fontId="6" fillId="0" borderId="0" xfId="1" applyNumberFormat="1" applyFont="1" applyAlignment="1">
      <alignment horizontal="center"/>
    </xf>
    <xf numFmtId="17" fontId="34" fillId="0" borderId="81" xfId="1" applyNumberFormat="1" applyFont="1" applyBorder="1" applyAlignment="1">
      <alignment horizontal="center"/>
    </xf>
    <xf numFmtId="2" fontId="34" fillId="0" borderId="16" xfId="1" applyNumberFormat="1" applyFont="1" applyBorder="1" applyAlignment="1">
      <alignment horizontal="center" vertical="center"/>
    </xf>
    <xf numFmtId="2" fontId="34" fillId="0" borderId="17" xfId="1" applyNumberFormat="1" applyFont="1" applyBorder="1" applyAlignment="1">
      <alignment horizontal="center" vertical="center"/>
    </xf>
    <xf numFmtId="2" fontId="34" fillId="0" borderId="31" xfId="1" applyNumberFormat="1" applyFont="1" applyBorder="1" applyAlignment="1">
      <alignment horizontal="center" vertical="center"/>
    </xf>
    <xf numFmtId="2" fontId="34" fillId="0" borderId="81" xfId="1" applyNumberFormat="1" applyFont="1" applyBorder="1" applyAlignment="1">
      <alignment horizontal="center" vertical="center"/>
    </xf>
    <xf numFmtId="1" fontId="34" fillId="0" borderId="32" xfId="1" applyNumberFormat="1" applyFont="1" applyBorder="1" applyAlignment="1">
      <alignment horizontal="center" vertical="center"/>
    </xf>
    <xf numFmtId="2" fontId="1" fillId="0" borderId="18" xfId="1" applyNumberFormat="1" applyBorder="1" applyAlignment="1">
      <alignment horizontal="center"/>
    </xf>
    <xf numFmtId="1" fontId="1" fillId="0" borderId="16" xfId="1" applyNumberFormat="1" applyBorder="1" applyAlignment="1">
      <alignment horizontal="center"/>
    </xf>
    <xf numFmtId="2" fontId="1" fillId="0" borderId="53" xfId="1" applyNumberFormat="1" applyBorder="1" applyAlignment="1">
      <alignment horizontal="center"/>
    </xf>
    <xf numFmtId="17" fontId="34" fillId="0" borderId="88" xfId="1" applyNumberFormat="1" applyFont="1" applyBorder="1" applyAlignment="1">
      <alignment horizontal="center"/>
    </xf>
    <xf numFmtId="2" fontId="34" fillId="0" borderId="85" xfId="1" applyNumberFormat="1" applyFont="1" applyBorder="1" applyAlignment="1">
      <alignment horizontal="center" vertical="center"/>
    </xf>
    <xf numFmtId="2" fontId="34" fillId="0" borderId="15" xfId="1" applyNumberFormat="1" applyFont="1" applyBorder="1" applyAlignment="1">
      <alignment horizontal="center" vertical="center"/>
    </xf>
    <xf numFmtId="2" fontId="34" fillId="0" borderId="72" xfId="1" applyNumberFormat="1" applyFont="1" applyBorder="1" applyAlignment="1">
      <alignment horizontal="center" vertical="center"/>
    </xf>
    <xf numFmtId="2" fontId="34" fillId="0" borderId="89" xfId="1" applyNumberFormat="1" applyFont="1" applyBorder="1" applyAlignment="1">
      <alignment horizontal="center" vertical="center"/>
    </xf>
    <xf numFmtId="1" fontId="34" fillId="0" borderId="90" xfId="1" applyNumberFormat="1" applyFont="1" applyBorder="1" applyAlignment="1">
      <alignment horizontal="center" vertical="center"/>
    </xf>
    <xf numFmtId="2" fontId="1" fillId="0" borderId="28" xfId="1" applyNumberFormat="1" applyBorder="1" applyAlignment="1">
      <alignment horizontal="center"/>
    </xf>
    <xf numFmtId="1" fontId="1" fillId="0" borderId="85" xfId="1" applyNumberFormat="1" applyBorder="1" applyAlignment="1">
      <alignment horizontal="center"/>
    </xf>
    <xf numFmtId="1" fontId="1" fillId="0" borderId="28" xfId="1" applyNumberFormat="1" applyBorder="1" applyAlignment="1">
      <alignment horizontal="center"/>
    </xf>
    <xf numFmtId="2" fontId="1" fillId="0" borderId="79" xfId="1" applyNumberFormat="1" applyBorder="1" applyAlignment="1">
      <alignment horizontal="center"/>
    </xf>
    <xf numFmtId="2" fontId="34" fillId="0" borderId="82" xfId="1" applyNumberFormat="1" applyFont="1" applyBorder="1" applyAlignment="1">
      <alignment horizontal="center" vertical="center"/>
    </xf>
    <xf numFmtId="2" fontId="34" fillId="0" borderId="24" xfId="1" applyNumberFormat="1" applyFont="1" applyBorder="1" applyAlignment="1">
      <alignment horizontal="center" vertical="center"/>
    </xf>
    <xf numFmtId="2" fontId="34" fillId="0" borderId="25" xfId="1" applyNumberFormat="1" applyFont="1" applyBorder="1" applyAlignment="1">
      <alignment horizontal="center" vertical="center"/>
    </xf>
    <xf numFmtId="2" fontId="34" fillId="0" borderId="33" xfId="1" applyNumberFormat="1" applyFont="1" applyBorder="1" applyAlignment="1">
      <alignment horizontal="center" vertical="center"/>
    </xf>
    <xf numFmtId="2" fontId="34" fillId="0" borderId="88" xfId="1" applyNumberFormat="1" applyFont="1" applyBorder="1" applyAlignment="1">
      <alignment horizontal="center" vertical="center"/>
    </xf>
    <xf numFmtId="1" fontId="34" fillId="0" borderId="14" xfId="1" applyNumberFormat="1" applyFont="1" applyBorder="1" applyAlignment="1">
      <alignment horizontal="center" vertical="center"/>
    </xf>
    <xf numFmtId="2" fontId="1" fillId="0" borderId="26" xfId="1" applyNumberFormat="1" applyBorder="1" applyAlignment="1">
      <alignment horizontal="center"/>
    </xf>
    <xf numFmtId="1" fontId="1" fillId="0" borderId="24" xfId="1" applyNumberFormat="1" applyBorder="1" applyAlignment="1">
      <alignment horizontal="center"/>
    </xf>
    <xf numFmtId="2" fontId="1" fillId="0" borderId="49" xfId="1" applyNumberFormat="1" applyBorder="1" applyAlignment="1">
      <alignment horizontal="center"/>
    </xf>
    <xf numFmtId="17" fontId="34" fillId="0" borderId="89" xfId="1" applyNumberFormat="1" applyFont="1" applyBorder="1" applyAlignment="1">
      <alignment horizontal="center"/>
    </xf>
    <xf numFmtId="0" fontId="1" fillId="0" borderId="91" xfId="1" applyNumberFormat="1" applyBorder="1" applyAlignment="1">
      <alignment horizontal="center"/>
    </xf>
    <xf numFmtId="2" fontId="34" fillId="0" borderId="10" xfId="1" applyNumberFormat="1" applyFont="1" applyBorder="1" applyAlignment="1">
      <alignment horizontal="center"/>
    </xf>
    <xf numFmtId="2" fontId="34" fillId="0" borderId="11" xfId="1" applyNumberFormat="1" applyFont="1" applyBorder="1" applyAlignment="1">
      <alignment horizontal="center"/>
    </xf>
    <xf numFmtId="2" fontId="34" fillId="0" borderId="27" xfId="1" applyNumberFormat="1" applyFont="1" applyBorder="1" applyAlignment="1">
      <alignment horizontal="center"/>
    </xf>
    <xf numFmtId="1" fontId="34" fillId="0" borderId="7" xfId="1" applyNumberFormat="1" applyFont="1" applyBorder="1" applyAlignment="1">
      <alignment horizontal="center"/>
    </xf>
    <xf numFmtId="1" fontId="37" fillId="0" borderId="10" xfId="480" applyNumberFormat="1" applyFont="1" applyFill="1" applyBorder="1" applyAlignment="1">
      <alignment horizontal="center"/>
    </xf>
    <xf numFmtId="2" fontId="34" fillId="0" borderId="16" xfId="1" applyNumberFormat="1" applyFont="1" applyBorder="1" applyAlignment="1">
      <alignment horizontal="center"/>
    </xf>
    <xf numFmtId="2" fontId="34" fillId="0" borderId="17" xfId="1" applyNumberFormat="1" applyFont="1" applyBorder="1" applyAlignment="1">
      <alignment horizontal="center"/>
    </xf>
    <xf numFmtId="2" fontId="34" fillId="0" borderId="31" xfId="1" applyNumberFormat="1" applyFont="1" applyBorder="1" applyAlignment="1">
      <alignment horizontal="center"/>
    </xf>
    <xf numFmtId="1" fontId="34" fillId="0" borderId="32" xfId="1" applyNumberFormat="1" applyFont="1" applyBorder="1" applyAlignment="1">
      <alignment horizontal="center"/>
    </xf>
    <xf numFmtId="1" fontId="37" fillId="0" borderId="16" xfId="480" applyNumberFormat="1" applyFont="1" applyFill="1" applyBorder="1" applyAlignment="1">
      <alignment horizontal="center"/>
    </xf>
    <xf numFmtId="2" fontId="34" fillId="0" borderId="24" xfId="1" applyNumberFormat="1" applyFont="1" applyBorder="1" applyAlignment="1">
      <alignment horizontal="center"/>
    </xf>
    <xf numFmtId="2" fontId="34" fillId="0" borderId="25" xfId="1" applyNumberFormat="1" applyFont="1" applyBorder="1" applyAlignment="1">
      <alignment horizontal="center"/>
    </xf>
    <xf numFmtId="2" fontId="34" fillId="0" borderId="33" xfId="1" applyNumberFormat="1" applyFont="1" applyBorder="1" applyAlignment="1">
      <alignment horizontal="center"/>
    </xf>
    <xf numFmtId="1" fontId="34" fillId="0" borderId="14" xfId="1" applyNumberFormat="1" applyFont="1" applyBorder="1" applyAlignment="1">
      <alignment horizontal="center"/>
    </xf>
    <xf numFmtId="2" fontId="1" fillId="0" borderId="26" xfId="1" applyNumberFormat="1" applyBorder="1" applyAlignment="1">
      <alignment horizontal="center" vertical="center"/>
    </xf>
    <xf numFmtId="1" fontId="37" fillId="0" borderId="85" xfId="480" applyNumberFormat="1" applyFont="1" applyFill="1" applyBorder="1" applyAlignment="1">
      <alignment horizontal="center"/>
    </xf>
    <xf numFmtId="164" fontId="2" fillId="0" borderId="35" xfId="1" applyFont="1" applyBorder="1"/>
    <xf numFmtId="2" fontId="35" fillId="0" borderId="22" xfId="1" applyNumberFormat="1" applyFont="1" applyBorder="1" applyAlignment="1">
      <alignment horizontal="center" vertical="center"/>
    </xf>
    <xf numFmtId="2" fontId="35" fillId="0" borderId="68" xfId="1" applyNumberFormat="1" applyFont="1" applyBorder="1" applyAlignment="1">
      <alignment horizontal="center" vertical="center"/>
    </xf>
    <xf numFmtId="2" fontId="35" fillId="0" borderId="23" xfId="1" applyNumberFormat="1" applyFont="1" applyBorder="1" applyAlignment="1">
      <alignment horizontal="center" vertical="center"/>
    </xf>
    <xf numFmtId="2" fontId="35" fillId="0" borderId="70" xfId="1" applyNumberFormat="1" applyFont="1" applyBorder="1" applyAlignment="1">
      <alignment horizontal="center" vertical="center"/>
    </xf>
    <xf numFmtId="1" fontId="35" fillId="0" borderId="6" xfId="1" applyNumberFormat="1" applyFont="1" applyBorder="1" applyAlignment="1">
      <alignment horizontal="center" vertical="center"/>
    </xf>
    <xf numFmtId="2" fontId="35" fillId="0" borderId="69" xfId="1" applyNumberFormat="1" applyFont="1" applyBorder="1" applyAlignment="1">
      <alignment horizontal="center" vertical="center"/>
    </xf>
    <xf numFmtId="2" fontId="35" fillId="0" borderId="92" xfId="1" applyNumberFormat="1" applyFont="1" applyBorder="1" applyAlignment="1">
      <alignment horizontal="center" vertical="center"/>
    </xf>
    <xf numFmtId="1" fontId="35" fillId="0" borderId="22" xfId="1" applyNumberFormat="1" applyFont="1" applyBorder="1" applyAlignment="1">
      <alignment horizontal="center" vertical="center"/>
    </xf>
    <xf numFmtId="1" fontId="35" fillId="0" borderId="23" xfId="1" applyNumberFormat="1" applyFont="1" applyBorder="1" applyAlignment="1">
      <alignment horizontal="center" vertical="center"/>
    </xf>
    <xf numFmtId="164" fontId="2" fillId="0" borderId="0" xfId="1" applyFont="1"/>
    <xf numFmtId="2" fontId="1" fillId="0" borderId="0" xfId="1" applyNumberFormat="1" applyAlignment="1">
      <alignment horizontal="center"/>
    </xf>
    <xf numFmtId="17" fontId="34" fillId="0" borderId="31" xfId="1" applyNumberFormat="1" applyFont="1" applyBorder="1" applyAlignment="1">
      <alignment horizontal="center"/>
    </xf>
    <xf numFmtId="2" fontId="34" fillId="0" borderId="12" xfId="1" applyNumberFormat="1" applyFont="1" applyBorder="1" applyAlignment="1">
      <alignment horizontal="center" vertical="center"/>
    </xf>
    <xf numFmtId="2" fontId="34" fillId="0" borderId="7" xfId="1" applyNumberFormat="1" applyFont="1" applyBorder="1" applyAlignment="1">
      <alignment horizontal="center" vertical="center"/>
    </xf>
    <xf numFmtId="1" fontId="34" fillId="0" borderId="91" xfId="1" applyNumberFormat="1" applyFont="1" applyBorder="1" applyAlignment="1">
      <alignment horizontal="center" vertical="center"/>
    </xf>
    <xf numFmtId="164" fontId="1" fillId="0" borderId="12" xfId="1" applyBorder="1"/>
    <xf numFmtId="1" fontId="1" fillId="0" borderId="87" xfId="1" applyNumberFormat="1" applyBorder="1" applyAlignment="1">
      <alignment horizontal="center"/>
    </xf>
    <xf numFmtId="1" fontId="1" fillId="0" borderId="86" xfId="1" applyNumberFormat="1" applyBorder="1" applyAlignment="1">
      <alignment horizontal="center"/>
    </xf>
    <xf numFmtId="2" fontId="1" fillId="0" borderId="10" xfId="1" applyNumberFormat="1" applyBorder="1" applyAlignment="1">
      <alignment horizontal="center"/>
    </xf>
    <xf numFmtId="2" fontId="34" fillId="0" borderId="18" xfId="1" applyNumberFormat="1" applyFont="1" applyBorder="1" applyAlignment="1">
      <alignment horizontal="center" vertical="center"/>
    </xf>
    <xf numFmtId="2" fontId="34" fillId="0" borderId="32" xfId="1" applyNumberFormat="1" applyFont="1" applyBorder="1" applyAlignment="1">
      <alignment horizontal="center" vertical="center"/>
    </xf>
    <xf numFmtId="164" fontId="1" fillId="0" borderId="18" xfId="1" applyBorder="1"/>
    <xf numFmtId="1" fontId="1" fillId="0" borderId="53" xfId="1" applyNumberFormat="1" applyBorder="1" applyAlignment="1">
      <alignment horizontal="center"/>
    </xf>
    <xf numFmtId="1" fontId="1" fillId="0" borderId="31" xfId="1" applyNumberFormat="1" applyBorder="1" applyAlignment="1">
      <alignment horizontal="center"/>
    </xf>
    <xf numFmtId="2" fontId="1" fillId="0" borderId="16" xfId="1" applyNumberFormat="1" applyBorder="1" applyAlignment="1">
      <alignment horizontal="center"/>
    </xf>
    <xf numFmtId="2" fontId="37" fillId="0" borderId="16" xfId="480" applyNumberFormat="1" applyFont="1" applyFill="1" applyBorder="1" applyAlignment="1">
      <alignment horizontal="center"/>
    </xf>
    <xf numFmtId="2" fontId="37" fillId="0" borderId="17" xfId="480" applyNumberFormat="1" applyFont="1" applyFill="1" applyBorder="1" applyAlignment="1">
      <alignment horizontal="center"/>
    </xf>
    <xf numFmtId="2" fontId="37" fillId="0" borderId="18" xfId="480" applyNumberFormat="1" applyFont="1" applyFill="1" applyBorder="1" applyAlignment="1">
      <alignment horizontal="center"/>
    </xf>
    <xf numFmtId="2" fontId="37" fillId="0" borderId="32" xfId="480" applyNumberFormat="1" applyFont="1" applyFill="1" applyBorder="1" applyAlignment="1">
      <alignment horizontal="center"/>
    </xf>
    <xf numFmtId="1" fontId="37" fillId="0" borderId="53" xfId="480" applyNumberFormat="1" applyFont="1" applyFill="1" applyBorder="1" applyAlignment="1">
      <alignment horizontal="center"/>
    </xf>
    <xf numFmtId="2" fontId="34" fillId="0" borderId="18" xfId="1" applyNumberFormat="1" applyFont="1" applyBorder="1" applyAlignment="1">
      <alignment horizontal="center"/>
    </xf>
    <xf numFmtId="2" fontId="34" fillId="0" borderId="32" xfId="1" applyNumberFormat="1" applyFont="1" applyBorder="1" applyAlignment="1">
      <alignment horizontal="center"/>
    </xf>
    <xf numFmtId="17" fontId="34" fillId="0" borderId="72" xfId="1" applyNumberFormat="1" applyFont="1" applyBorder="1" applyAlignment="1">
      <alignment horizontal="center"/>
    </xf>
    <xf numFmtId="2" fontId="1" fillId="0" borderId="18" xfId="1" applyNumberFormat="1" applyBorder="1" applyAlignment="1">
      <alignment horizontal="center" vertical="center"/>
    </xf>
    <xf numFmtId="1" fontId="35" fillId="0" borderId="92" xfId="1" applyNumberFormat="1" applyFont="1" applyBorder="1" applyAlignment="1">
      <alignment horizontal="center" vertical="center"/>
    </xf>
    <xf numFmtId="1" fontId="35" fillId="0" borderId="69" xfId="1" applyNumberFormat="1" applyFont="1" applyBorder="1" applyAlignment="1">
      <alignment horizontal="center" vertical="center"/>
    </xf>
    <xf numFmtId="4" fontId="1" fillId="0" borderId="0" xfId="1" applyNumberFormat="1"/>
    <xf numFmtId="2" fontId="1" fillId="0" borderId="0" xfId="1" applyNumberFormat="1" applyBorder="1"/>
    <xf numFmtId="2" fontId="2" fillId="0" borderId="0" xfId="1" applyNumberFormat="1" applyFont="1" applyBorder="1" applyAlignment="1">
      <alignment horizontal="center"/>
    </xf>
    <xf numFmtId="2" fontId="30" fillId="0" borderId="85" xfId="1" applyNumberFormat="1" applyFont="1" applyBorder="1" applyAlignment="1">
      <alignment horizontal="center"/>
    </xf>
    <xf numFmtId="2" fontId="30" fillId="0" borderId="28" xfId="1" applyNumberFormat="1" applyFont="1" applyBorder="1" applyAlignment="1">
      <alignment horizontal="center" vertical="center"/>
    </xf>
    <xf numFmtId="2" fontId="30" fillId="0" borderId="79" xfId="1" applyNumberFormat="1" applyFont="1" applyBorder="1" applyAlignment="1">
      <alignment horizontal="center"/>
    </xf>
    <xf numFmtId="2" fontId="30" fillId="0" borderId="72" xfId="1" applyNumberFormat="1" applyFont="1" applyBorder="1" applyAlignment="1">
      <alignment horizontal="center" vertical="center"/>
    </xf>
    <xf numFmtId="2" fontId="2" fillId="0" borderId="27" xfId="1" applyNumberFormat="1" applyFont="1" applyBorder="1"/>
    <xf numFmtId="2" fontId="2" fillId="0" borderId="10" xfId="1" applyNumberFormat="1" applyFont="1" applyBorder="1" applyAlignment="1">
      <alignment horizontal="center"/>
    </xf>
    <xf numFmtId="2" fontId="1" fillId="0" borderId="27" xfId="1" applyNumberFormat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2" fontId="2" fillId="0" borderId="12" xfId="1" applyNumberFormat="1" applyFont="1" applyBorder="1" applyAlignment="1">
      <alignment horizontal="center"/>
    </xf>
    <xf numFmtId="2" fontId="2" fillId="0" borderId="31" xfId="1" applyNumberFormat="1" applyFont="1" applyBorder="1"/>
    <xf numFmtId="2" fontId="1" fillId="0" borderId="31" xfId="1" applyNumberFormat="1" applyBorder="1" applyAlignment="1">
      <alignment horizontal="center"/>
    </xf>
    <xf numFmtId="2" fontId="2" fillId="0" borderId="18" xfId="1" applyNumberFormat="1" applyFont="1" applyBorder="1" applyAlignment="1">
      <alignment horizontal="center"/>
    </xf>
    <xf numFmtId="2" fontId="2" fillId="4" borderId="72" xfId="1" applyNumberFormat="1" applyFont="1" applyFill="1" applyBorder="1"/>
    <xf numFmtId="2" fontId="2" fillId="4" borderId="33" xfId="1" applyNumberFormat="1" applyFont="1" applyFill="1" applyBorder="1"/>
    <xf numFmtId="2" fontId="2" fillId="0" borderId="86" xfId="1" applyNumberFormat="1" applyFont="1" applyBorder="1"/>
    <xf numFmtId="2" fontId="2" fillId="0" borderId="67" xfId="1" applyNumberFormat="1" applyFont="1" applyBorder="1" applyAlignment="1">
      <alignment horizontal="center"/>
    </xf>
    <xf numFmtId="2" fontId="2" fillId="4" borderId="85" xfId="1" applyNumberFormat="1" applyFont="1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 vertical="center"/>
    </xf>
    <xf numFmtId="2" fontId="4" fillId="2" borderId="6" xfId="1" applyNumberFormat="1" applyFont="1" applyFill="1" applyBorder="1" applyAlignment="1">
      <alignment horizontal="center" wrapText="1"/>
    </xf>
    <xf numFmtId="2" fontId="5" fillId="0" borderId="2" xfId="1" applyNumberFormat="1" applyFont="1" applyBorder="1" applyAlignment="1">
      <alignment horizontal="center" vertical="center" wrapText="1"/>
    </xf>
    <xf numFmtId="2" fontId="5" fillId="2" borderId="29" xfId="1" applyNumberFormat="1" applyFont="1" applyFill="1" applyBorder="1" applyAlignment="1">
      <alignment horizontal="center"/>
    </xf>
    <xf numFmtId="1" fontId="5" fillId="0" borderId="32" xfId="1" applyNumberFormat="1" applyFont="1" applyBorder="1" applyAlignment="1">
      <alignment horizontal="center"/>
    </xf>
    <xf numFmtId="1" fontId="5" fillId="0" borderId="7" xfId="1" applyNumberFormat="1" applyFont="1" applyFill="1" applyBorder="1" applyAlignment="1">
      <alignment horizontal="center"/>
    </xf>
    <xf numFmtId="1" fontId="6" fillId="0" borderId="7" xfId="1" applyNumberFormat="1" applyFont="1" applyBorder="1" applyAlignment="1">
      <alignment horizontal="center"/>
    </xf>
    <xf numFmtId="1" fontId="6" fillId="0" borderId="32" xfId="1" applyNumberFormat="1" applyFont="1" applyBorder="1" applyAlignment="1">
      <alignment horizontal="center"/>
    </xf>
    <xf numFmtId="20" fontId="0" fillId="0" borderId="17" xfId="0" applyNumberFormat="1" applyBorder="1"/>
    <xf numFmtId="2" fontId="5" fillId="0" borderId="32" xfId="1" applyNumberFormat="1" applyFont="1" applyBorder="1" applyAlignment="1">
      <alignment horizontal="center"/>
    </xf>
    <xf numFmtId="2" fontId="6" fillId="0" borderId="32" xfId="1" applyNumberFormat="1" applyFont="1" applyBorder="1" applyAlignment="1">
      <alignment horizontal="center"/>
    </xf>
    <xf numFmtId="2" fontId="5" fillId="0" borderId="20" xfId="1" applyNumberFormat="1" applyFont="1" applyBorder="1" applyAlignment="1">
      <alignment horizontal="center"/>
    </xf>
    <xf numFmtId="2" fontId="5" fillId="0" borderId="51" xfId="1" applyNumberFormat="1" applyFont="1" applyFill="1" applyBorder="1" applyAlignment="1">
      <alignment horizontal="center"/>
    </xf>
    <xf numFmtId="2" fontId="6" fillId="0" borderId="54" xfId="1" applyNumberFormat="1" applyFont="1" applyBorder="1" applyAlignment="1">
      <alignment horizontal="center"/>
    </xf>
    <xf numFmtId="17" fontId="6" fillId="0" borderId="10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7" fontId="2" fillId="0" borderId="24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0" fontId="1" fillId="27" borderId="0" xfId="1" applyNumberFormat="1" applyFill="1"/>
    <xf numFmtId="164" fontId="1" fillId="27" borderId="0" xfId="1" applyFill="1"/>
    <xf numFmtId="164" fontId="1" fillId="27" borderId="0" xfId="1" applyNumberFormat="1" applyFill="1" applyBorder="1"/>
    <xf numFmtId="164" fontId="30" fillId="27" borderId="72" xfId="1" applyNumberFormat="1" applyFont="1" applyFill="1" applyBorder="1" applyAlignment="1">
      <alignment horizontal="center" vertical="center"/>
    </xf>
    <xf numFmtId="0" fontId="1" fillId="27" borderId="27" xfId="1" applyNumberFormat="1" applyFill="1" applyBorder="1" applyAlignment="1">
      <alignment horizontal="center"/>
    </xf>
    <xf numFmtId="0" fontId="1" fillId="27" borderId="31" xfId="1" applyNumberFormat="1" applyFill="1" applyBorder="1" applyAlignment="1">
      <alignment horizontal="center"/>
    </xf>
    <xf numFmtId="0" fontId="2" fillId="27" borderId="31" xfId="1" applyNumberFormat="1" applyFont="1" applyFill="1" applyBorder="1" applyAlignment="1">
      <alignment horizontal="center"/>
    </xf>
    <xf numFmtId="2" fontId="30" fillId="27" borderId="72" xfId="1" applyNumberFormat="1" applyFont="1" applyFill="1" applyBorder="1" applyAlignment="1">
      <alignment horizontal="center"/>
    </xf>
    <xf numFmtId="2" fontId="30" fillId="27" borderId="33" xfId="1" applyNumberFormat="1" applyFont="1" applyFill="1" applyBorder="1" applyAlignment="1">
      <alignment horizontal="center"/>
    </xf>
    <xf numFmtId="0" fontId="1" fillId="27" borderId="86" xfId="1" applyNumberFormat="1" applyFill="1" applyBorder="1" applyAlignment="1">
      <alignment horizontal="center"/>
    </xf>
    <xf numFmtId="0" fontId="2" fillId="27" borderId="27" xfId="1" applyNumberFormat="1" applyFont="1" applyFill="1" applyBorder="1" applyAlignment="1">
      <alignment horizontal="center"/>
    </xf>
    <xf numFmtId="0" fontId="30" fillId="27" borderId="31" xfId="1" applyNumberFormat="1" applyFont="1" applyFill="1" applyBorder="1" applyAlignment="1">
      <alignment horizontal="center"/>
    </xf>
    <xf numFmtId="0" fontId="2" fillId="27" borderId="86" xfId="1" applyNumberFormat="1" applyFont="1" applyFill="1" applyBorder="1" applyAlignment="1">
      <alignment horizontal="center"/>
    </xf>
    <xf numFmtId="1" fontId="6" fillId="0" borderId="27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29" fillId="27" borderId="33" xfId="557" applyNumberFormat="1" applyFont="1" applyFill="1" applyBorder="1" applyAlignment="1">
      <alignment horizontal="center" vertical="center"/>
    </xf>
    <xf numFmtId="1" fontId="6" fillId="0" borderId="47" xfId="0" applyNumberFormat="1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2" fontId="29" fillId="27" borderId="49" xfId="557" applyNumberFormat="1" applyFont="1" applyFill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29" fillId="27" borderId="24" xfId="557" applyNumberFormat="1" applyFont="1" applyFill="1" applyBorder="1" applyAlignment="1">
      <alignment horizontal="center" vertical="center"/>
    </xf>
    <xf numFmtId="1" fontId="6" fillId="0" borderId="84" xfId="0" applyNumberFormat="1" applyFont="1" applyBorder="1" applyAlignment="1">
      <alignment horizontal="center" vertical="center"/>
    </xf>
    <xf numFmtId="2" fontId="2" fillId="0" borderId="93" xfId="0" applyNumberFormat="1" applyFont="1" applyBorder="1" applyAlignment="1">
      <alignment horizontal="center" vertical="center"/>
    </xf>
    <xf numFmtId="2" fontId="29" fillId="27" borderId="93" xfId="557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9" fillId="27" borderId="14" xfId="557" applyNumberFormat="1" applyFont="1" applyFill="1" applyBorder="1" applyAlignment="1">
      <alignment horizontal="center" vertical="center"/>
    </xf>
    <xf numFmtId="1" fontId="6" fillId="0" borderId="83" xfId="0" applyNumberFormat="1" applyFont="1" applyBorder="1" applyAlignment="1">
      <alignment horizontal="center" vertical="center"/>
    </xf>
    <xf numFmtId="2" fontId="2" fillId="0" borderId="94" xfId="0" applyNumberFormat="1" applyFont="1" applyBorder="1" applyAlignment="1">
      <alignment horizontal="center" vertical="center"/>
    </xf>
    <xf numFmtId="2" fontId="29" fillId="27" borderId="94" xfId="557" applyNumberFormat="1" applyFont="1" applyFill="1" applyBorder="1" applyAlignment="1">
      <alignment horizontal="center" vertical="center"/>
    </xf>
    <xf numFmtId="1" fontId="5" fillId="0" borderId="25" xfId="1" applyNumberFormat="1" applyFont="1" applyFill="1" applyBorder="1" applyAlignment="1">
      <alignment horizontal="center"/>
    </xf>
    <xf numFmtId="1" fontId="6" fillId="0" borderId="26" xfId="1" applyNumberFormat="1" applyFont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1" fontId="5" fillId="0" borderId="95" xfId="1" applyNumberFormat="1" applyFont="1" applyBorder="1" applyAlignment="1">
      <alignment horizontal="center"/>
    </xf>
    <xf numFmtId="0" fontId="2" fillId="0" borderId="18" xfId="1" applyNumberFormat="1" applyFont="1" applyFill="1" applyBorder="1" applyAlignment="1">
      <alignment horizontal="center"/>
    </xf>
    <xf numFmtId="2" fontId="30" fillId="0" borderId="26" xfId="1" applyNumberFormat="1" applyFont="1" applyFill="1" applyBorder="1" applyAlignment="1">
      <alignment horizontal="center"/>
    </xf>
    <xf numFmtId="164" fontId="0" fillId="0" borderId="0" xfId="1" applyFont="1"/>
    <xf numFmtId="1" fontId="2" fillId="0" borderId="17" xfId="1" applyNumberFormat="1" applyFont="1" applyBorder="1" applyAlignment="1">
      <alignment horizontal="center"/>
    </xf>
    <xf numFmtId="1" fontId="2" fillId="0" borderId="81" xfId="1" applyNumberFormat="1" applyFont="1" applyBorder="1" applyAlignment="1">
      <alignment horizontal="center"/>
    </xf>
    <xf numFmtId="1" fontId="2" fillId="0" borderId="31" xfId="1" applyNumberFormat="1" applyFont="1" applyBorder="1" applyAlignment="1">
      <alignment horizontal="center"/>
    </xf>
    <xf numFmtId="1" fontId="2" fillId="0" borderId="16" xfId="1" applyNumberFormat="1" applyFont="1" applyBorder="1" applyAlignment="1">
      <alignment horizontal="center"/>
    </xf>
    <xf numFmtId="1" fontId="2" fillId="0" borderId="53" xfId="1" applyNumberFormat="1" applyFont="1" applyBorder="1" applyAlignment="1">
      <alignment horizontal="center"/>
    </xf>
    <xf numFmtId="1" fontId="2" fillId="0" borderId="10" xfId="1" applyNumberFormat="1" applyFont="1" applyBorder="1" applyAlignment="1">
      <alignment horizontal="center"/>
    </xf>
    <xf numFmtId="1" fontId="1" fillId="0" borderId="27" xfId="1" applyNumberFormat="1" applyBorder="1" applyAlignment="1">
      <alignment horizontal="center"/>
    </xf>
    <xf numFmtId="1" fontId="2" fillId="0" borderId="47" xfId="1" applyNumberFormat="1" applyFont="1" applyBorder="1" applyAlignment="1">
      <alignment horizontal="center"/>
    </xf>
    <xf numFmtId="1" fontId="2" fillId="0" borderId="12" xfId="1" applyNumberFormat="1" applyFont="1" applyBorder="1" applyAlignment="1">
      <alignment horizontal="center"/>
    </xf>
    <xf numFmtId="1" fontId="2" fillId="4" borderId="24" xfId="1" applyNumberFormat="1" applyFont="1" applyFill="1" applyBorder="1" applyAlignment="1">
      <alignment horizontal="center"/>
    </xf>
    <xf numFmtId="1" fontId="2" fillId="4" borderId="49" xfId="1" applyNumberFormat="1" applyFont="1" applyFill="1" applyBorder="1" applyAlignment="1">
      <alignment horizontal="center"/>
    </xf>
    <xf numFmtId="1" fontId="2" fillId="0" borderId="67" xfId="1" applyNumberFormat="1" applyFont="1" applyBorder="1" applyAlignment="1">
      <alignment horizontal="center"/>
    </xf>
    <xf numFmtId="1" fontId="2" fillId="0" borderId="87" xfId="1" applyNumberFormat="1" applyFont="1" applyBorder="1" applyAlignment="1">
      <alignment horizontal="center"/>
    </xf>
    <xf numFmtId="1" fontId="2" fillId="0" borderId="30" xfId="1" applyNumberFormat="1" applyFont="1" applyBorder="1" applyAlignment="1">
      <alignment horizontal="center"/>
    </xf>
    <xf numFmtId="1" fontId="2" fillId="4" borderId="85" xfId="1" applyNumberFormat="1" applyFont="1" applyFill="1" applyBorder="1" applyAlignment="1">
      <alignment horizontal="center"/>
    </xf>
    <xf numFmtId="1" fontId="2" fillId="4" borderId="79" xfId="1" applyNumberFormat="1" applyFont="1" applyFill="1" applyBorder="1" applyAlignment="1">
      <alignment horizontal="center"/>
    </xf>
    <xf numFmtId="1" fontId="2" fillId="0" borderId="27" xfId="1" applyNumberFormat="1" applyFont="1" applyBorder="1" applyAlignment="1">
      <alignment horizontal="center"/>
    </xf>
    <xf numFmtId="1" fontId="30" fillId="4" borderId="31" xfId="1" applyNumberFormat="1" applyFont="1" applyFill="1" applyBorder="1" applyAlignment="1">
      <alignment horizontal="center"/>
    </xf>
    <xf numFmtId="1" fontId="30" fillId="4" borderId="18" xfId="1" applyNumberFormat="1" applyFont="1" applyFill="1" applyBorder="1" applyAlignment="1">
      <alignment horizontal="center"/>
    </xf>
    <xf numFmtId="1" fontId="2" fillId="4" borderId="16" xfId="1" applyNumberFormat="1" applyFont="1" applyFill="1" applyBorder="1" applyAlignment="1">
      <alignment horizontal="center"/>
    </xf>
    <xf numFmtId="1" fontId="2" fillId="4" borderId="53" xfId="1" applyNumberFormat="1" applyFont="1" applyFill="1" applyBorder="1" applyAlignment="1">
      <alignment horizontal="center"/>
    </xf>
    <xf numFmtId="1" fontId="2" fillId="0" borderId="86" xfId="1" applyNumberFormat="1" applyFont="1" applyBorder="1" applyAlignment="1">
      <alignment horizontal="center"/>
    </xf>
    <xf numFmtId="1" fontId="30" fillId="4" borderId="16" xfId="1" applyNumberFormat="1" applyFont="1" applyFill="1" applyBorder="1" applyAlignment="1">
      <alignment horizontal="center"/>
    </xf>
    <xf numFmtId="2" fontId="0" fillId="0" borderId="0" xfId="0" applyNumberFormat="1"/>
    <xf numFmtId="169" fontId="2" fillId="4" borderId="33" xfId="1" applyNumberFormat="1" applyFont="1" applyFill="1" applyBorder="1"/>
    <xf numFmtId="169" fontId="2" fillId="4" borderId="24" xfId="1" applyNumberFormat="1" applyFont="1" applyFill="1" applyBorder="1" applyAlignment="1">
      <alignment horizontal="center"/>
    </xf>
    <xf numFmtId="169" fontId="30" fillId="4" borderId="26" xfId="1" applyNumberFormat="1" applyFont="1" applyFill="1" applyBorder="1" applyAlignment="1">
      <alignment horizontal="center"/>
    </xf>
    <xf numFmtId="169" fontId="2" fillId="4" borderId="49" xfId="1" applyNumberFormat="1" applyFont="1" applyFill="1" applyBorder="1" applyAlignment="1">
      <alignment horizontal="center"/>
    </xf>
    <xf numFmtId="169" fontId="1" fillId="0" borderId="0" xfId="1" applyNumberFormat="1"/>
    <xf numFmtId="2" fontId="2" fillId="4" borderId="79" xfId="1" applyNumberFormat="1" applyFont="1" applyFill="1" applyBorder="1" applyAlignment="1">
      <alignment horizontal="center"/>
    </xf>
    <xf numFmtId="168" fontId="2" fillId="0" borderId="30" xfId="1" applyNumberFormat="1" applyFont="1" applyBorder="1" applyAlignment="1">
      <alignment horizontal="center"/>
    </xf>
    <xf numFmtId="168" fontId="30" fillId="4" borderId="18" xfId="1" applyNumberFormat="1" applyFont="1" applyFill="1" applyBorder="1" applyAlignment="1">
      <alignment horizontal="center"/>
    </xf>
    <xf numFmtId="168" fontId="1" fillId="0" borderId="86" xfId="1" applyNumberFormat="1" applyBorder="1" applyAlignment="1">
      <alignment horizontal="center"/>
    </xf>
    <xf numFmtId="168" fontId="1" fillId="0" borderId="31" xfId="1" applyNumberFormat="1" applyBorder="1" applyAlignment="1">
      <alignment horizontal="center"/>
    </xf>
    <xf numFmtId="0" fontId="0" fillId="0" borderId="0" xfId="0" applyBorder="1"/>
    <xf numFmtId="44" fontId="0" fillId="0" borderId="0" xfId="0" applyNumberFormat="1"/>
    <xf numFmtId="21" fontId="0" fillId="0" borderId="0" xfId="0" applyNumberFormat="1"/>
    <xf numFmtId="46" fontId="0" fillId="0" borderId="0" xfId="0" applyNumberFormat="1"/>
    <xf numFmtId="2" fontId="1" fillId="0" borderId="0" xfId="558" applyNumberFormat="1" applyBorder="1" applyAlignment="1">
      <alignment horizontal="center" vertical="center"/>
    </xf>
    <xf numFmtId="2" fontId="2" fillId="0" borderId="81" xfId="558" applyNumberFormat="1" applyFont="1" applyBorder="1" applyAlignment="1">
      <alignment horizontal="center" vertical="center"/>
    </xf>
    <xf numFmtId="2" fontId="1" fillId="0" borderId="0" xfId="1" applyNumberFormat="1" applyBorder="1" applyAlignment="1">
      <alignment horizontal="center"/>
    </xf>
    <xf numFmtId="168" fontId="2" fillId="0" borderId="27" xfId="1" applyNumberFormat="1" applyFont="1" applyBorder="1" applyAlignment="1">
      <alignment horizontal="center"/>
    </xf>
    <xf numFmtId="168" fontId="30" fillId="4" borderId="31" xfId="1" applyNumberFormat="1" applyFont="1" applyFill="1" applyBorder="1" applyAlignment="1">
      <alignment horizontal="center"/>
    </xf>
    <xf numFmtId="168" fontId="2" fillId="0" borderId="10" xfId="1" applyNumberFormat="1" applyFont="1" applyBorder="1" applyAlignment="1">
      <alignment horizontal="center"/>
    </xf>
    <xf numFmtId="168" fontId="1" fillId="0" borderId="12" xfId="1" applyNumberFormat="1" applyBorder="1" applyAlignment="1">
      <alignment horizontal="center"/>
    </xf>
    <xf numFmtId="168" fontId="2" fillId="0" borderId="12" xfId="1" applyNumberFormat="1" applyFont="1" applyBorder="1" applyAlignment="1">
      <alignment horizontal="center"/>
    </xf>
    <xf numFmtId="168" fontId="2" fillId="0" borderId="47" xfId="1" applyNumberFormat="1" applyFont="1" applyBorder="1" applyAlignment="1">
      <alignment horizontal="center"/>
    </xf>
    <xf numFmtId="168" fontId="1" fillId="0" borderId="0" xfId="1" applyNumberFormat="1"/>
    <xf numFmtId="168" fontId="2" fillId="0" borderId="16" xfId="1" applyNumberFormat="1" applyFont="1" applyBorder="1" applyAlignment="1">
      <alignment horizontal="center"/>
    </xf>
    <xf numFmtId="168" fontId="1" fillId="0" borderId="18" xfId="1" applyNumberFormat="1" applyBorder="1" applyAlignment="1">
      <alignment horizontal="center"/>
    </xf>
    <xf numFmtId="168" fontId="2" fillId="4" borderId="16" xfId="1" applyNumberFormat="1" applyFont="1" applyFill="1" applyBorder="1" applyAlignment="1">
      <alignment horizontal="center"/>
    </xf>
    <xf numFmtId="168" fontId="2" fillId="4" borderId="53" xfId="1" applyNumberFormat="1" applyFont="1" applyFill="1" applyBorder="1" applyAlignment="1">
      <alignment horizontal="center"/>
    </xf>
    <xf numFmtId="168" fontId="30" fillId="4" borderId="16" xfId="1" applyNumberFormat="1" applyFont="1" applyFill="1" applyBorder="1" applyAlignment="1">
      <alignment horizontal="center"/>
    </xf>
    <xf numFmtId="168" fontId="2" fillId="0" borderId="18" xfId="1" applyNumberFormat="1" applyFont="1" applyBorder="1" applyAlignment="1">
      <alignment horizontal="center"/>
    </xf>
    <xf numFmtId="2" fontId="39" fillId="0" borderId="0" xfId="0" applyNumberFormat="1" applyFont="1"/>
    <xf numFmtId="2" fontId="38" fillId="0" borderId="0" xfId="0" applyNumberFormat="1" applyFont="1"/>
    <xf numFmtId="2" fontId="39" fillId="0" borderId="0" xfId="0" applyNumberFormat="1" applyFont="1" applyAlignment="1">
      <alignment horizontal="right"/>
    </xf>
    <xf numFmtId="2" fontId="40" fillId="0" borderId="0" xfId="0" applyNumberFormat="1" applyFont="1" applyAlignment="1"/>
    <xf numFmtId="2" fontId="41" fillId="0" borderId="35" xfId="0" applyNumberFormat="1" applyFont="1" applyBorder="1" applyAlignment="1">
      <alignment horizontal="left"/>
    </xf>
    <xf numFmtId="2" fontId="41" fillId="0" borderId="22" xfId="0" applyNumberFormat="1" applyFont="1" applyBorder="1" applyAlignment="1">
      <alignment horizontal="center"/>
    </xf>
    <xf numFmtId="2" fontId="41" fillId="0" borderId="68" xfId="0" applyNumberFormat="1" applyFont="1" applyBorder="1" applyAlignment="1">
      <alignment horizontal="center"/>
    </xf>
    <xf numFmtId="2" fontId="41" fillId="0" borderId="23" xfId="0" applyNumberFormat="1" applyFont="1" applyBorder="1" applyAlignment="1">
      <alignment horizontal="center"/>
    </xf>
    <xf numFmtId="2" fontId="40" fillId="0" borderId="13" xfId="0" applyNumberFormat="1" applyFont="1" applyBorder="1" applyAlignment="1"/>
    <xf numFmtId="2" fontId="40" fillId="0" borderId="0" xfId="0" applyNumberFormat="1" applyFont="1" applyBorder="1" applyAlignment="1"/>
    <xf numFmtId="2" fontId="40" fillId="0" borderId="78" xfId="0" applyNumberFormat="1" applyFont="1" applyBorder="1" applyAlignment="1"/>
    <xf numFmtId="2" fontId="41" fillId="0" borderId="31" xfId="0" applyNumberFormat="1" applyFont="1" applyBorder="1" applyAlignment="1">
      <alignment horizontal="center"/>
    </xf>
    <xf numFmtId="1" fontId="40" fillId="0" borderId="82" xfId="0" applyNumberFormat="1" applyFont="1" applyBorder="1" applyAlignment="1">
      <alignment horizontal="center"/>
    </xf>
    <xf numFmtId="1" fontId="40" fillId="33" borderId="27" xfId="0" applyNumberFormat="1" applyFont="1" applyFill="1" applyBorder="1" applyAlignment="1">
      <alignment horizontal="center"/>
    </xf>
    <xf numFmtId="1" fontId="41" fillId="0" borderId="27" xfId="0" applyNumberFormat="1" applyFont="1" applyBorder="1" applyAlignment="1">
      <alignment horizontal="center"/>
    </xf>
    <xf numFmtId="1" fontId="40" fillId="0" borderId="27" xfId="0" applyNumberFormat="1" applyFont="1" applyBorder="1" applyAlignment="1">
      <alignment horizontal="center"/>
    </xf>
    <xf numFmtId="1" fontId="41" fillId="0" borderId="12" xfId="0" applyNumberFormat="1" applyFont="1" applyBorder="1" applyAlignment="1">
      <alignment horizontal="center"/>
    </xf>
    <xf numFmtId="1" fontId="40" fillId="0" borderId="81" xfId="0" applyNumberFormat="1" applyFont="1" applyBorder="1" applyAlignment="1">
      <alignment horizontal="center"/>
    </xf>
    <xf numFmtId="1" fontId="40" fillId="33" borderId="31" xfId="0" applyNumberFormat="1" applyFont="1" applyFill="1" applyBorder="1" applyAlignment="1">
      <alignment horizontal="center"/>
    </xf>
    <xf numFmtId="1" fontId="41" fillId="0" borderId="31" xfId="0" applyNumberFormat="1" applyFont="1" applyBorder="1" applyAlignment="1">
      <alignment horizontal="center"/>
    </xf>
    <xf numFmtId="1" fontId="40" fillId="0" borderId="31" xfId="0" applyNumberFormat="1" applyFont="1" applyBorder="1" applyAlignment="1">
      <alignment horizontal="center"/>
    </xf>
    <xf numFmtId="1" fontId="41" fillId="0" borderId="18" xfId="0" applyNumberFormat="1" applyFont="1" applyBorder="1" applyAlignment="1">
      <alignment horizontal="center"/>
    </xf>
    <xf numFmtId="2" fontId="41" fillId="0" borderId="72" xfId="0" applyNumberFormat="1" applyFont="1" applyBorder="1" applyAlignment="1">
      <alignment horizontal="center"/>
    </xf>
    <xf numFmtId="1" fontId="40" fillId="0" borderId="88" xfId="0" applyNumberFormat="1" applyFont="1" applyBorder="1" applyAlignment="1">
      <alignment horizontal="center"/>
    </xf>
    <xf numFmtId="1" fontId="40" fillId="33" borderId="33" xfId="0" applyNumberFormat="1" applyFont="1" applyFill="1" applyBorder="1" applyAlignment="1">
      <alignment horizontal="center"/>
    </xf>
    <xf numFmtId="1" fontId="41" fillId="0" borderId="33" xfId="0" applyNumberFormat="1" applyFont="1" applyBorder="1" applyAlignment="1">
      <alignment horizontal="center"/>
    </xf>
    <xf numFmtId="1" fontId="40" fillId="0" borderId="33" xfId="0" applyNumberFormat="1" applyFont="1" applyBorder="1" applyAlignment="1">
      <alignment horizontal="center"/>
    </xf>
    <xf numFmtId="1" fontId="41" fillId="0" borderId="26" xfId="0" applyNumberFormat="1" applyFont="1" applyBorder="1" applyAlignment="1">
      <alignment horizontal="center"/>
    </xf>
    <xf numFmtId="2" fontId="41" fillId="0" borderId="35" xfId="0" applyNumberFormat="1" applyFont="1" applyBorder="1" applyAlignment="1">
      <alignment horizontal="center"/>
    </xf>
    <xf numFmtId="1" fontId="41" fillId="0" borderId="35" xfId="0" applyNumberFormat="1" applyFont="1" applyBorder="1" applyAlignment="1">
      <alignment horizontal="center"/>
    </xf>
    <xf numFmtId="1" fontId="41" fillId="0" borderId="92" xfId="0" applyNumberFormat="1" applyFont="1" applyBorder="1" applyAlignment="1">
      <alignment horizontal="center"/>
    </xf>
    <xf numFmtId="1" fontId="41" fillId="0" borderId="23" xfId="0" applyNumberFormat="1" applyFont="1" applyBorder="1" applyAlignment="1">
      <alignment horizontal="center"/>
    </xf>
    <xf numFmtId="2" fontId="41" fillId="0" borderId="31" xfId="0" applyNumberFormat="1" applyFont="1" applyBorder="1" applyAlignment="1">
      <alignment horizontal="left"/>
    </xf>
    <xf numFmtId="2" fontId="41" fillId="0" borderId="17" xfId="0" applyNumberFormat="1" applyFont="1" applyBorder="1" applyAlignment="1">
      <alignment horizontal="center"/>
    </xf>
    <xf numFmtId="2" fontId="41" fillId="0" borderId="53" xfId="0" applyNumberFormat="1" applyFont="1" applyBorder="1" applyAlignment="1">
      <alignment horizontal="center" vertical="center"/>
    </xf>
    <xf numFmtId="2" fontId="41" fillId="0" borderId="17" xfId="0" applyNumberFormat="1" applyFont="1" applyBorder="1" applyAlignment="1">
      <alignment horizontal="center" vertical="center"/>
    </xf>
    <xf numFmtId="2" fontId="41" fillId="0" borderId="18" xfId="0" applyNumberFormat="1" applyFont="1" applyBorder="1" applyAlignment="1">
      <alignment horizontal="center" vertical="center"/>
    </xf>
    <xf numFmtId="2" fontId="41" fillId="0" borderId="2" xfId="0" applyNumberFormat="1" applyFont="1" applyBorder="1" applyAlignment="1">
      <alignment horizontal="center"/>
    </xf>
    <xf numFmtId="168" fontId="41" fillId="0" borderId="82" xfId="0" applyNumberFormat="1" applyFont="1" applyBorder="1" applyAlignment="1">
      <alignment horizontal="center"/>
    </xf>
    <xf numFmtId="168" fontId="40" fillId="33" borderId="27" xfId="0" applyNumberFormat="1" applyFont="1" applyFill="1" applyBorder="1" applyAlignment="1">
      <alignment horizontal="center"/>
    </xf>
    <xf numFmtId="168" fontId="40" fillId="0" borderId="27" xfId="0" applyNumberFormat="1" applyFont="1" applyBorder="1" applyAlignment="1">
      <alignment horizontal="center"/>
    </xf>
    <xf numFmtId="1" fontId="40" fillId="0" borderId="12" xfId="0" applyNumberFormat="1" applyFont="1" applyBorder="1" applyAlignment="1">
      <alignment horizontal="center"/>
    </xf>
    <xf numFmtId="2" fontId="41" fillId="0" borderId="90" xfId="0" applyNumberFormat="1" applyFont="1" applyBorder="1" applyAlignment="1">
      <alignment horizontal="center"/>
    </xf>
    <xf numFmtId="168" fontId="41" fillId="0" borderId="13" xfId="0" applyNumberFormat="1" applyFont="1" applyBorder="1" applyAlignment="1">
      <alignment horizontal="center"/>
    </xf>
    <xf numFmtId="168" fontId="40" fillId="33" borderId="34" xfId="0" applyNumberFormat="1" applyFont="1" applyFill="1" applyBorder="1" applyAlignment="1">
      <alignment horizontal="center"/>
    </xf>
    <xf numFmtId="168" fontId="40" fillId="0" borderId="34" xfId="0" applyNumberFormat="1" applyFont="1" applyBorder="1" applyAlignment="1">
      <alignment horizontal="center"/>
    </xf>
    <xf numFmtId="1" fontId="40" fillId="0" borderId="54" xfId="0" applyNumberFormat="1" applyFont="1" applyBorder="1" applyAlignment="1">
      <alignment horizontal="center"/>
    </xf>
    <xf numFmtId="2" fontId="41" fillId="0" borderId="6" xfId="0" applyNumberFormat="1" applyFont="1" applyBorder="1" applyAlignment="1">
      <alignment horizontal="center"/>
    </xf>
    <xf numFmtId="168" fontId="41" fillId="33" borderId="92" xfId="0" applyNumberFormat="1" applyFont="1" applyFill="1" applyBorder="1" applyAlignment="1">
      <alignment horizontal="center"/>
    </xf>
    <xf numFmtId="2" fontId="41" fillId="0" borderId="20" xfId="0" applyNumberFormat="1" applyFont="1" applyBorder="1" applyAlignment="1">
      <alignment horizontal="center"/>
    </xf>
    <xf numFmtId="1" fontId="41" fillId="0" borderId="96" xfId="0" applyNumberFormat="1" applyFont="1" applyBorder="1" applyAlignment="1">
      <alignment horizontal="center"/>
    </xf>
    <xf numFmtId="1" fontId="41" fillId="0" borderId="89" xfId="0" applyNumberFormat="1" applyFont="1" applyBorder="1" applyAlignment="1">
      <alignment horizontal="center"/>
    </xf>
    <xf numFmtId="1" fontId="40" fillId="0" borderId="34" xfId="0" applyNumberFormat="1" applyFont="1" applyBorder="1" applyAlignment="1">
      <alignment horizontal="center"/>
    </xf>
    <xf numFmtId="1" fontId="41" fillId="0" borderId="13" xfId="0" applyNumberFormat="1" applyFont="1" applyBorder="1" applyAlignment="1">
      <alignment horizontal="center"/>
    </xf>
    <xf numFmtId="2" fontId="40" fillId="33" borderId="27" xfId="0" applyNumberFormat="1" applyFont="1" applyFill="1" applyBorder="1" applyAlignment="1">
      <alignment horizontal="center"/>
    </xf>
    <xf numFmtId="1" fontId="41" fillId="0" borderId="1" xfId="0" applyNumberFormat="1" applyFont="1" applyBorder="1" applyAlignment="1">
      <alignment horizontal="center"/>
    </xf>
    <xf numFmtId="168" fontId="41" fillId="33" borderId="75" xfId="0" applyNumberFormat="1" applyFont="1" applyFill="1" applyBorder="1" applyAlignment="1">
      <alignment horizontal="center"/>
    </xf>
    <xf numFmtId="1" fontId="41" fillId="0" borderId="75" xfId="0" applyNumberFormat="1" applyFont="1" applyBorder="1" applyAlignment="1">
      <alignment horizontal="center"/>
    </xf>
    <xf numFmtId="1" fontId="41" fillId="0" borderId="76" xfId="0" applyNumberFormat="1" applyFont="1" applyBorder="1" applyAlignment="1">
      <alignment horizontal="center"/>
    </xf>
    <xf numFmtId="2" fontId="41" fillId="0" borderId="54" xfId="0" applyNumberFormat="1" applyFont="1" applyBorder="1" applyAlignment="1">
      <alignment horizontal="center" vertical="center"/>
    </xf>
    <xf numFmtId="2" fontId="41" fillId="0" borderId="1" xfId="0" applyNumberFormat="1" applyFont="1" applyBorder="1" applyAlignment="1">
      <alignment horizontal="center"/>
    </xf>
    <xf numFmtId="1" fontId="40" fillId="0" borderId="10" xfId="0" applyNumberFormat="1" applyFont="1" applyBorder="1" applyAlignment="1">
      <alignment horizontal="center"/>
    </xf>
    <xf numFmtId="168" fontId="40" fillId="33" borderId="11" xfId="0" applyNumberFormat="1" applyFont="1" applyFill="1" applyBorder="1" applyAlignment="1">
      <alignment horizontal="center"/>
    </xf>
    <xf numFmtId="1" fontId="40" fillId="0" borderId="11" xfId="0" applyNumberFormat="1" applyFont="1" applyBorder="1" applyAlignment="1">
      <alignment horizontal="center"/>
    </xf>
    <xf numFmtId="2" fontId="41" fillId="0" borderId="89" xfId="0" applyNumberFormat="1" applyFont="1" applyBorder="1" applyAlignment="1">
      <alignment horizontal="center"/>
    </xf>
    <xf numFmtId="1" fontId="40" fillId="0" borderId="16" xfId="0" applyNumberFormat="1" applyFont="1" applyBorder="1" applyAlignment="1">
      <alignment horizontal="center"/>
    </xf>
    <xf numFmtId="168" fontId="40" fillId="33" borderId="17" xfId="0" applyNumberFormat="1" applyFont="1" applyFill="1" applyBorder="1" applyAlignment="1">
      <alignment horizontal="center"/>
    </xf>
    <xf numFmtId="1" fontId="40" fillId="0" borderId="1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2" fontId="41" fillId="0" borderId="88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8" fontId="41" fillId="33" borderId="25" xfId="0" applyNumberFormat="1" applyFont="1" applyFill="1" applyBorder="1" applyAlignment="1">
      <alignment horizontal="center"/>
    </xf>
    <xf numFmtId="1" fontId="41" fillId="0" borderId="25" xfId="0" applyNumberFormat="1" applyFont="1" applyBorder="1" applyAlignment="1">
      <alignment horizontal="center"/>
    </xf>
    <xf numFmtId="2" fontId="5" fillId="0" borderId="97" xfId="1" applyNumberFormat="1" applyFont="1" applyBorder="1" applyAlignment="1">
      <alignment horizontal="center" vertical="center"/>
    </xf>
    <xf numFmtId="1" fontId="8" fillId="27" borderId="7" xfId="1" applyNumberFormat="1" applyFont="1" applyFill="1" applyBorder="1" applyAlignment="1">
      <alignment horizontal="center"/>
    </xf>
    <xf numFmtId="2" fontId="2" fillId="0" borderId="0" xfId="558" applyNumberFormat="1" applyFont="1" applyBorder="1" applyAlignment="1">
      <alignment horizontal="center" vertical="center"/>
    </xf>
    <xf numFmtId="1" fontId="5" fillId="27" borderId="15" xfId="1" applyNumberFormat="1" applyFont="1" applyFill="1" applyBorder="1" applyAlignment="1">
      <alignment horizontal="center"/>
    </xf>
    <xf numFmtId="2" fontId="5" fillId="0" borderId="8" xfId="1" applyNumberFormat="1" applyFont="1" applyBorder="1" applyAlignment="1">
      <alignment horizontal="center" vertical="center"/>
    </xf>
    <xf numFmtId="1" fontId="0" fillId="0" borderId="0" xfId="0" applyNumberFormat="1"/>
    <xf numFmtId="2" fontId="2" fillId="0" borderId="16" xfId="1" applyNumberFormat="1" applyFont="1" applyBorder="1" applyAlignment="1">
      <alignment horizontal="center"/>
    </xf>
    <xf numFmtId="1" fontId="5" fillId="0" borderId="29" xfId="1" applyNumberFormat="1" applyFont="1" applyBorder="1" applyAlignment="1">
      <alignment horizontal="center"/>
    </xf>
    <xf numFmtId="1" fontId="6" fillId="0" borderId="95" xfId="1" applyNumberFormat="1" applyFont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2" fontId="2" fillId="0" borderId="24" xfId="1" applyNumberFormat="1" applyFont="1" applyBorder="1" applyAlignment="1">
      <alignment horizontal="center"/>
    </xf>
    <xf numFmtId="168" fontId="2" fillId="0" borderId="10" xfId="1" applyNumberFormat="1" applyFont="1" applyBorder="1" applyAlignment="1">
      <alignment horizontal="center"/>
    </xf>
    <xf numFmtId="168" fontId="2" fillId="0" borderId="27" xfId="1" applyNumberFormat="1" applyFont="1" applyBorder="1" applyAlignment="1">
      <alignment horizontal="center"/>
    </xf>
    <xf numFmtId="168" fontId="2" fillId="0" borderId="16" xfId="1" applyNumberFormat="1" applyFont="1" applyBorder="1" applyAlignment="1">
      <alignment horizontal="center"/>
    </xf>
    <xf numFmtId="167" fontId="2" fillId="0" borderId="82" xfId="1" applyNumberFormat="1" applyFont="1" applyBorder="1" applyAlignment="1">
      <alignment horizontal="center" vertical="center"/>
    </xf>
    <xf numFmtId="167" fontId="2" fillId="0" borderId="83" xfId="1" applyNumberFormat="1" applyFont="1" applyBorder="1" applyAlignment="1">
      <alignment horizontal="center" vertical="center"/>
    </xf>
    <xf numFmtId="2" fontId="2" fillId="0" borderId="16" xfId="1" applyNumberFormat="1" applyFont="1" applyBorder="1" applyAlignment="1">
      <alignment horizontal="center"/>
    </xf>
    <xf numFmtId="168" fontId="2" fillId="0" borderId="10" xfId="1" applyNumberFormat="1" applyFont="1" applyBorder="1" applyAlignment="1">
      <alignment horizontal="center"/>
    </xf>
    <xf numFmtId="168" fontId="2" fillId="0" borderId="27" xfId="1" applyNumberFormat="1" applyFont="1" applyBorder="1" applyAlignment="1">
      <alignment horizontal="center"/>
    </xf>
    <xf numFmtId="2" fontId="2" fillId="0" borderId="72" xfId="1" applyNumberFormat="1" applyFont="1" applyBorder="1"/>
    <xf numFmtId="2" fontId="2" fillId="0" borderId="89" xfId="1" applyNumberFormat="1" applyFont="1" applyBorder="1" applyAlignment="1">
      <alignment horizontal="center"/>
    </xf>
    <xf numFmtId="1" fontId="2" fillId="0" borderId="15" xfId="1" applyNumberFormat="1" applyFont="1" applyBorder="1" applyAlignment="1">
      <alignment horizontal="center"/>
    </xf>
    <xf numFmtId="1" fontId="2" fillId="0" borderId="89" xfId="1" applyNumberFormat="1" applyFont="1" applyBorder="1" applyAlignment="1">
      <alignment horizontal="center"/>
    </xf>
    <xf numFmtId="1" fontId="2" fillId="0" borderId="85" xfId="1" applyNumberFormat="1" applyFont="1" applyBorder="1" applyAlignment="1">
      <alignment horizontal="center"/>
    </xf>
    <xf numFmtId="1" fontId="2" fillId="0" borderId="28" xfId="1" applyNumberFormat="1" applyFont="1" applyBorder="1" applyAlignment="1">
      <alignment horizontal="center"/>
    </xf>
    <xf numFmtId="1" fontId="2" fillId="0" borderId="72" xfId="1" applyNumberFormat="1" applyFont="1" applyBorder="1" applyAlignment="1">
      <alignment horizontal="center"/>
    </xf>
    <xf numFmtId="2" fontId="2" fillId="4" borderId="35" xfId="1" applyNumberFormat="1" applyFont="1" applyFill="1" applyBorder="1"/>
    <xf numFmtId="2" fontId="30" fillId="4" borderId="22" xfId="1" applyNumberFormat="1" applyFont="1" applyFill="1" applyBorder="1" applyAlignment="1">
      <alignment horizontal="center"/>
    </xf>
    <xf numFmtId="2" fontId="30" fillId="4" borderId="23" xfId="1" applyNumberFormat="1" applyFont="1" applyFill="1" applyBorder="1" applyAlignment="1">
      <alignment horizontal="center"/>
    </xf>
    <xf numFmtId="2" fontId="30" fillId="4" borderId="92" xfId="1" applyNumberFormat="1" applyFont="1" applyFill="1" applyBorder="1" applyAlignment="1">
      <alignment horizontal="center"/>
    </xf>
    <xf numFmtId="2" fontId="30" fillId="4" borderId="69" xfId="1" applyNumberFormat="1" applyFont="1" applyFill="1" applyBorder="1" applyAlignment="1">
      <alignment horizontal="center"/>
    </xf>
    <xf numFmtId="1" fontId="2" fillId="0" borderId="24" xfId="1" applyNumberFormat="1" applyFont="1" applyBorder="1" applyAlignment="1">
      <alignment horizontal="center"/>
    </xf>
    <xf numFmtId="1" fontId="2" fillId="0" borderId="33" xfId="1" applyNumberFormat="1" applyFont="1" applyBorder="1" applyAlignment="1">
      <alignment horizontal="center"/>
    </xf>
    <xf numFmtId="1" fontId="2" fillId="0" borderId="26" xfId="1" applyNumberFormat="1" applyFont="1" applyBorder="1" applyAlignment="1">
      <alignment horizontal="center"/>
    </xf>
    <xf numFmtId="2" fontId="2" fillId="0" borderId="51" xfId="0" applyNumberFormat="1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54" xfId="0" applyNumberFormat="1" applyFont="1" applyBorder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2" fontId="2" fillId="0" borderId="78" xfId="0" applyNumberFormat="1" applyFont="1" applyBorder="1" applyAlignment="1">
      <alignment horizontal="center" vertical="center"/>
    </xf>
    <xf numFmtId="17" fontId="2" fillId="0" borderId="85" xfId="0" applyNumberFormat="1" applyFont="1" applyBorder="1" applyAlignment="1">
      <alignment horizontal="center" vertical="center"/>
    </xf>
    <xf numFmtId="2" fontId="2" fillId="0" borderId="55" xfId="0" applyNumberFormat="1" applyFont="1" applyBorder="1" applyAlignment="1">
      <alignment horizontal="center" vertical="center"/>
    </xf>
    <xf numFmtId="2" fontId="2" fillId="0" borderId="56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2" fontId="2" fillId="0" borderId="98" xfId="0" applyNumberFormat="1" applyFont="1" applyBorder="1" applyAlignment="1">
      <alignment horizontal="center" vertical="center"/>
    </xf>
    <xf numFmtId="2" fontId="2" fillId="0" borderId="57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2" fontId="2" fillId="0" borderId="99" xfId="0" applyNumberFormat="1" applyFont="1" applyBorder="1" applyAlignment="1">
      <alignment horizontal="center" vertical="center"/>
    </xf>
    <xf numFmtId="17" fontId="29" fillId="0" borderId="10" xfId="557" applyNumberFormat="1" applyFont="1" applyBorder="1" applyAlignment="1">
      <alignment horizontal="center"/>
    </xf>
    <xf numFmtId="1" fontId="29" fillId="0" borderId="11" xfId="557" applyNumberFormat="1" applyFont="1" applyBorder="1" applyAlignment="1">
      <alignment horizontal="center" vertical="center"/>
    </xf>
    <xf numFmtId="1" fontId="29" fillId="0" borderId="27" xfId="557" applyNumberFormat="1" applyFont="1" applyBorder="1" applyAlignment="1">
      <alignment horizontal="center" vertical="center"/>
    </xf>
    <xf numFmtId="1" fontId="29" fillId="0" borderId="10" xfId="557" applyNumberFormat="1" applyFont="1" applyBorder="1" applyAlignment="1">
      <alignment horizontal="center" vertical="center"/>
    </xf>
    <xf numFmtId="1" fontId="29" fillId="0" borderId="12" xfId="557" applyNumberFormat="1" applyFont="1" applyBorder="1" applyAlignment="1">
      <alignment horizontal="center" vertical="center"/>
    </xf>
    <xf numFmtId="1" fontId="29" fillId="0" borderId="47" xfId="557" applyNumberFormat="1" applyFont="1" applyBorder="1" applyAlignment="1">
      <alignment horizontal="center" vertical="center"/>
    </xf>
    <xf numFmtId="1" fontId="29" fillId="0" borderId="84" xfId="557" applyNumberFormat="1" applyFont="1" applyBorder="1" applyAlignment="1">
      <alignment horizontal="center" vertical="center"/>
    </xf>
    <xf numFmtId="1" fontId="29" fillId="0" borderId="7" xfId="557" applyNumberFormat="1" applyFont="1" applyBorder="1" applyAlignment="1">
      <alignment horizontal="center" vertical="center"/>
    </xf>
    <xf numFmtId="1" fontId="29" fillId="0" borderId="83" xfId="557" applyNumberFormat="1" applyFont="1" applyBorder="1" applyAlignment="1">
      <alignment horizontal="center" vertical="center"/>
    </xf>
    <xf numFmtId="165" fontId="0" fillId="0" borderId="32" xfId="0" applyNumberFormat="1" applyBorder="1" applyAlignment="1">
      <alignment horizontal="center"/>
    </xf>
    <xf numFmtId="167" fontId="2" fillId="0" borderId="82" xfId="1" applyNumberFormat="1" applyFont="1" applyBorder="1" applyAlignment="1">
      <alignment vertical="center"/>
    </xf>
    <xf numFmtId="167" fontId="2" fillId="0" borderId="83" xfId="1" applyNumberFormat="1" applyFont="1" applyBorder="1" applyAlignment="1">
      <alignment vertical="center"/>
    </xf>
    <xf numFmtId="167" fontId="2" fillId="0" borderId="84" xfId="1" applyNumberFormat="1" applyFont="1" applyBorder="1" applyAlignment="1">
      <alignment horizontal="center" vertical="center"/>
    </xf>
    <xf numFmtId="2" fontId="5" fillId="2" borderId="19" xfId="1" applyNumberFormat="1" applyFont="1" applyFill="1" applyBorder="1" applyAlignment="1">
      <alignment horizontal="center"/>
    </xf>
    <xf numFmtId="2" fontId="5" fillId="0" borderId="13" xfId="1" applyNumberFormat="1" applyFont="1" applyBorder="1" applyAlignment="1">
      <alignment horizontal="center"/>
    </xf>
    <xf numFmtId="2" fontId="5" fillId="2" borderId="35" xfId="1" applyNumberFormat="1" applyFont="1" applyFill="1" applyBorder="1" applyAlignment="1">
      <alignment horizontal="center"/>
    </xf>
    <xf numFmtId="1" fontId="5" fillId="0" borderId="82" xfId="1" applyNumberFormat="1" applyFont="1" applyBorder="1" applyAlignment="1">
      <alignment horizontal="center"/>
    </xf>
    <xf numFmtId="2" fontId="5" fillId="0" borderId="0" xfId="1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2" fontId="5" fillId="0" borderId="92" xfId="1" applyNumberFormat="1" applyFont="1" applyBorder="1" applyAlignment="1">
      <alignment horizontal="center" vertical="center" wrapText="1"/>
    </xf>
    <xf numFmtId="1" fontId="5" fillId="0" borderId="96" xfId="1" applyNumberFormat="1" applyFont="1" applyFill="1" applyBorder="1" applyAlignment="1">
      <alignment horizontal="center"/>
    </xf>
    <xf numFmtId="2" fontId="5" fillId="0" borderId="81" xfId="1" applyNumberFormat="1" applyFont="1" applyFill="1" applyBorder="1" applyAlignment="1">
      <alignment horizontal="center"/>
    </xf>
    <xf numFmtId="1" fontId="5" fillId="27" borderId="81" xfId="1" applyNumberFormat="1" applyFont="1" applyFill="1" applyBorder="1" applyAlignment="1">
      <alignment horizontal="center"/>
    </xf>
    <xf numFmtId="1" fontId="5" fillId="0" borderId="82" xfId="1" applyNumberFormat="1" applyFont="1" applyFill="1" applyBorder="1" applyAlignment="1">
      <alignment horizontal="center"/>
    </xf>
    <xf numFmtId="2" fontId="5" fillId="0" borderId="34" xfId="1" applyNumberFormat="1" applyFont="1" applyFill="1" applyBorder="1" applyAlignment="1">
      <alignment horizontal="center"/>
    </xf>
    <xf numFmtId="1" fontId="5" fillId="0" borderId="72" xfId="1" applyNumberFormat="1" applyFont="1" applyFill="1" applyBorder="1" applyAlignment="1">
      <alignment horizontal="center"/>
    </xf>
    <xf numFmtId="1" fontId="5" fillId="0" borderId="27" xfId="1" applyNumberFormat="1" applyFont="1" applyFill="1" applyBorder="1" applyAlignment="1">
      <alignment horizontal="center"/>
    </xf>
    <xf numFmtId="1" fontId="5" fillId="0" borderId="33" xfId="1" applyNumberFormat="1" applyFont="1" applyFill="1" applyBorder="1" applyAlignment="1">
      <alignment horizontal="center"/>
    </xf>
    <xf numFmtId="1" fontId="5" fillId="27" borderId="72" xfId="1" applyNumberFormat="1" applyFont="1" applyFill="1" applyBorder="1" applyAlignment="1">
      <alignment horizontal="center"/>
    </xf>
    <xf numFmtId="2" fontId="6" fillId="0" borderId="20" xfId="1" applyNumberFormat="1" applyFont="1" applyBorder="1" applyAlignment="1">
      <alignment horizontal="center"/>
    </xf>
    <xf numFmtId="1" fontId="6" fillId="0" borderId="90" xfId="1" applyNumberFormat="1" applyFont="1" applyBorder="1" applyAlignment="1">
      <alignment horizontal="center"/>
    </xf>
    <xf numFmtId="1" fontId="6" fillId="0" borderId="14" xfId="1" applyNumberFormat="1" applyFont="1" applyBorder="1" applyAlignment="1">
      <alignment horizontal="center"/>
    </xf>
    <xf numFmtId="17" fontId="31" fillId="0" borderId="10" xfId="0" applyNumberFormat="1" applyFont="1" applyBorder="1" applyAlignment="1">
      <alignment horizontal="center"/>
    </xf>
    <xf numFmtId="1" fontId="31" fillId="0" borderId="11" xfId="0" applyNumberFormat="1" applyFont="1" applyBorder="1" applyAlignment="1">
      <alignment horizontal="center" vertical="center"/>
    </xf>
    <xf numFmtId="1" fontId="31" fillId="0" borderId="27" xfId="0" applyNumberFormat="1" applyFont="1" applyBorder="1" applyAlignment="1">
      <alignment horizontal="center" vertical="center"/>
    </xf>
    <xf numFmtId="1" fontId="31" fillId="0" borderId="10" xfId="0" applyNumberFormat="1" applyFont="1" applyBorder="1" applyAlignment="1">
      <alignment horizontal="center" vertical="center"/>
    </xf>
    <xf numFmtId="1" fontId="31" fillId="0" borderId="12" xfId="0" applyNumberFormat="1" applyFont="1" applyBorder="1" applyAlignment="1">
      <alignment horizontal="center" vertical="center"/>
    </xf>
    <xf numFmtId="1" fontId="31" fillId="0" borderId="47" xfId="0" applyNumberFormat="1" applyFont="1" applyBorder="1" applyAlignment="1">
      <alignment horizontal="center" vertical="center"/>
    </xf>
    <xf numFmtId="1" fontId="31" fillId="0" borderId="84" xfId="0" applyNumberFormat="1" applyFont="1" applyBorder="1" applyAlignment="1">
      <alignment horizontal="center" vertical="center"/>
    </xf>
    <xf numFmtId="1" fontId="31" fillId="0" borderId="7" xfId="0" applyNumberFormat="1" applyFont="1" applyBorder="1" applyAlignment="1">
      <alignment horizontal="center" vertical="center"/>
    </xf>
    <xf numFmtId="1" fontId="31" fillId="0" borderId="83" xfId="0" applyNumberFormat="1" applyFont="1" applyBorder="1" applyAlignment="1">
      <alignment horizontal="center" vertical="center"/>
    </xf>
    <xf numFmtId="17" fontId="29" fillId="0" borderId="24" xfId="0" applyNumberFormat="1" applyFont="1" applyBorder="1" applyAlignment="1">
      <alignment horizontal="center" vertical="center"/>
    </xf>
    <xf numFmtId="2" fontId="29" fillId="0" borderId="25" xfId="0" applyNumberFormat="1" applyFont="1" applyBorder="1" applyAlignment="1">
      <alignment horizontal="center" vertical="center"/>
    </xf>
    <xf numFmtId="2" fontId="29" fillId="0" borderId="33" xfId="0" applyNumberFormat="1" applyFont="1" applyBorder="1" applyAlignment="1">
      <alignment horizontal="center" vertical="center"/>
    </xf>
    <xf numFmtId="2" fontId="29" fillId="0" borderId="24" xfId="0" applyNumberFormat="1" applyFont="1" applyBorder="1" applyAlignment="1">
      <alignment horizontal="center" vertical="center"/>
    </xf>
    <xf numFmtId="2" fontId="29" fillId="0" borderId="26" xfId="0" applyNumberFormat="1" applyFont="1" applyBorder="1" applyAlignment="1">
      <alignment horizontal="center" vertical="center"/>
    </xf>
    <xf numFmtId="2" fontId="29" fillId="0" borderId="49" xfId="0" applyNumberFormat="1" applyFont="1" applyBorder="1" applyAlignment="1">
      <alignment horizontal="center" vertical="center"/>
    </xf>
    <xf numFmtId="2" fontId="29" fillId="0" borderId="93" xfId="0" applyNumberFormat="1" applyFont="1" applyBorder="1" applyAlignment="1">
      <alignment horizontal="center" vertical="center"/>
    </xf>
    <xf numFmtId="2" fontId="29" fillId="0" borderId="14" xfId="0" applyNumberFormat="1" applyFont="1" applyBorder="1" applyAlignment="1">
      <alignment horizontal="center" vertical="center"/>
    </xf>
    <xf numFmtId="2" fontId="29" fillId="0" borderId="9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557" applyFont="1"/>
    <xf numFmtId="0" fontId="30" fillId="0" borderId="72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74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/>
    </xf>
    <xf numFmtId="0" fontId="30" fillId="30" borderId="46" xfId="0" quotePrefix="1" applyFont="1" applyFill="1" applyBorder="1" applyAlignment="1">
      <alignment horizontal="center" vertical="center"/>
    </xf>
    <xf numFmtId="0" fontId="30" fillId="30" borderId="74" xfId="0" quotePrefix="1" applyFont="1" applyFill="1" applyBorder="1" applyAlignment="1">
      <alignment horizontal="center" vertical="center"/>
    </xf>
    <xf numFmtId="0" fontId="30" fillId="30" borderId="76" xfId="0" applyFont="1" applyFill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/>
    </xf>
    <xf numFmtId="0" fontId="30" fillId="29" borderId="46" xfId="0" quotePrefix="1" applyFont="1" applyFill="1" applyBorder="1" applyAlignment="1">
      <alignment horizontal="center" vertical="center"/>
    </xf>
    <xf numFmtId="0" fontId="30" fillId="29" borderId="74" xfId="0" quotePrefix="1" applyFont="1" applyFill="1" applyBorder="1" applyAlignment="1">
      <alignment horizontal="center" vertical="center"/>
    </xf>
    <xf numFmtId="0" fontId="30" fillId="29" borderId="76" xfId="0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0" fontId="30" fillId="0" borderId="76" xfId="0" applyFont="1" applyBorder="1" applyAlignment="1">
      <alignment horizontal="center" vertical="center"/>
    </xf>
    <xf numFmtId="0" fontId="30" fillId="32" borderId="73" xfId="0" applyFont="1" applyFill="1" applyBorder="1" applyAlignment="1">
      <alignment horizontal="center" vertical="center"/>
    </xf>
    <xf numFmtId="17" fontId="30" fillId="0" borderId="24" xfId="0" applyNumberFormat="1" applyFont="1" applyBorder="1" applyAlignment="1">
      <alignment horizontal="center" vertical="center"/>
    </xf>
    <xf numFmtId="2" fontId="30" fillId="0" borderId="25" xfId="0" applyNumberFormat="1" applyFont="1" applyBorder="1" applyAlignment="1">
      <alignment horizontal="center" vertical="center"/>
    </xf>
    <xf numFmtId="2" fontId="30" fillId="0" borderId="33" xfId="0" applyNumberFormat="1" applyFont="1" applyBorder="1" applyAlignment="1">
      <alignment horizontal="center" vertical="center"/>
    </xf>
    <xf numFmtId="2" fontId="30" fillId="0" borderId="24" xfId="0" applyNumberFormat="1" applyFont="1" applyBorder="1" applyAlignment="1">
      <alignment horizontal="center" vertical="center"/>
    </xf>
    <xf numFmtId="2" fontId="30" fillId="0" borderId="26" xfId="0" applyNumberFormat="1" applyFont="1" applyBorder="1" applyAlignment="1">
      <alignment horizontal="center" vertical="center"/>
    </xf>
    <xf numFmtId="2" fontId="30" fillId="0" borderId="49" xfId="0" applyNumberFormat="1" applyFont="1" applyBorder="1" applyAlignment="1">
      <alignment horizontal="center" vertical="center"/>
    </xf>
    <xf numFmtId="2" fontId="30" fillId="0" borderId="93" xfId="0" applyNumberFormat="1" applyFont="1" applyBorder="1" applyAlignment="1">
      <alignment horizontal="center" vertical="center"/>
    </xf>
    <xf numFmtId="2" fontId="30" fillId="0" borderId="14" xfId="0" applyNumberFormat="1" applyFont="1" applyBorder="1" applyAlignment="1">
      <alignment horizontal="center" vertical="center"/>
    </xf>
    <xf numFmtId="2" fontId="30" fillId="0" borderId="94" xfId="0" applyNumberFormat="1" applyFont="1" applyBorder="1" applyAlignment="1">
      <alignment horizontal="center" vertical="center"/>
    </xf>
    <xf numFmtId="17" fontId="30" fillId="0" borderId="85" xfId="0" applyNumberFormat="1" applyFont="1" applyBorder="1" applyAlignment="1">
      <alignment horizontal="center" vertical="center"/>
    </xf>
    <xf numFmtId="2" fontId="30" fillId="0" borderId="51" xfId="0" applyNumberFormat="1" applyFont="1" applyBorder="1" applyAlignment="1">
      <alignment horizontal="center" vertical="center"/>
    </xf>
    <xf numFmtId="2" fontId="30" fillId="0" borderId="34" xfId="0" applyNumberFormat="1" applyFont="1" applyBorder="1" applyAlignment="1">
      <alignment horizontal="center" vertical="center"/>
    </xf>
    <xf numFmtId="2" fontId="30" fillId="0" borderId="48" xfId="0" applyNumberFormat="1" applyFont="1" applyBorder="1" applyAlignment="1">
      <alignment horizontal="center" vertical="center"/>
    </xf>
    <xf numFmtId="2" fontId="30" fillId="0" borderId="54" xfId="0" applyNumberFormat="1" applyFont="1" applyBorder="1" applyAlignment="1">
      <alignment horizontal="center" vertical="center"/>
    </xf>
    <xf numFmtId="2" fontId="30" fillId="0" borderId="52" xfId="0" applyNumberFormat="1" applyFont="1" applyBorder="1" applyAlignment="1">
      <alignment horizontal="center" vertical="center"/>
    </xf>
    <xf numFmtId="2" fontId="30" fillId="0" borderId="0" xfId="0" applyNumberFormat="1" applyFont="1" applyBorder="1" applyAlignment="1">
      <alignment horizontal="center" vertical="center"/>
    </xf>
    <xf numFmtId="2" fontId="30" fillId="0" borderId="20" xfId="0" applyNumberFormat="1" applyFont="1" applyBorder="1" applyAlignment="1">
      <alignment horizontal="center" vertical="center"/>
    </xf>
    <xf numFmtId="2" fontId="30" fillId="0" borderId="78" xfId="0" applyNumberFormat="1" applyFont="1" applyBorder="1" applyAlignment="1">
      <alignment horizontal="center" vertical="center"/>
    </xf>
    <xf numFmtId="2" fontId="30" fillId="0" borderId="55" xfId="0" applyNumberFormat="1" applyFont="1" applyBorder="1" applyAlignment="1">
      <alignment horizontal="center" vertical="center"/>
    </xf>
    <xf numFmtId="2" fontId="30" fillId="0" borderId="56" xfId="0" applyNumberFormat="1" applyFont="1" applyBorder="1" applyAlignment="1">
      <alignment horizontal="center" vertical="center"/>
    </xf>
    <xf numFmtId="2" fontId="30" fillId="0" borderId="50" xfId="0" applyNumberFormat="1" applyFont="1" applyBorder="1" applyAlignment="1">
      <alignment horizontal="center" vertical="center"/>
    </xf>
    <xf numFmtId="2" fontId="30" fillId="0" borderId="98" xfId="0" applyNumberFormat="1" applyFont="1" applyBorder="1" applyAlignment="1">
      <alignment horizontal="center" vertical="center"/>
    </xf>
    <xf numFmtId="2" fontId="30" fillId="0" borderId="57" xfId="0" applyNumberFormat="1" applyFont="1" applyBorder="1" applyAlignment="1">
      <alignment horizontal="center" vertical="center"/>
    </xf>
    <xf numFmtId="2" fontId="30" fillId="0" borderId="21" xfId="0" applyNumberFormat="1" applyFont="1" applyBorder="1" applyAlignment="1">
      <alignment horizontal="center" vertical="center"/>
    </xf>
    <xf numFmtId="2" fontId="30" fillId="0" borderId="29" xfId="0" applyNumberFormat="1" applyFont="1" applyBorder="1" applyAlignment="1">
      <alignment horizontal="center" vertical="center"/>
    </xf>
    <xf numFmtId="2" fontId="30" fillId="0" borderId="99" xfId="0" applyNumberFormat="1" applyFont="1" applyBorder="1" applyAlignment="1">
      <alignment horizontal="center" vertical="center"/>
    </xf>
    <xf numFmtId="168" fontId="2" fillId="0" borderId="10" xfId="1" applyNumberFormat="1" applyFont="1" applyBorder="1" applyAlignment="1">
      <alignment horizontal="center"/>
    </xf>
    <xf numFmtId="168" fontId="2" fillId="0" borderId="16" xfId="1" applyNumberFormat="1" applyFont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167" fontId="2" fillId="0" borderId="82" xfId="1" applyNumberFormat="1" applyFont="1" applyBorder="1" applyAlignment="1">
      <alignment horizontal="center" vertical="center"/>
    </xf>
    <xf numFmtId="167" fontId="2" fillId="0" borderId="83" xfId="1" applyNumberFormat="1" applyFont="1" applyBorder="1" applyAlignment="1">
      <alignment horizontal="center" vertical="center"/>
    </xf>
    <xf numFmtId="2" fontId="2" fillId="0" borderId="82" xfId="1" applyNumberFormat="1" applyFont="1" applyBorder="1" applyAlignment="1">
      <alignment horizontal="center" vertical="center"/>
    </xf>
    <xf numFmtId="2" fontId="2" fillId="0" borderId="83" xfId="1" applyNumberFormat="1" applyFont="1" applyBorder="1" applyAlignment="1">
      <alignment horizontal="center" vertical="center"/>
    </xf>
    <xf numFmtId="168" fontId="2" fillId="0" borderId="10" xfId="1" applyNumberFormat="1" applyFont="1" applyBorder="1" applyAlignment="1">
      <alignment horizontal="center"/>
    </xf>
    <xf numFmtId="168" fontId="2" fillId="0" borderId="27" xfId="1" applyNumberFormat="1" applyFont="1" applyBorder="1" applyAlignment="1">
      <alignment horizontal="center"/>
    </xf>
    <xf numFmtId="2" fontId="1" fillId="0" borderId="51" xfId="1" applyNumberFormat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168" fontId="2" fillId="0" borderId="10" xfId="1" applyNumberFormat="1" applyFont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168" fontId="2" fillId="0" borderId="10" xfId="1" applyNumberFormat="1" applyFont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2" fontId="1" fillId="27" borderId="31" xfId="558" applyNumberFormat="1" applyFill="1" applyBorder="1" applyAlignment="1">
      <alignment horizontal="center" vertical="center"/>
    </xf>
    <xf numFmtId="2" fontId="2" fillId="27" borderId="17" xfId="558" applyNumberFormat="1" applyFont="1" applyFill="1" applyBorder="1" applyAlignment="1">
      <alignment horizontal="center" vertical="center"/>
    </xf>
    <xf numFmtId="2" fontId="1" fillId="0" borderId="31" xfId="558" applyNumberFormat="1" applyFill="1" applyBorder="1" applyAlignment="1">
      <alignment horizontal="center" vertical="center"/>
    </xf>
    <xf numFmtId="2" fontId="30" fillId="27" borderId="26" xfId="1" applyNumberFormat="1" applyFont="1" applyFill="1" applyBorder="1" applyAlignment="1">
      <alignment horizontal="center"/>
    </xf>
    <xf numFmtId="2" fontId="0" fillId="0" borderId="0" xfId="1" applyNumberFormat="1" applyFont="1"/>
    <xf numFmtId="168" fontId="2" fillId="0" borderId="10" xfId="1" applyNumberFormat="1" applyFont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1" fontId="2" fillId="27" borderId="33" xfId="1" applyNumberFormat="1" applyFont="1" applyFill="1" applyBorder="1" applyAlignment="1">
      <alignment horizontal="center"/>
    </xf>
    <xf numFmtId="0" fontId="2" fillId="0" borderId="0" xfId="0" applyFont="1"/>
    <xf numFmtId="17" fontId="2" fillId="0" borderId="0" xfId="0" applyNumberFormat="1" applyFont="1"/>
    <xf numFmtId="0" fontId="2" fillId="0" borderId="17" xfId="0" applyFont="1" applyBorder="1"/>
    <xf numFmtId="0" fontId="0" fillId="0" borderId="17" xfId="0" applyBorder="1" applyAlignment="1">
      <alignment horizontal="right"/>
    </xf>
    <xf numFmtId="0" fontId="2" fillId="0" borderId="17" xfId="0" applyFont="1" applyBorder="1" applyAlignment="1">
      <alignment horizontal="left"/>
    </xf>
    <xf numFmtId="2" fontId="0" fillId="0" borderId="17" xfId="0" applyNumberFormat="1" applyBorder="1"/>
    <xf numFmtId="168" fontId="0" fillId="0" borderId="17" xfId="0" applyNumberFormat="1" applyBorder="1"/>
    <xf numFmtId="17" fontId="2" fillId="0" borderId="17" xfId="0" applyNumberFormat="1" applyFont="1" applyBorder="1"/>
    <xf numFmtId="0" fontId="2" fillId="0" borderId="17" xfId="0" applyFont="1" applyFill="1" applyBorder="1"/>
    <xf numFmtId="2" fontId="2" fillId="0" borderId="17" xfId="0" applyNumberFormat="1" applyFont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29" fillId="0" borderId="35" xfId="0" applyFont="1" applyBorder="1" applyAlignment="1">
      <alignment horizontal="center"/>
    </xf>
    <xf numFmtId="0" fontId="29" fillId="0" borderId="70" xfId="0" applyFont="1" applyBorder="1" applyAlignment="1">
      <alignment horizontal="center"/>
    </xf>
    <xf numFmtId="0" fontId="29" fillId="0" borderId="71" xfId="0" applyFont="1" applyBorder="1" applyAlignment="1">
      <alignment horizontal="center"/>
    </xf>
    <xf numFmtId="0" fontId="30" fillId="0" borderId="31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/>
    </xf>
    <xf numFmtId="0" fontId="6" fillId="28" borderId="8" xfId="0" applyFont="1" applyFill="1" applyBorder="1" applyAlignment="1">
      <alignment horizontal="center" vertical="center"/>
    </xf>
    <xf numFmtId="0" fontId="6" fillId="28" borderId="73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6" fillId="29" borderId="8" xfId="0" applyFont="1" applyFill="1" applyBorder="1" applyAlignment="1">
      <alignment horizontal="center" vertical="center"/>
    </xf>
    <xf numFmtId="0" fontId="6" fillId="29" borderId="73" xfId="0" applyFont="1" applyFill="1" applyBorder="1" applyAlignment="1">
      <alignment horizontal="center" vertical="center"/>
    </xf>
    <xf numFmtId="17" fontId="0" fillId="0" borderId="1" xfId="1" applyNumberFormat="1" applyFont="1" applyBorder="1" applyAlignment="1">
      <alignment horizontal="center" vertical="center"/>
    </xf>
    <xf numFmtId="17" fontId="0" fillId="0" borderId="13" xfId="1" applyNumberFormat="1" applyFont="1" applyBorder="1" applyAlignment="1">
      <alignment horizontal="center" vertical="center"/>
    </xf>
    <xf numFmtId="17" fontId="0" fillId="0" borderId="19" xfId="1" applyNumberFormat="1" applyFont="1" applyBorder="1" applyAlignment="1">
      <alignment horizontal="center" vertical="center"/>
    </xf>
    <xf numFmtId="2" fontId="1" fillId="0" borderId="51" xfId="1" applyNumberFormat="1" applyBorder="1" applyAlignment="1">
      <alignment horizontal="center"/>
    </xf>
    <xf numFmtId="2" fontId="2" fillId="0" borderId="10" xfId="1" applyNumberFormat="1" applyFont="1" applyBorder="1" applyAlignment="1">
      <alignment horizontal="center" vertical="center"/>
    </xf>
    <xf numFmtId="2" fontId="2" fillId="0" borderId="16" xfId="1" applyNumberFormat="1" applyFont="1" applyBorder="1" applyAlignment="1">
      <alignment horizontal="center" vertical="center"/>
    </xf>
    <xf numFmtId="2" fontId="2" fillId="0" borderId="24" xfId="1" applyNumberFormat="1" applyFont="1" applyBorder="1" applyAlignment="1">
      <alignment horizontal="center" vertical="center"/>
    </xf>
    <xf numFmtId="2" fontId="2" fillId="0" borderId="9" xfId="1" applyNumberFormat="1" applyFont="1" applyBorder="1" applyAlignment="1">
      <alignment horizontal="center" vertical="center"/>
    </xf>
    <xf numFmtId="2" fontId="2" fillId="0" borderId="17" xfId="1" applyNumberFormat="1" applyFont="1" applyBorder="1" applyAlignment="1">
      <alignment horizontal="center" vertical="center"/>
    </xf>
    <xf numFmtId="2" fontId="2" fillId="0" borderId="15" xfId="1" applyNumberFormat="1" applyFont="1" applyBorder="1" applyAlignment="1">
      <alignment horizontal="center" vertical="center"/>
    </xf>
    <xf numFmtId="168" fontId="2" fillId="0" borderId="10" xfId="1" applyNumberFormat="1" applyFont="1" applyBorder="1" applyAlignment="1">
      <alignment horizontal="center"/>
    </xf>
    <xf numFmtId="168" fontId="2" fillId="0" borderId="27" xfId="1" applyNumberFormat="1" applyFont="1" applyBorder="1" applyAlignment="1">
      <alignment horizontal="center"/>
    </xf>
    <xf numFmtId="168" fontId="2" fillId="0" borderId="16" xfId="1" applyNumberFormat="1" applyFont="1" applyBorder="1" applyAlignment="1">
      <alignment horizontal="center"/>
    </xf>
    <xf numFmtId="168" fontId="2" fillId="0" borderId="31" xfId="1" applyNumberFormat="1" applyFont="1" applyBorder="1" applyAlignment="1">
      <alignment horizontal="center"/>
    </xf>
    <xf numFmtId="2" fontId="2" fillId="0" borderId="24" xfId="1" applyNumberFormat="1" applyFont="1" applyBorder="1" applyAlignment="1">
      <alignment horizontal="center"/>
    </xf>
    <xf numFmtId="2" fontId="2" fillId="0" borderId="33" xfId="1" applyNumberFormat="1" applyFont="1" applyBorder="1" applyAlignment="1">
      <alignment horizontal="center"/>
    </xf>
    <xf numFmtId="2" fontId="2" fillId="0" borderId="22" xfId="1" applyNumberFormat="1" applyFont="1" applyBorder="1" applyAlignment="1">
      <alignment horizontal="center"/>
    </xf>
    <xf numFmtId="2" fontId="2" fillId="0" borderId="92" xfId="1" applyNumberFormat="1" applyFont="1" applyBorder="1" applyAlignment="1">
      <alignment horizontal="center"/>
    </xf>
    <xf numFmtId="167" fontId="2" fillId="0" borderId="82" xfId="1" applyNumberFormat="1" applyFont="1" applyBorder="1" applyAlignment="1">
      <alignment horizontal="center" vertical="center"/>
    </xf>
    <xf numFmtId="167" fontId="2" fillId="0" borderId="83" xfId="1" applyNumberFormat="1" applyFont="1" applyBorder="1" applyAlignment="1">
      <alignment horizontal="center" vertical="center"/>
    </xf>
    <xf numFmtId="2" fontId="2" fillId="0" borderId="16" xfId="558" applyNumberFormat="1" applyFont="1" applyBorder="1" applyAlignment="1">
      <alignment horizontal="center" vertical="center"/>
    </xf>
    <xf numFmtId="2" fontId="3" fillId="0" borderId="0" xfId="1" applyNumberFormat="1" applyFont="1" applyAlignment="1">
      <alignment horizontal="center"/>
    </xf>
    <xf numFmtId="2" fontId="29" fillId="0" borderId="0" xfId="1" applyNumberFormat="1" applyFont="1" applyBorder="1" applyAlignment="1">
      <alignment horizontal="center"/>
    </xf>
    <xf numFmtId="2" fontId="2" fillId="0" borderId="89" xfId="1" applyNumberFormat="1" applyFont="1" applyBorder="1" applyAlignment="1">
      <alignment horizontal="center" vertical="center"/>
    </xf>
    <xf numFmtId="2" fontId="2" fillId="0" borderId="81" xfId="558" applyNumberFormat="1" applyFont="1" applyBorder="1" applyAlignment="1">
      <alignment horizontal="center"/>
    </xf>
    <xf numFmtId="2" fontId="2" fillId="0" borderId="53" xfId="558" applyNumberFormat="1" applyFont="1" applyBorder="1" applyAlignment="1">
      <alignment horizontal="center"/>
    </xf>
    <xf numFmtId="2" fontId="2" fillId="0" borderId="16" xfId="558" applyNumberFormat="1" applyFont="1" applyBorder="1" applyAlignment="1">
      <alignment horizontal="center"/>
    </xf>
    <xf numFmtId="2" fontId="2" fillId="0" borderId="17" xfId="558" applyNumberFormat="1" applyFont="1" applyBorder="1" applyAlignment="1">
      <alignment horizontal="center"/>
    </xf>
    <xf numFmtId="2" fontId="1" fillId="27" borderId="51" xfId="1" applyNumberFormat="1" applyFill="1" applyBorder="1" applyAlignment="1">
      <alignment horizontal="center"/>
    </xf>
    <xf numFmtId="2" fontId="1" fillId="27" borderId="9" xfId="1" applyNumberFormat="1" applyFill="1" applyBorder="1" applyAlignment="1">
      <alignment horizontal="center"/>
    </xf>
    <xf numFmtId="2" fontId="1" fillId="0" borderId="9" xfId="1" applyNumberFormat="1" applyBorder="1" applyAlignment="1">
      <alignment horizontal="center"/>
    </xf>
    <xf numFmtId="2" fontId="41" fillId="0" borderId="2" xfId="0" applyNumberFormat="1" applyFont="1" applyBorder="1" applyAlignment="1">
      <alignment horizontal="center" vertical="center"/>
    </xf>
    <xf numFmtId="2" fontId="41" fillId="0" borderId="20" xfId="0" applyNumberFormat="1" applyFont="1" applyBorder="1" applyAlignment="1">
      <alignment horizontal="center" vertical="center"/>
    </xf>
    <xf numFmtId="2" fontId="41" fillId="0" borderId="29" xfId="0" applyNumberFormat="1" applyFont="1" applyBorder="1" applyAlignment="1">
      <alignment horizontal="center" vertical="center"/>
    </xf>
    <xf numFmtId="2" fontId="41" fillId="0" borderId="31" xfId="0" applyNumberFormat="1" applyFont="1" applyBorder="1" applyAlignment="1">
      <alignment horizontal="center" vertical="center"/>
    </xf>
    <xf numFmtId="2" fontId="41" fillId="0" borderId="72" xfId="0" applyNumberFormat="1" applyFont="1" applyBorder="1" applyAlignment="1">
      <alignment horizontal="center" vertical="center"/>
    </xf>
    <xf numFmtId="2" fontId="41" fillId="0" borderId="34" xfId="0" applyNumberFormat="1" applyFont="1" applyBorder="1" applyAlignment="1">
      <alignment horizontal="center" vertical="center"/>
    </xf>
    <xf numFmtId="2" fontId="41" fillId="0" borderId="86" xfId="0" applyNumberFormat="1" applyFont="1" applyBorder="1" applyAlignment="1">
      <alignment horizontal="center" vertical="center"/>
    </xf>
    <xf numFmtId="2" fontId="41" fillId="0" borderId="28" xfId="0" applyNumberFormat="1" applyFont="1" applyBorder="1" applyAlignment="1">
      <alignment horizontal="center" vertical="center"/>
    </xf>
    <xf numFmtId="2" fontId="41" fillId="0" borderId="54" xfId="0" applyNumberFormat="1" applyFont="1" applyBorder="1" applyAlignment="1">
      <alignment horizontal="center" vertical="center"/>
    </xf>
    <xf numFmtId="2" fontId="41" fillId="0" borderId="30" xfId="0" applyNumberFormat="1" applyFont="1" applyBorder="1" applyAlignment="1">
      <alignment horizontal="center" vertical="center"/>
    </xf>
    <xf numFmtId="2" fontId="38" fillId="0" borderId="17" xfId="0" applyNumberFormat="1" applyFont="1" applyBorder="1" applyAlignment="1">
      <alignment horizontal="center" vertical="center"/>
    </xf>
    <xf numFmtId="2" fontId="41" fillId="0" borderId="1" xfId="0" applyNumberFormat="1" applyFont="1" applyBorder="1" applyAlignment="1">
      <alignment horizontal="center"/>
    </xf>
    <xf numFmtId="2" fontId="41" fillId="0" borderId="8" xfId="0" applyNumberFormat="1" applyFont="1" applyBorder="1" applyAlignment="1">
      <alignment horizontal="center"/>
    </xf>
    <xf numFmtId="2" fontId="41" fillId="0" borderId="73" xfId="0" applyNumberFormat="1" applyFont="1" applyBorder="1" applyAlignment="1">
      <alignment horizontal="center"/>
    </xf>
    <xf numFmtId="2" fontId="41" fillId="0" borderId="82" xfId="0" applyNumberFormat="1" applyFont="1" applyBorder="1" applyAlignment="1">
      <alignment horizontal="center"/>
    </xf>
    <xf numFmtId="2" fontId="41" fillId="0" borderId="84" xfId="0" applyNumberFormat="1" applyFont="1" applyBorder="1" applyAlignment="1">
      <alignment horizontal="center"/>
    </xf>
    <xf numFmtId="2" fontId="41" fillId="0" borderId="83" xfId="0" applyNumberFormat="1" applyFont="1" applyBorder="1" applyAlignment="1">
      <alignment horizontal="center"/>
    </xf>
    <xf numFmtId="2" fontId="2" fillId="0" borderId="82" xfId="1" applyNumberFormat="1" applyFont="1" applyBorder="1" applyAlignment="1">
      <alignment horizontal="center" vertical="center"/>
    </xf>
    <xf numFmtId="2" fontId="2" fillId="0" borderId="83" xfId="1" applyNumberFormat="1" applyFont="1" applyBorder="1" applyAlignment="1">
      <alignment horizontal="center" vertical="center"/>
    </xf>
    <xf numFmtId="2" fontId="2" fillId="0" borderId="85" xfId="1" applyNumberFormat="1" applyFont="1" applyBorder="1" applyAlignment="1">
      <alignment horizontal="center" vertical="center"/>
    </xf>
    <xf numFmtId="2" fontId="2" fillId="0" borderId="16" xfId="1" applyNumberFormat="1" applyFont="1" applyBorder="1" applyAlignment="1">
      <alignment horizontal="center"/>
    </xf>
    <xf numFmtId="2" fontId="2" fillId="0" borderId="31" xfId="1" applyNumberFormat="1" applyFont="1" applyBorder="1" applyAlignment="1">
      <alignment horizontal="center"/>
    </xf>
    <xf numFmtId="164" fontId="36" fillId="0" borderId="35" xfId="1" applyFont="1" applyBorder="1" applyAlignment="1">
      <alignment horizontal="center"/>
    </xf>
    <xf numFmtId="164" fontId="36" fillId="0" borderId="71" xfId="1" applyFont="1" applyBorder="1" applyAlignment="1">
      <alignment horizontal="center"/>
    </xf>
    <xf numFmtId="164" fontId="29" fillId="0" borderId="35" xfId="1" applyFont="1" applyBorder="1" applyAlignment="1">
      <alignment horizontal="left"/>
    </xf>
    <xf numFmtId="164" fontId="29" fillId="0" borderId="70" xfId="1" applyFont="1" applyBorder="1" applyAlignment="1">
      <alignment horizontal="left"/>
    </xf>
    <xf numFmtId="164" fontId="29" fillId="0" borderId="71" xfId="1" applyFont="1" applyBorder="1" applyAlignment="1">
      <alignment horizontal="left"/>
    </xf>
    <xf numFmtId="164" fontId="35" fillId="0" borderId="22" xfId="487" applyFont="1" applyBorder="1" applyAlignment="1">
      <alignment horizontal="center" vertical="center" wrapText="1"/>
    </xf>
    <xf numFmtId="164" fontId="35" fillId="0" borderId="68" xfId="487" applyFont="1" applyBorder="1" applyAlignment="1">
      <alignment horizontal="center" vertical="center" wrapText="1"/>
    </xf>
    <xf numFmtId="164" fontId="35" fillId="0" borderId="23" xfId="487" applyFont="1" applyBorder="1" applyAlignment="1">
      <alignment horizontal="center" vertical="center" wrapText="1"/>
    </xf>
    <xf numFmtId="164" fontId="35" fillId="0" borderId="35" xfId="487" applyFont="1" applyBorder="1" applyAlignment="1">
      <alignment horizontal="center" vertical="center" wrapText="1"/>
    </xf>
    <xf numFmtId="164" fontId="35" fillId="0" borderId="70" xfId="487" applyFont="1" applyBorder="1" applyAlignment="1">
      <alignment horizontal="center" vertical="center" wrapText="1"/>
    </xf>
    <xf numFmtId="164" fontId="35" fillId="0" borderId="71" xfId="487" applyFont="1" applyBorder="1" applyAlignment="1">
      <alignment horizontal="center" vertical="center" wrapText="1"/>
    </xf>
    <xf numFmtId="164" fontId="36" fillId="0" borderId="1" xfId="1" applyFont="1" applyBorder="1" applyAlignment="1">
      <alignment horizontal="center"/>
    </xf>
    <xf numFmtId="164" fontId="36" fillId="0" borderId="73" xfId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16" xfId="1" applyNumberFormat="1" applyFont="1" applyBorder="1" applyAlignment="1">
      <alignment horizontal="center" vertical="center"/>
    </xf>
    <xf numFmtId="164" fontId="2" fillId="0" borderId="24" xfId="1" applyNumberFormat="1" applyFont="1" applyBorder="1" applyAlignment="1">
      <alignment horizontal="center" vertical="center"/>
    </xf>
    <xf numFmtId="164" fontId="29" fillId="0" borderId="0" xfId="1" applyNumberFormat="1" applyFont="1" applyBorder="1" applyAlignment="1">
      <alignment horizontal="center"/>
    </xf>
    <xf numFmtId="17" fontId="2" fillId="0" borderId="82" xfId="1" applyNumberFormat="1" applyFont="1" applyBorder="1" applyAlignment="1">
      <alignment horizontal="center" vertical="center"/>
    </xf>
    <xf numFmtId="17" fontId="2" fillId="0" borderId="83" xfId="1" applyNumberFormat="1" applyFont="1" applyBorder="1" applyAlignment="1">
      <alignment horizontal="center" vertical="center"/>
    </xf>
    <xf numFmtId="17" fontId="2" fillId="0" borderId="84" xfId="1" applyNumberFormat="1" applyFont="1" applyBorder="1" applyAlignment="1">
      <alignment horizontal="center" vertical="center"/>
    </xf>
    <xf numFmtId="164" fontId="2" fillId="0" borderId="85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/>
    </xf>
    <xf numFmtId="164" fontId="2" fillId="0" borderId="27" xfId="1" applyNumberFormat="1" applyFont="1" applyBorder="1" applyAlignment="1">
      <alignment horizontal="center"/>
    </xf>
    <xf numFmtId="164" fontId="2" fillId="0" borderId="16" xfId="1" applyNumberFormat="1" applyFont="1" applyBorder="1" applyAlignment="1">
      <alignment horizontal="center"/>
    </xf>
    <xf numFmtId="164" fontId="2" fillId="0" borderId="31" xfId="1" applyNumberFormat="1" applyFont="1" applyBorder="1" applyAlignment="1">
      <alignment horizontal="center"/>
    </xf>
    <xf numFmtId="164" fontId="2" fillId="0" borderId="24" xfId="1" applyNumberFormat="1" applyFont="1" applyBorder="1" applyAlignment="1">
      <alignment horizontal="center"/>
    </xf>
    <xf numFmtId="164" fontId="2" fillId="0" borderId="33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17" xfId="1" applyNumberFormat="1" applyFont="1" applyBorder="1" applyAlignment="1">
      <alignment horizontal="center" vertical="center"/>
    </xf>
    <xf numFmtId="164" fontId="2" fillId="0" borderId="15" xfId="1" applyNumberFormat="1" applyFont="1" applyBorder="1" applyAlignment="1">
      <alignment horizontal="center" vertical="center"/>
    </xf>
    <xf numFmtId="2" fontId="6" fillId="0" borderId="8" xfId="1" applyNumberFormat="1" applyFont="1" applyBorder="1" applyAlignment="1">
      <alignment horizontal="center" vertical="center"/>
    </xf>
    <xf numFmtId="2" fontId="6" fillId="0" borderId="0" xfId="1" applyNumberFormat="1" applyFont="1" applyBorder="1" applyAlignment="1">
      <alignment horizontal="center" vertical="center"/>
    </xf>
    <xf numFmtId="2" fontId="6" fillId="0" borderId="21" xfId="1" applyNumberFormat="1" applyFont="1" applyBorder="1" applyAlignment="1">
      <alignment horizontal="center" vertical="center"/>
    </xf>
    <xf numFmtId="17" fontId="0" fillId="0" borderId="46" xfId="1" applyNumberFormat="1" applyFont="1" applyBorder="1" applyAlignment="1">
      <alignment horizontal="center" vertical="center"/>
    </xf>
    <xf numFmtId="17" fontId="0" fillId="0" borderId="48" xfId="1" applyNumberFormat="1" applyFont="1" applyBorder="1" applyAlignment="1">
      <alignment horizontal="center" vertical="center"/>
    </xf>
    <xf numFmtId="17" fontId="0" fillId="0" borderId="50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6" fillId="0" borderId="13" xfId="1" applyNumberFormat="1" applyFont="1" applyBorder="1" applyAlignment="1">
      <alignment horizontal="center" vertical="center"/>
    </xf>
    <xf numFmtId="2" fontId="6" fillId="0" borderId="19" xfId="1" applyNumberFormat="1" applyFont="1" applyBorder="1" applyAlignment="1">
      <alignment horizontal="center" vertical="center"/>
    </xf>
    <xf numFmtId="17" fontId="0" fillId="0" borderId="2" xfId="1" applyNumberFormat="1" applyFont="1" applyBorder="1" applyAlignment="1">
      <alignment horizontal="center" vertical="center"/>
    </xf>
    <xf numFmtId="17" fontId="0" fillId="0" borderId="20" xfId="1" applyNumberFormat="1" applyFont="1" applyBorder="1" applyAlignment="1">
      <alignment horizontal="center" vertical="center"/>
    </xf>
    <xf numFmtId="17" fontId="0" fillId="0" borderId="29" xfId="1" applyNumberFormat="1" applyFont="1" applyBorder="1" applyAlignment="1">
      <alignment horizontal="center" vertical="center"/>
    </xf>
    <xf numFmtId="17" fontId="0" fillId="0" borderId="2" xfId="1" applyNumberFormat="1" applyFont="1" applyBorder="1" applyAlignment="1">
      <alignment horizontal="center" vertical="center" wrapText="1"/>
    </xf>
    <xf numFmtId="17" fontId="0" fillId="0" borderId="20" xfId="1" applyNumberFormat="1" applyFont="1" applyBorder="1" applyAlignment="1">
      <alignment horizontal="center" vertical="center" wrapText="1"/>
    </xf>
    <xf numFmtId="17" fontId="0" fillId="0" borderId="29" xfId="1" applyNumberFormat="1" applyFont="1" applyBorder="1" applyAlignment="1">
      <alignment horizontal="center" vertical="center" wrapText="1"/>
    </xf>
    <xf numFmtId="2" fontId="0" fillId="0" borderId="46" xfId="1" quotePrefix="1" applyNumberFormat="1" applyFont="1" applyBorder="1" applyAlignment="1">
      <alignment horizontal="center" vertical="center" wrapText="1"/>
    </xf>
    <xf numFmtId="2" fontId="0" fillId="0" borderId="48" xfId="1" quotePrefix="1" applyNumberFormat="1" applyFont="1" applyBorder="1" applyAlignment="1">
      <alignment horizontal="center" vertical="center" wrapText="1"/>
    </xf>
    <xf numFmtId="2" fontId="0" fillId="0" borderId="50" xfId="1" quotePrefix="1" applyNumberFormat="1" applyFont="1" applyBorder="1" applyAlignment="1">
      <alignment horizontal="center" vertical="center" wrapText="1"/>
    </xf>
    <xf numFmtId="2" fontId="0" fillId="0" borderId="46" xfId="1" applyNumberFormat="1" applyFont="1" applyBorder="1" applyAlignment="1">
      <alignment horizontal="center" vertical="center" wrapText="1"/>
    </xf>
    <xf numFmtId="2" fontId="0" fillId="0" borderId="48" xfId="1" applyNumberFormat="1" applyFont="1" applyBorder="1" applyAlignment="1">
      <alignment horizontal="center" vertical="center" wrapText="1"/>
    </xf>
    <xf numFmtId="2" fontId="0" fillId="0" borderId="50" xfId="1" applyNumberFormat="1" applyFont="1" applyBorder="1" applyAlignment="1">
      <alignment horizontal="center" vertical="center" wrapText="1"/>
    </xf>
    <xf numFmtId="2" fontId="2" fillId="0" borderId="7" xfId="558" applyNumberFormat="1" applyFont="1" applyBorder="1" applyAlignment="1">
      <alignment horizontal="center" vertical="center"/>
    </xf>
    <xf numFmtId="2" fontId="2" fillId="0" borderId="32" xfId="558" applyNumberFormat="1" applyFont="1" applyBorder="1" applyAlignment="1">
      <alignment horizontal="center" vertical="center"/>
    </xf>
    <xf numFmtId="2" fontId="2" fillId="0" borderId="14" xfId="558" applyNumberFormat="1" applyFont="1" applyBorder="1" applyAlignment="1">
      <alignment horizontal="center" vertical="center"/>
    </xf>
    <xf numFmtId="2" fontId="2" fillId="0" borderId="10" xfId="558" applyNumberFormat="1" applyFont="1" applyBorder="1" applyAlignment="1">
      <alignment horizontal="center"/>
    </xf>
    <xf numFmtId="2" fontId="2" fillId="0" borderId="11" xfId="558" applyNumberFormat="1" applyFont="1" applyBorder="1" applyAlignment="1">
      <alignment horizontal="center"/>
    </xf>
    <xf numFmtId="2" fontId="2" fillId="0" borderId="27" xfId="558" applyNumberFormat="1" applyFont="1" applyBorder="1" applyAlignment="1">
      <alignment horizontal="center"/>
    </xf>
    <xf numFmtId="2" fontId="2" fillId="0" borderId="12" xfId="558" applyNumberFormat="1" applyFont="1" applyBorder="1" applyAlignment="1">
      <alignment horizontal="center"/>
    </xf>
    <xf numFmtId="2" fontId="2" fillId="0" borderId="18" xfId="558" applyNumberFormat="1" applyFont="1" applyBorder="1" applyAlignment="1">
      <alignment horizontal="center"/>
    </xf>
    <xf numFmtId="2" fontId="2" fillId="0" borderId="24" xfId="558" applyNumberFormat="1" applyFont="1" applyBorder="1" applyAlignment="1">
      <alignment horizontal="center"/>
    </xf>
    <xf numFmtId="2" fontId="2" fillId="0" borderId="26" xfId="558" applyNumberFormat="1" applyFont="1" applyBorder="1" applyAlignment="1">
      <alignment horizontal="center"/>
    </xf>
  </cellXfs>
  <cellStyles count="1146">
    <cellStyle name="20% - Accent1 10" xfId="2"/>
    <cellStyle name="20% - Accent1 10 2" xfId="562"/>
    <cellStyle name="20% - Accent1 11" xfId="3"/>
    <cellStyle name="20% - Accent1 11 2" xfId="563"/>
    <cellStyle name="20% - Accent1 12" xfId="4"/>
    <cellStyle name="20% - Accent1 12 2" xfId="564"/>
    <cellStyle name="20% - Accent1 13" xfId="5"/>
    <cellStyle name="20% - Accent1 13 2" xfId="561"/>
    <cellStyle name="20% - Accent1 2" xfId="6"/>
    <cellStyle name="20% - Accent1 2 2" xfId="565"/>
    <cellStyle name="20% - Accent1 3" xfId="7"/>
    <cellStyle name="20% - Accent1 3 2" xfId="566"/>
    <cellStyle name="20% - Accent1 4" xfId="8"/>
    <cellStyle name="20% - Accent1 4 2" xfId="567"/>
    <cellStyle name="20% - Accent1 5" xfId="9"/>
    <cellStyle name="20% - Accent1 5 2" xfId="568"/>
    <cellStyle name="20% - Accent1 6" xfId="10"/>
    <cellStyle name="20% - Accent1 6 2" xfId="569"/>
    <cellStyle name="20% - Accent1 7" xfId="11"/>
    <cellStyle name="20% - Accent1 7 2" xfId="570"/>
    <cellStyle name="20% - Accent1 8" xfId="12"/>
    <cellStyle name="20% - Accent1 8 2" xfId="571"/>
    <cellStyle name="20% - Accent1 9" xfId="13"/>
    <cellStyle name="20% - Accent1 9 2" xfId="572"/>
    <cellStyle name="20% - Accent2 10" xfId="14"/>
    <cellStyle name="20% - Accent2 10 2" xfId="574"/>
    <cellStyle name="20% - Accent2 11" xfId="15"/>
    <cellStyle name="20% - Accent2 11 2" xfId="575"/>
    <cellStyle name="20% - Accent2 12" xfId="16"/>
    <cellStyle name="20% - Accent2 12 2" xfId="576"/>
    <cellStyle name="20% - Accent2 13" xfId="17"/>
    <cellStyle name="20% - Accent2 13 2" xfId="573"/>
    <cellStyle name="20% - Accent2 2" xfId="18"/>
    <cellStyle name="20% - Accent2 2 2" xfId="577"/>
    <cellStyle name="20% - Accent2 3" xfId="19"/>
    <cellStyle name="20% - Accent2 3 2" xfId="578"/>
    <cellStyle name="20% - Accent2 4" xfId="20"/>
    <cellStyle name="20% - Accent2 4 2" xfId="579"/>
    <cellStyle name="20% - Accent2 5" xfId="21"/>
    <cellStyle name="20% - Accent2 5 2" xfId="580"/>
    <cellStyle name="20% - Accent2 6" xfId="22"/>
    <cellStyle name="20% - Accent2 6 2" xfId="581"/>
    <cellStyle name="20% - Accent2 7" xfId="23"/>
    <cellStyle name="20% - Accent2 7 2" xfId="582"/>
    <cellStyle name="20% - Accent2 8" xfId="24"/>
    <cellStyle name="20% - Accent2 8 2" xfId="583"/>
    <cellStyle name="20% - Accent2 9" xfId="25"/>
    <cellStyle name="20% - Accent2 9 2" xfId="584"/>
    <cellStyle name="20% - Accent3 10" xfId="26"/>
    <cellStyle name="20% - Accent3 10 2" xfId="586"/>
    <cellStyle name="20% - Accent3 11" xfId="27"/>
    <cellStyle name="20% - Accent3 11 2" xfId="587"/>
    <cellStyle name="20% - Accent3 12" xfId="28"/>
    <cellStyle name="20% - Accent3 12 2" xfId="588"/>
    <cellStyle name="20% - Accent3 13" xfId="29"/>
    <cellStyle name="20% - Accent3 13 2" xfId="585"/>
    <cellStyle name="20% - Accent3 2" xfId="30"/>
    <cellStyle name="20% - Accent3 2 2" xfId="589"/>
    <cellStyle name="20% - Accent3 3" xfId="31"/>
    <cellStyle name="20% - Accent3 3 2" xfId="590"/>
    <cellStyle name="20% - Accent3 4" xfId="32"/>
    <cellStyle name="20% - Accent3 4 2" xfId="591"/>
    <cellStyle name="20% - Accent3 5" xfId="33"/>
    <cellStyle name="20% - Accent3 5 2" xfId="592"/>
    <cellStyle name="20% - Accent3 6" xfId="34"/>
    <cellStyle name="20% - Accent3 6 2" xfId="593"/>
    <cellStyle name="20% - Accent3 7" xfId="35"/>
    <cellStyle name="20% - Accent3 7 2" xfId="594"/>
    <cellStyle name="20% - Accent3 8" xfId="36"/>
    <cellStyle name="20% - Accent3 8 2" xfId="595"/>
    <cellStyle name="20% - Accent3 9" xfId="37"/>
    <cellStyle name="20% - Accent3 9 2" xfId="596"/>
    <cellStyle name="20% - Accent4 10" xfId="38"/>
    <cellStyle name="20% - Accent4 10 2" xfId="598"/>
    <cellStyle name="20% - Accent4 11" xfId="39"/>
    <cellStyle name="20% - Accent4 11 2" xfId="599"/>
    <cellStyle name="20% - Accent4 12" xfId="40"/>
    <cellStyle name="20% - Accent4 12 2" xfId="600"/>
    <cellStyle name="20% - Accent4 13" xfId="41"/>
    <cellStyle name="20% - Accent4 13 2" xfId="597"/>
    <cellStyle name="20% - Accent4 2" xfId="42"/>
    <cellStyle name="20% - Accent4 2 2" xfId="601"/>
    <cellStyle name="20% - Accent4 3" xfId="43"/>
    <cellStyle name="20% - Accent4 3 2" xfId="602"/>
    <cellStyle name="20% - Accent4 4" xfId="44"/>
    <cellStyle name="20% - Accent4 4 2" xfId="603"/>
    <cellStyle name="20% - Accent4 5" xfId="45"/>
    <cellStyle name="20% - Accent4 5 2" xfId="604"/>
    <cellStyle name="20% - Accent4 6" xfId="46"/>
    <cellStyle name="20% - Accent4 6 2" xfId="605"/>
    <cellStyle name="20% - Accent4 7" xfId="47"/>
    <cellStyle name="20% - Accent4 7 2" xfId="606"/>
    <cellStyle name="20% - Accent4 8" xfId="48"/>
    <cellStyle name="20% - Accent4 8 2" xfId="607"/>
    <cellStyle name="20% - Accent4 9" xfId="49"/>
    <cellStyle name="20% - Accent4 9 2" xfId="608"/>
    <cellStyle name="20% - Accent5 10" xfId="50"/>
    <cellStyle name="20% - Accent5 10 2" xfId="610"/>
    <cellStyle name="20% - Accent5 11" xfId="51"/>
    <cellStyle name="20% - Accent5 11 2" xfId="611"/>
    <cellStyle name="20% - Accent5 12" xfId="52"/>
    <cellStyle name="20% - Accent5 12 2" xfId="612"/>
    <cellStyle name="20% - Accent5 13" xfId="53"/>
    <cellStyle name="20% - Accent5 13 2" xfId="609"/>
    <cellStyle name="20% - Accent5 2" xfId="54"/>
    <cellStyle name="20% - Accent5 2 2" xfId="613"/>
    <cellStyle name="20% - Accent5 3" xfId="55"/>
    <cellStyle name="20% - Accent5 3 2" xfId="614"/>
    <cellStyle name="20% - Accent5 4" xfId="56"/>
    <cellStyle name="20% - Accent5 4 2" xfId="615"/>
    <cellStyle name="20% - Accent5 5" xfId="57"/>
    <cellStyle name="20% - Accent5 5 2" xfId="616"/>
    <cellStyle name="20% - Accent5 6" xfId="58"/>
    <cellStyle name="20% - Accent5 6 2" xfId="617"/>
    <cellStyle name="20% - Accent5 7" xfId="59"/>
    <cellStyle name="20% - Accent5 7 2" xfId="618"/>
    <cellStyle name="20% - Accent5 8" xfId="60"/>
    <cellStyle name="20% - Accent5 8 2" xfId="619"/>
    <cellStyle name="20% - Accent5 9" xfId="61"/>
    <cellStyle name="20% - Accent5 9 2" xfId="620"/>
    <cellStyle name="20% - Accent6 10" xfId="62"/>
    <cellStyle name="20% - Accent6 10 2" xfId="622"/>
    <cellStyle name="20% - Accent6 11" xfId="63"/>
    <cellStyle name="20% - Accent6 11 2" xfId="623"/>
    <cellStyle name="20% - Accent6 12" xfId="64"/>
    <cellStyle name="20% - Accent6 12 2" xfId="624"/>
    <cellStyle name="20% - Accent6 13" xfId="65"/>
    <cellStyle name="20% - Accent6 13 2" xfId="621"/>
    <cellStyle name="20% - Accent6 2" xfId="66"/>
    <cellStyle name="20% - Accent6 2 2" xfId="625"/>
    <cellStyle name="20% - Accent6 3" xfId="67"/>
    <cellStyle name="20% - Accent6 3 2" xfId="626"/>
    <cellStyle name="20% - Accent6 4" xfId="68"/>
    <cellStyle name="20% - Accent6 4 2" xfId="627"/>
    <cellStyle name="20% - Accent6 5" xfId="69"/>
    <cellStyle name="20% - Accent6 5 2" xfId="628"/>
    <cellStyle name="20% - Accent6 6" xfId="70"/>
    <cellStyle name="20% - Accent6 6 2" xfId="629"/>
    <cellStyle name="20% - Accent6 7" xfId="71"/>
    <cellStyle name="20% - Accent6 7 2" xfId="630"/>
    <cellStyle name="20% - Accent6 8" xfId="72"/>
    <cellStyle name="20% - Accent6 8 2" xfId="631"/>
    <cellStyle name="20% - Accent6 9" xfId="73"/>
    <cellStyle name="20% - Accent6 9 2" xfId="632"/>
    <cellStyle name="40% - Accent1 10" xfId="74"/>
    <cellStyle name="40% - Accent1 10 2" xfId="634"/>
    <cellStyle name="40% - Accent1 11" xfId="75"/>
    <cellStyle name="40% - Accent1 11 2" xfId="635"/>
    <cellStyle name="40% - Accent1 12" xfId="76"/>
    <cellStyle name="40% - Accent1 12 2" xfId="636"/>
    <cellStyle name="40% - Accent1 13" xfId="77"/>
    <cellStyle name="40% - Accent1 13 2" xfId="633"/>
    <cellStyle name="40% - Accent1 2" xfId="78"/>
    <cellStyle name="40% - Accent1 2 2" xfId="637"/>
    <cellStyle name="40% - Accent1 3" xfId="79"/>
    <cellStyle name="40% - Accent1 3 2" xfId="638"/>
    <cellStyle name="40% - Accent1 4" xfId="80"/>
    <cellStyle name="40% - Accent1 4 2" xfId="639"/>
    <cellStyle name="40% - Accent1 5" xfId="81"/>
    <cellStyle name="40% - Accent1 5 2" xfId="640"/>
    <cellStyle name="40% - Accent1 6" xfId="82"/>
    <cellStyle name="40% - Accent1 6 2" xfId="641"/>
    <cellStyle name="40% - Accent1 7" xfId="83"/>
    <cellStyle name="40% - Accent1 7 2" xfId="642"/>
    <cellStyle name="40% - Accent1 8" xfId="84"/>
    <cellStyle name="40% - Accent1 8 2" xfId="643"/>
    <cellStyle name="40% - Accent1 9" xfId="85"/>
    <cellStyle name="40% - Accent1 9 2" xfId="644"/>
    <cellStyle name="40% - Accent2 10" xfId="86"/>
    <cellStyle name="40% - Accent2 10 2" xfId="646"/>
    <cellStyle name="40% - Accent2 11" xfId="87"/>
    <cellStyle name="40% - Accent2 11 2" xfId="647"/>
    <cellStyle name="40% - Accent2 12" xfId="88"/>
    <cellStyle name="40% - Accent2 12 2" xfId="648"/>
    <cellStyle name="40% - Accent2 13" xfId="89"/>
    <cellStyle name="40% - Accent2 13 2" xfId="645"/>
    <cellStyle name="40% - Accent2 2" xfId="90"/>
    <cellStyle name="40% - Accent2 2 2" xfId="649"/>
    <cellStyle name="40% - Accent2 3" xfId="91"/>
    <cellStyle name="40% - Accent2 3 2" xfId="650"/>
    <cellStyle name="40% - Accent2 4" xfId="92"/>
    <cellStyle name="40% - Accent2 4 2" xfId="651"/>
    <cellStyle name="40% - Accent2 5" xfId="93"/>
    <cellStyle name="40% - Accent2 5 2" xfId="652"/>
    <cellStyle name="40% - Accent2 6" xfId="94"/>
    <cellStyle name="40% - Accent2 6 2" xfId="653"/>
    <cellStyle name="40% - Accent2 7" xfId="95"/>
    <cellStyle name="40% - Accent2 7 2" xfId="654"/>
    <cellStyle name="40% - Accent2 8" xfId="96"/>
    <cellStyle name="40% - Accent2 8 2" xfId="655"/>
    <cellStyle name="40% - Accent2 9" xfId="97"/>
    <cellStyle name="40% - Accent2 9 2" xfId="656"/>
    <cellStyle name="40% - Accent3 10" xfId="98"/>
    <cellStyle name="40% - Accent3 10 2" xfId="658"/>
    <cellStyle name="40% - Accent3 11" xfId="99"/>
    <cellStyle name="40% - Accent3 11 2" xfId="659"/>
    <cellStyle name="40% - Accent3 12" xfId="100"/>
    <cellStyle name="40% - Accent3 12 2" xfId="660"/>
    <cellStyle name="40% - Accent3 13" xfId="101"/>
    <cellStyle name="40% - Accent3 13 2" xfId="657"/>
    <cellStyle name="40% - Accent3 2" xfId="102"/>
    <cellStyle name="40% - Accent3 2 2" xfId="661"/>
    <cellStyle name="40% - Accent3 3" xfId="103"/>
    <cellStyle name="40% - Accent3 3 2" xfId="662"/>
    <cellStyle name="40% - Accent3 4" xfId="104"/>
    <cellStyle name="40% - Accent3 4 2" xfId="663"/>
    <cellStyle name="40% - Accent3 5" xfId="105"/>
    <cellStyle name="40% - Accent3 5 2" xfId="664"/>
    <cellStyle name="40% - Accent3 6" xfId="106"/>
    <cellStyle name="40% - Accent3 6 2" xfId="665"/>
    <cellStyle name="40% - Accent3 7" xfId="107"/>
    <cellStyle name="40% - Accent3 7 2" xfId="666"/>
    <cellStyle name="40% - Accent3 8" xfId="108"/>
    <cellStyle name="40% - Accent3 8 2" xfId="667"/>
    <cellStyle name="40% - Accent3 9" xfId="109"/>
    <cellStyle name="40% - Accent3 9 2" xfId="668"/>
    <cellStyle name="40% - Accent4 10" xfId="110"/>
    <cellStyle name="40% - Accent4 10 2" xfId="670"/>
    <cellStyle name="40% - Accent4 11" xfId="111"/>
    <cellStyle name="40% - Accent4 11 2" xfId="671"/>
    <cellStyle name="40% - Accent4 12" xfId="112"/>
    <cellStyle name="40% - Accent4 12 2" xfId="672"/>
    <cellStyle name="40% - Accent4 13" xfId="113"/>
    <cellStyle name="40% - Accent4 13 2" xfId="669"/>
    <cellStyle name="40% - Accent4 2" xfId="114"/>
    <cellStyle name="40% - Accent4 2 2" xfId="673"/>
    <cellStyle name="40% - Accent4 3" xfId="115"/>
    <cellStyle name="40% - Accent4 3 2" xfId="674"/>
    <cellStyle name="40% - Accent4 4" xfId="116"/>
    <cellStyle name="40% - Accent4 4 2" xfId="675"/>
    <cellStyle name="40% - Accent4 5" xfId="117"/>
    <cellStyle name="40% - Accent4 5 2" xfId="676"/>
    <cellStyle name="40% - Accent4 6" xfId="118"/>
    <cellStyle name="40% - Accent4 6 2" xfId="677"/>
    <cellStyle name="40% - Accent4 7" xfId="119"/>
    <cellStyle name="40% - Accent4 7 2" xfId="678"/>
    <cellStyle name="40% - Accent4 8" xfId="120"/>
    <cellStyle name="40% - Accent4 8 2" xfId="679"/>
    <cellStyle name="40% - Accent4 9" xfId="121"/>
    <cellStyle name="40% - Accent4 9 2" xfId="680"/>
    <cellStyle name="40% - Accent5 10" xfId="122"/>
    <cellStyle name="40% - Accent5 10 2" xfId="682"/>
    <cellStyle name="40% - Accent5 11" xfId="123"/>
    <cellStyle name="40% - Accent5 11 2" xfId="683"/>
    <cellStyle name="40% - Accent5 12" xfId="124"/>
    <cellStyle name="40% - Accent5 12 2" xfId="684"/>
    <cellStyle name="40% - Accent5 13" xfId="125"/>
    <cellStyle name="40% - Accent5 13 2" xfId="681"/>
    <cellStyle name="40% - Accent5 2" xfId="126"/>
    <cellStyle name="40% - Accent5 2 2" xfId="685"/>
    <cellStyle name="40% - Accent5 3" xfId="127"/>
    <cellStyle name="40% - Accent5 3 2" xfId="686"/>
    <cellStyle name="40% - Accent5 4" xfId="128"/>
    <cellStyle name="40% - Accent5 4 2" xfId="687"/>
    <cellStyle name="40% - Accent5 5" xfId="129"/>
    <cellStyle name="40% - Accent5 5 2" xfId="688"/>
    <cellStyle name="40% - Accent5 6" xfId="130"/>
    <cellStyle name="40% - Accent5 6 2" xfId="689"/>
    <cellStyle name="40% - Accent5 7" xfId="131"/>
    <cellStyle name="40% - Accent5 7 2" xfId="690"/>
    <cellStyle name="40% - Accent5 8" xfId="132"/>
    <cellStyle name="40% - Accent5 8 2" xfId="691"/>
    <cellStyle name="40% - Accent5 9" xfId="133"/>
    <cellStyle name="40% - Accent5 9 2" xfId="692"/>
    <cellStyle name="40% - Accent6 10" xfId="134"/>
    <cellStyle name="40% - Accent6 10 2" xfId="694"/>
    <cellStyle name="40% - Accent6 11" xfId="135"/>
    <cellStyle name="40% - Accent6 11 2" xfId="695"/>
    <cellStyle name="40% - Accent6 12" xfId="136"/>
    <cellStyle name="40% - Accent6 12 2" xfId="696"/>
    <cellStyle name="40% - Accent6 13" xfId="137"/>
    <cellStyle name="40% - Accent6 13 2" xfId="693"/>
    <cellStyle name="40% - Accent6 2" xfId="138"/>
    <cellStyle name="40% - Accent6 2 2" xfId="697"/>
    <cellStyle name="40% - Accent6 3" xfId="139"/>
    <cellStyle name="40% - Accent6 3 2" xfId="698"/>
    <cellStyle name="40% - Accent6 4" xfId="140"/>
    <cellStyle name="40% - Accent6 4 2" xfId="699"/>
    <cellStyle name="40% - Accent6 5" xfId="141"/>
    <cellStyle name="40% - Accent6 5 2" xfId="700"/>
    <cellStyle name="40% - Accent6 6" xfId="142"/>
    <cellStyle name="40% - Accent6 6 2" xfId="701"/>
    <cellStyle name="40% - Accent6 7" xfId="143"/>
    <cellStyle name="40% - Accent6 7 2" xfId="702"/>
    <cellStyle name="40% - Accent6 8" xfId="144"/>
    <cellStyle name="40% - Accent6 8 2" xfId="703"/>
    <cellStyle name="40% - Accent6 9" xfId="145"/>
    <cellStyle name="40% - Accent6 9 2" xfId="704"/>
    <cellStyle name="60% - Accent1 10" xfId="146"/>
    <cellStyle name="60% - Accent1 10 2" xfId="706"/>
    <cellStyle name="60% - Accent1 11" xfId="147"/>
    <cellStyle name="60% - Accent1 11 2" xfId="707"/>
    <cellStyle name="60% - Accent1 12" xfId="148"/>
    <cellStyle name="60% - Accent1 12 2" xfId="708"/>
    <cellStyle name="60% - Accent1 13" xfId="149"/>
    <cellStyle name="60% - Accent1 13 2" xfId="705"/>
    <cellStyle name="60% - Accent1 2" xfId="150"/>
    <cellStyle name="60% - Accent1 2 2" xfId="709"/>
    <cellStyle name="60% - Accent1 3" xfId="151"/>
    <cellStyle name="60% - Accent1 3 2" xfId="710"/>
    <cellStyle name="60% - Accent1 4" xfId="152"/>
    <cellStyle name="60% - Accent1 4 2" xfId="711"/>
    <cellStyle name="60% - Accent1 5" xfId="153"/>
    <cellStyle name="60% - Accent1 5 2" xfId="712"/>
    <cellStyle name="60% - Accent1 6" xfId="154"/>
    <cellStyle name="60% - Accent1 6 2" xfId="713"/>
    <cellStyle name="60% - Accent1 7" xfId="155"/>
    <cellStyle name="60% - Accent1 7 2" xfId="714"/>
    <cellStyle name="60% - Accent1 8" xfId="156"/>
    <cellStyle name="60% - Accent1 8 2" xfId="715"/>
    <cellStyle name="60% - Accent1 9" xfId="157"/>
    <cellStyle name="60% - Accent1 9 2" xfId="716"/>
    <cellStyle name="60% - Accent2 10" xfId="158"/>
    <cellStyle name="60% - Accent2 10 2" xfId="718"/>
    <cellStyle name="60% - Accent2 11" xfId="159"/>
    <cellStyle name="60% - Accent2 11 2" xfId="719"/>
    <cellStyle name="60% - Accent2 12" xfId="160"/>
    <cellStyle name="60% - Accent2 12 2" xfId="720"/>
    <cellStyle name="60% - Accent2 13" xfId="161"/>
    <cellStyle name="60% - Accent2 13 2" xfId="717"/>
    <cellStyle name="60% - Accent2 2" xfId="162"/>
    <cellStyle name="60% - Accent2 2 2" xfId="721"/>
    <cellStyle name="60% - Accent2 3" xfId="163"/>
    <cellStyle name="60% - Accent2 3 2" xfId="722"/>
    <cellStyle name="60% - Accent2 4" xfId="164"/>
    <cellStyle name="60% - Accent2 4 2" xfId="723"/>
    <cellStyle name="60% - Accent2 5" xfId="165"/>
    <cellStyle name="60% - Accent2 5 2" xfId="724"/>
    <cellStyle name="60% - Accent2 6" xfId="166"/>
    <cellStyle name="60% - Accent2 6 2" xfId="725"/>
    <cellStyle name="60% - Accent2 7" xfId="167"/>
    <cellStyle name="60% - Accent2 7 2" xfId="726"/>
    <cellStyle name="60% - Accent2 8" xfId="168"/>
    <cellStyle name="60% - Accent2 8 2" xfId="727"/>
    <cellStyle name="60% - Accent2 9" xfId="169"/>
    <cellStyle name="60% - Accent2 9 2" xfId="728"/>
    <cellStyle name="60% - Accent3 10" xfId="170"/>
    <cellStyle name="60% - Accent3 10 2" xfId="730"/>
    <cellStyle name="60% - Accent3 11" xfId="171"/>
    <cellStyle name="60% - Accent3 11 2" xfId="731"/>
    <cellStyle name="60% - Accent3 12" xfId="172"/>
    <cellStyle name="60% - Accent3 12 2" xfId="732"/>
    <cellStyle name="60% - Accent3 13" xfId="173"/>
    <cellStyle name="60% - Accent3 13 2" xfId="729"/>
    <cellStyle name="60% - Accent3 2" xfId="174"/>
    <cellStyle name="60% - Accent3 2 2" xfId="733"/>
    <cellStyle name="60% - Accent3 3" xfId="175"/>
    <cellStyle name="60% - Accent3 3 2" xfId="734"/>
    <cellStyle name="60% - Accent3 4" xfId="176"/>
    <cellStyle name="60% - Accent3 4 2" xfId="735"/>
    <cellStyle name="60% - Accent3 5" xfId="177"/>
    <cellStyle name="60% - Accent3 5 2" xfId="736"/>
    <cellStyle name="60% - Accent3 6" xfId="178"/>
    <cellStyle name="60% - Accent3 6 2" xfId="737"/>
    <cellStyle name="60% - Accent3 7" xfId="179"/>
    <cellStyle name="60% - Accent3 7 2" xfId="738"/>
    <cellStyle name="60% - Accent3 8" xfId="180"/>
    <cellStyle name="60% - Accent3 8 2" xfId="739"/>
    <cellStyle name="60% - Accent3 9" xfId="181"/>
    <cellStyle name="60% - Accent3 9 2" xfId="740"/>
    <cellStyle name="60% - Accent4 10" xfId="182"/>
    <cellStyle name="60% - Accent4 10 2" xfId="742"/>
    <cellStyle name="60% - Accent4 11" xfId="183"/>
    <cellStyle name="60% - Accent4 11 2" xfId="743"/>
    <cellStyle name="60% - Accent4 12" xfId="184"/>
    <cellStyle name="60% - Accent4 12 2" xfId="744"/>
    <cellStyle name="60% - Accent4 13" xfId="185"/>
    <cellStyle name="60% - Accent4 13 2" xfId="741"/>
    <cellStyle name="60% - Accent4 2" xfId="186"/>
    <cellStyle name="60% - Accent4 2 2" xfId="745"/>
    <cellStyle name="60% - Accent4 3" xfId="187"/>
    <cellStyle name="60% - Accent4 3 2" xfId="746"/>
    <cellStyle name="60% - Accent4 4" xfId="188"/>
    <cellStyle name="60% - Accent4 4 2" xfId="747"/>
    <cellStyle name="60% - Accent4 5" xfId="189"/>
    <cellStyle name="60% - Accent4 5 2" xfId="748"/>
    <cellStyle name="60% - Accent4 6" xfId="190"/>
    <cellStyle name="60% - Accent4 6 2" xfId="749"/>
    <cellStyle name="60% - Accent4 7" xfId="191"/>
    <cellStyle name="60% - Accent4 7 2" xfId="750"/>
    <cellStyle name="60% - Accent4 8" xfId="192"/>
    <cellStyle name="60% - Accent4 8 2" xfId="751"/>
    <cellStyle name="60% - Accent4 9" xfId="193"/>
    <cellStyle name="60% - Accent4 9 2" xfId="752"/>
    <cellStyle name="60% - Accent5 10" xfId="194"/>
    <cellStyle name="60% - Accent5 10 2" xfId="754"/>
    <cellStyle name="60% - Accent5 11" xfId="195"/>
    <cellStyle name="60% - Accent5 11 2" xfId="755"/>
    <cellStyle name="60% - Accent5 12" xfId="196"/>
    <cellStyle name="60% - Accent5 12 2" xfId="756"/>
    <cellStyle name="60% - Accent5 13" xfId="197"/>
    <cellStyle name="60% - Accent5 13 2" xfId="753"/>
    <cellStyle name="60% - Accent5 2" xfId="198"/>
    <cellStyle name="60% - Accent5 2 2" xfId="757"/>
    <cellStyle name="60% - Accent5 3" xfId="199"/>
    <cellStyle name="60% - Accent5 3 2" xfId="758"/>
    <cellStyle name="60% - Accent5 4" xfId="200"/>
    <cellStyle name="60% - Accent5 4 2" xfId="759"/>
    <cellStyle name="60% - Accent5 5" xfId="201"/>
    <cellStyle name="60% - Accent5 5 2" xfId="760"/>
    <cellStyle name="60% - Accent5 6" xfId="202"/>
    <cellStyle name="60% - Accent5 6 2" xfId="761"/>
    <cellStyle name="60% - Accent5 7" xfId="203"/>
    <cellStyle name="60% - Accent5 7 2" xfId="762"/>
    <cellStyle name="60% - Accent5 8" xfId="204"/>
    <cellStyle name="60% - Accent5 8 2" xfId="763"/>
    <cellStyle name="60% - Accent5 9" xfId="205"/>
    <cellStyle name="60% - Accent5 9 2" xfId="764"/>
    <cellStyle name="60% - Accent6 10" xfId="206"/>
    <cellStyle name="60% - Accent6 10 2" xfId="766"/>
    <cellStyle name="60% - Accent6 11" xfId="207"/>
    <cellStyle name="60% - Accent6 11 2" xfId="767"/>
    <cellStyle name="60% - Accent6 12" xfId="208"/>
    <cellStyle name="60% - Accent6 12 2" xfId="768"/>
    <cellStyle name="60% - Accent6 13" xfId="209"/>
    <cellStyle name="60% - Accent6 13 2" xfId="765"/>
    <cellStyle name="60% - Accent6 2" xfId="210"/>
    <cellStyle name="60% - Accent6 2 2" xfId="769"/>
    <cellStyle name="60% - Accent6 3" xfId="211"/>
    <cellStyle name="60% - Accent6 3 2" xfId="770"/>
    <cellStyle name="60% - Accent6 4" xfId="212"/>
    <cellStyle name="60% - Accent6 4 2" xfId="771"/>
    <cellStyle name="60% - Accent6 5" xfId="213"/>
    <cellStyle name="60% - Accent6 5 2" xfId="772"/>
    <cellStyle name="60% - Accent6 6" xfId="214"/>
    <cellStyle name="60% - Accent6 6 2" xfId="773"/>
    <cellStyle name="60% - Accent6 7" xfId="215"/>
    <cellStyle name="60% - Accent6 7 2" xfId="774"/>
    <cellStyle name="60% - Accent6 8" xfId="216"/>
    <cellStyle name="60% - Accent6 8 2" xfId="775"/>
    <cellStyle name="60% - Accent6 9" xfId="217"/>
    <cellStyle name="60% - Accent6 9 2" xfId="776"/>
    <cellStyle name="Accent1 10" xfId="218"/>
    <cellStyle name="Accent1 10 2" xfId="778"/>
    <cellStyle name="Accent1 11" xfId="219"/>
    <cellStyle name="Accent1 11 2" xfId="779"/>
    <cellStyle name="Accent1 12" xfId="220"/>
    <cellStyle name="Accent1 12 2" xfId="780"/>
    <cellStyle name="Accent1 13" xfId="221"/>
    <cellStyle name="Accent1 13 2" xfId="777"/>
    <cellStyle name="Accent1 2" xfId="222"/>
    <cellStyle name="Accent1 2 2" xfId="781"/>
    <cellStyle name="Accent1 3" xfId="223"/>
    <cellStyle name="Accent1 3 2" xfId="782"/>
    <cellStyle name="Accent1 4" xfId="224"/>
    <cellStyle name="Accent1 4 2" xfId="783"/>
    <cellStyle name="Accent1 5" xfId="225"/>
    <cellStyle name="Accent1 5 2" xfId="784"/>
    <cellStyle name="Accent1 6" xfId="226"/>
    <cellStyle name="Accent1 6 2" xfId="785"/>
    <cellStyle name="Accent1 7" xfId="227"/>
    <cellStyle name="Accent1 7 2" xfId="786"/>
    <cellStyle name="Accent1 8" xfId="228"/>
    <cellStyle name="Accent1 8 2" xfId="787"/>
    <cellStyle name="Accent1 9" xfId="229"/>
    <cellStyle name="Accent1 9 2" xfId="788"/>
    <cellStyle name="Accent2 10" xfId="230"/>
    <cellStyle name="Accent2 10 2" xfId="790"/>
    <cellStyle name="Accent2 11" xfId="231"/>
    <cellStyle name="Accent2 11 2" xfId="791"/>
    <cellStyle name="Accent2 12" xfId="232"/>
    <cellStyle name="Accent2 12 2" xfId="792"/>
    <cellStyle name="Accent2 13" xfId="233"/>
    <cellStyle name="Accent2 13 2" xfId="789"/>
    <cellStyle name="Accent2 2" xfId="234"/>
    <cellStyle name="Accent2 2 2" xfId="793"/>
    <cellStyle name="Accent2 3" xfId="235"/>
    <cellStyle name="Accent2 3 2" xfId="794"/>
    <cellStyle name="Accent2 4" xfId="236"/>
    <cellStyle name="Accent2 4 2" xfId="795"/>
    <cellStyle name="Accent2 5" xfId="237"/>
    <cellStyle name="Accent2 5 2" xfId="796"/>
    <cellStyle name="Accent2 6" xfId="238"/>
    <cellStyle name="Accent2 6 2" xfId="797"/>
    <cellStyle name="Accent2 7" xfId="239"/>
    <cellStyle name="Accent2 7 2" xfId="798"/>
    <cellStyle name="Accent2 8" xfId="240"/>
    <cellStyle name="Accent2 8 2" xfId="799"/>
    <cellStyle name="Accent2 9" xfId="241"/>
    <cellStyle name="Accent2 9 2" xfId="800"/>
    <cellStyle name="Accent3 10" xfId="242"/>
    <cellStyle name="Accent3 10 2" xfId="802"/>
    <cellStyle name="Accent3 11" xfId="243"/>
    <cellStyle name="Accent3 11 2" xfId="803"/>
    <cellStyle name="Accent3 12" xfId="244"/>
    <cellStyle name="Accent3 12 2" xfId="804"/>
    <cellStyle name="Accent3 13" xfId="245"/>
    <cellStyle name="Accent3 13 2" xfId="801"/>
    <cellStyle name="Accent3 2" xfId="246"/>
    <cellStyle name="Accent3 2 2" xfId="805"/>
    <cellStyle name="Accent3 3" xfId="247"/>
    <cellStyle name="Accent3 3 2" xfId="806"/>
    <cellStyle name="Accent3 4" xfId="248"/>
    <cellStyle name="Accent3 4 2" xfId="807"/>
    <cellStyle name="Accent3 5" xfId="249"/>
    <cellStyle name="Accent3 5 2" xfId="808"/>
    <cellStyle name="Accent3 6" xfId="250"/>
    <cellStyle name="Accent3 6 2" xfId="809"/>
    <cellStyle name="Accent3 7" xfId="251"/>
    <cellStyle name="Accent3 7 2" xfId="810"/>
    <cellStyle name="Accent3 8" xfId="252"/>
    <cellStyle name="Accent3 8 2" xfId="811"/>
    <cellStyle name="Accent3 9" xfId="253"/>
    <cellStyle name="Accent3 9 2" xfId="812"/>
    <cellStyle name="Accent4 10" xfId="254"/>
    <cellStyle name="Accent4 10 2" xfId="814"/>
    <cellStyle name="Accent4 11" xfId="255"/>
    <cellStyle name="Accent4 11 2" xfId="815"/>
    <cellStyle name="Accent4 12" xfId="256"/>
    <cellStyle name="Accent4 12 2" xfId="816"/>
    <cellStyle name="Accent4 13" xfId="257"/>
    <cellStyle name="Accent4 13 2" xfId="813"/>
    <cellStyle name="Accent4 2" xfId="258"/>
    <cellStyle name="Accent4 2 2" xfId="817"/>
    <cellStyle name="Accent4 3" xfId="259"/>
    <cellStyle name="Accent4 3 2" xfId="818"/>
    <cellStyle name="Accent4 4" xfId="260"/>
    <cellStyle name="Accent4 4 2" xfId="819"/>
    <cellStyle name="Accent4 5" xfId="261"/>
    <cellStyle name="Accent4 5 2" xfId="820"/>
    <cellStyle name="Accent4 6" xfId="262"/>
    <cellStyle name="Accent4 6 2" xfId="821"/>
    <cellStyle name="Accent4 7" xfId="263"/>
    <cellStyle name="Accent4 7 2" xfId="822"/>
    <cellStyle name="Accent4 8" xfId="264"/>
    <cellStyle name="Accent4 8 2" xfId="823"/>
    <cellStyle name="Accent4 9" xfId="265"/>
    <cellStyle name="Accent4 9 2" xfId="824"/>
    <cellStyle name="Accent5 10" xfId="266"/>
    <cellStyle name="Accent5 10 2" xfId="826"/>
    <cellStyle name="Accent5 11" xfId="267"/>
    <cellStyle name="Accent5 11 2" xfId="827"/>
    <cellStyle name="Accent5 12" xfId="268"/>
    <cellStyle name="Accent5 12 2" xfId="828"/>
    <cellStyle name="Accent5 13" xfId="269"/>
    <cellStyle name="Accent5 13 2" xfId="825"/>
    <cellStyle name="Accent5 2" xfId="270"/>
    <cellStyle name="Accent5 2 2" xfId="829"/>
    <cellStyle name="Accent5 3" xfId="271"/>
    <cellStyle name="Accent5 3 2" xfId="830"/>
    <cellStyle name="Accent5 4" xfId="272"/>
    <cellStyle name="Accent5 4 2" xfId="831"/>
    <cellStyle name="Accent5 5" xfId="273"/>
    <cellStyle name="Accent5 5 2" xfId="832"/>
    <cellStyle name="Accent5 6" xfId="274"/>
    <cellStyle name="Accent5 6 2" xfId="833"/>
    <cellStyle name="Accent5 7" xfId="275"/>
    <cellStyle name="Accent5 7 2" xfId="834"/>
    <cellStyle name="Accent5 8" xfId="276"/>
    <cellStyle name="Accent5 8 2" xfId="835"/>
    <cellStyle name="Accent5 9" xfId="277"/>
    <cellStyle name="Accent5 9 2" xfId="836"/>
    <cellStyle name="Accent6 10" xfId="278"/>
    <cellStyle name="Accent6 10 2" xfId="838"/>
    <cellStyle name="Accent6 11" xfId="279"/>
    <cellStyle name="Accent6 11 2" xfId="839"/>
    <cellStyle name="Accent6 12" xfId="280"/>
    <cellStyle name="Accent6 12 2" xfId="840"/>
    <cellStyle name="Accent6 13" xfId="281"/>
    <cellStyle name="Accent6 13 2" xfId="837"/>
    <cellStyle name="Accent6 2" xfId="282"/>
    <cellStyle name="Accent6 2 2" xfId="841"/>
    <cellStyle name="Accent6 3" xfId="283"/>
    <cellStyle name="Accent6 3 2" xfId="842"/>
    <cellStyle name="Accent6 4" xfId="284"/>
    <cellStyle name="Accent6 4 2" xfId="843"/>
    <cellStyle name="Accent6 5" xfId="285"/>
    <cellStyle name="Accent6 5 2" xfId="844"/>
    <cellStyle name="Accent6 6" xfId="286"/>
    <cellStyle name="Accent6 6 2" xfId="845"/>
    <cellStyle name="Accent6 7" xfId="287"/>
    <cellStyle name="Accent6 7 2" xfId="846"/>
    <cellStyle name="Accent6 8" xfId="288"/>
    <cellStyle name="Accent6 8 2" xfId="847"/>
    <cellStyle name="Accent6 9" xfId="289"/>
    <cellStyle name="Accent6 9 2" xfId="848"/>
    <cellStyle name="Bad 10" xfId="290"/>
    <cellStyle name="Bad 10 2" xfId="850"/>
    <cellStyle name="Bad 11" xfId="291"/>
    <cellStyle name="Bad 11 2" xfId="851"/>
    <cellStyle name="Bad 12" xfId="292"/>
    <cellStyle name="Bad 12 2" xfId="852"/>
    <cellStyle name="Bad 13" xfId="293"/>
    <cellStyle name="Bad 13 2" xfId="849"/>
    <cellStyle name="Bad 2" xfId="294"/>
    <cellStyle name="Bad 2 2" xfId="853"/>
    <cellStyle name="Bad 3" xfId="295"/>
    <cellStyle name="Bad 3 2" xfId="854"/>
    <cellStyle name="Bad 4" xfId="296"/>
    <cellStyle name="Bad 4 2" xfId="855"/>
    <cellStyle name="Bad 5" xfId="297"/>
    <cellStyle name="Bad 5 2" xfId="856"/>
    <cellStyle name="Bad 6" xfId="298"/>
    <cellStyle name="Bad 6 2" xfId="857"/>
    <cellStyle name="Bad 7" xfId="299"/>
    <cellStyle name="Bad 7 2" xfId="858"/>
    <cellStyle name="Bad 8" xfId="300"/>
    <cellStyle name="Bad 8 2" xfId="859"/>
    <cellStyle name="Bad 9" xfId="301"/>
    <cellStyle name="Bad 9 2" xfId="860"/>
    <cellStyle name="Calculation 10" xfId="302"/>
    <cellStyle name="Calculation 10 2" xfId="862"/>
    <cellStyle name="Calculation 11" xfId="303"/>
    <cellStyle name="Calculation 11 2" xfId="863"/>
    <cellStyle name="Calculation 12" xfId="304"/>
    <cellStyle name="Calculation 12 2" xfId="864"/>
    <cellStyle name="Calculation 13" xfId="305"/>
    <cellStyle name="Calculation 13 2" xfId="861"/>
    <cellStyle name="Calculation 2" xfId="306"/>
    <cellStyle name="Calculation 2 2" xfId="865"/>
    <cellStyle name="Calculation 3" xfId="307"/>
    <cellStyle name="Calculation 3 2" xfId="866"/>
    <cellStyle name="Calculation 4" xfId="308"/>
    <cellStyle name="Calculation 4 2" xfId="867"/>
    <cellStyle name="Calculation 5" xfId="309"/>
    <cellStyle name="Calculation 5 2" xfId="868"/>
    <cellStyle name="Calculation 6" xfId="310"/>
    <cellStyle name="Calculation 6 2" xfId="869"/>
    <cellStyle name="Calculation 7" xfId="311"/>
    <cellStyle name="Calculation 7 2" xfId="870"/>
    <cellStyle name="Calculation 8" xfId="312"/>
    <cellStyle name="Calculation 8 2" xfId="871"/>
    <cellStyle name="Calculation 9" xfId="313"/>
    <cellStyle name="Calculation 9 2" xfId="872"/>
    <cellStyle name="Check Cell 10" xfId="314"/>
    <cellStyle name="Check Cell 10 2" xfId="874"/>
    <cellStyle name="Check Cell 11" xfId="315"/>
    <cellStyle name="Check Cell 11 2" xfId="875"/>
    <cellStyle name="Check Cell 12" xfId="316"/>
    <cellStyle name="Check Cell 12 2" xfId="876"/>
    <cellStyle name="Check Cell 13" xfId="317"/>
    <cellStyle name="Check Cell 13 2" xfId="873"/>
    <cellStyle name="Check Cell 2" xfId="318"/>
    <cellStyle name="Check Cell 2 2" xfId="877"/>
    <cellStyle name="Check Cell 3" xfId="319"/>
    <cellStyle name="Check Cell 3 2" xfId="878"/>
    <cellStyle name="Check Cell 4" xfId="320"/>
    <cellStyle name="Check Cell 4 2" xfId="879"/>
    <cellStyle name="Check Cell 5" xfId="321"/>
    <cellStyle name="Check Cell 5 2" xfId="880"/>
    <cellStyle name="Check Cell 6" xfId="322"/>
    <cellStyle name="Check Cell 6 2" xfId="881"/>
    <cellStyle name="Check Cell 7" xfId="323"/>
    <cellStyle name="Check Cell 7 2" xfId="882"/>
    <cellStyle name="Check Cell 8" xfId="324"/>
    <cellStyle name="Check Cell 8 2" xfId="883"/>
    <cellStyle name="Check Cell 9" xfId="325"/>
    <cellStyle name="Check Cell 9 2" xfId="884"/>
    <cellStyle name="Comma 2" xfId="326"/>
    <cellStyle name="Euro" xfId="327"/>
    <cellStyle name="Euro 10" xfId="328"/>
    <cellStyle name="Euro 10 2" xfId="1095"/>
    <cellStyle name="Euro 11" xfId="1082"/>
    <cellStyle name="Euro 11 2" xfId="1118"/>
    <cellStyle name="Euro 2" xfId="329"/>
    <cellStyle name="Euro 2 2" xfId="330"/>
    <cellStyle name="Euro 2 2 2" xfId="331"/>
    <cellStyle name="Euro 2 2 2 2" xfId="1102"/>
    <cellStyle name="Euro 2 2 2 2 2" xfId="1121"/>
    <cellStyle name="Euro 2 2 3" xfId="1084"/>
    <cellStyle name="Euro 2 2 3 2" xfId="1120"/>
    <cellStyle name="Euro 2 3" xfId="332"/>
    <cellStyle name="Euro 2 3 2" xfId="1096"/>
    <cellStyle name="Euro 2 3 2 2" xfId="1122"/>
    <cellStyle name="Euro 2 4" xfId="1083"/>
    <cellStyle name="Euro 2 4 2" xfId="1119"/>
    <cellStyle name="Euro 3" xfId="333"/>
    <cellStyle name="Euro 3 2" xfId="334"/>
    <cellStyle name="Euro 3 2 2" xfId="1097"/>
    <cellStyle name="Euro 3 2 2 2" xfId="1124"/>
    <cellStyle name="Euro 3 3" xfId="1085"/>
    <cellStyle name="Euro 3 3 2" xfId="1123"/>
    <cellStyle name="Euro 4" xfId="335"/>
    <cellStyle name="Euro 4 2" xfId="336"/>
    <cellStyle name="Euro 4 2 2" xfId="337"/>
    <cellStyle name="Euro 4 2 2 2" xfId="1103"/>
    <cellStyle name="Euro 4 2 2 2 2" xfId="1127"/>
    <cellStyle name="Euro 4 2 3" xfId="1087"/>
    <cellStyle name="Euro 4 2 3 2" xfId="1126"/>
    <cellStyle name="Euro 4 3" xfId="338"/>
    <cellStyle name="Euro 4 3 2" xfId="1104"/>
    <cellStyle name="Euro 4 3 2 2" xfId="1128"/>
    <cellStyle name="Euro 4 4" xfId="1086"/>
    <cellStyle name="Euro 4 4 2" xfId="1125"/>
    <cellStyle name="Euro 5" xfId="339"/>
    <cellStyle name="Euro 5 2" xfId="340"/>
    <cellStyle name="Euro 5 2 2" xfId="341"/>
    <cellStyle name="Euro 5 2 2 2" xfId="1105"/>
    <cellStyle name="Euro 5 2 2 2 2" xfId="1131"/>
    <cellStyle name="Euro 5 2 3" xfId="1089"/>
    <cellStyle name="Euro 5 2 3 2" xfId="1130"/>
    <cellStyle name="Euro 5 3" xfId="342"/>
    <cellStyle name="Euro 5 3 2" xfId="1106"/>
    <cellStyle name="Euro 5 3 2 2" xfId="1132"/>
    <cellStyle name="Euro 5 4" xfId="1088"/>
    <cellStyle name="Euro 5 4 2" xfId="1129"/>
    <cellStyle name="Euro 6" xfId="343"/>
    <cellStyle name="Euro 6 2" xfId="344"/>
    <cellStyle name="Euro 6 2 2" xfId="345"/>
    <cellStyle name="Euro 6 2 2 2" xfId="1107"/>
    <cellStyle name="Euro 6 2 2 2 2" xfId="1135"/>
    <cellStyle name="Euro 6 2 3" xfId="1091"/>
    <cellStyle name="Euro 6 2 3 2" xfId="1134"/>
    <cellStyle name="Euro 6 3" xfId="346"/>
    <cellStyle name="Euro 6 3 2" xfId="1098"/>
    <cellStyle name="Euro 6 3 2 2" xfId="1136"/>
    <cellStyle name="Euro 6 4" xfId="1090"/>
    <cellStyle name="Euro 6 4 2" xfId="1133"/>
    <cellStyle name="Euro 7" xfId="347"/>
    <cellStyle name="Euro 7 2" xfId="348"/>
    <cellStyle name="Euro 7 2 2" xfId="349"/>
    <cellStyle name="Euro 7 2 2 2" xfId="1108"/>
    <cellStyle name="Euro 7 2 2 2 2" xfId="1139"/>
    <cellStyle name="Euro 7 2 3" xfId="1093"/>
    <cellStyle name="Euro 7 2 3 2" xfId="1138"/>
    <cellStyle name="Euro 7 3" xfId="350"/>
    <cellStyle name="Euro 7 3 2" xfId="1109"/>
    <cellStyle name="Euro 7 3 2 2" xfId="1140"/>
    <cellStyle name="Euro 7 4" xfId="1092"/>
    <cellStyle name="Euro 7 4 2" xfId="1137"/>
    <cellStyle name="Euro 8" xfId="351"/>
    <cellStyle name="Euro 8 2" xfId="352"/>
    <cellStyle name="Euro 8 2 2" xfId="1110"/>
    <cellStyle name="Euro 8 2 2 2" xfId="1142"/>
    <cellStyle name="Euro 8 3" xfId="1094"/>
    <cellStyle name="Euro 8 3 2" xfId="1141"/>
    <cellStyle name="Euro 9" xfId="353"/>
    <cellStyle name="Euro 9 2" xfId="1099"/>
    <cellStyle name="Explanatory Text 10" xfId="354"/>
    <cellStyle name="Explanatory Text 10 2" xfId="886"/>
    <cellStyle name="Explanatory Text 11" xfId="355"/>
    <cellStyle name="Explanatory Text 11 2" xfId="887"/>
    <cellStyle name="Explanatory Text 12" xfId="356"/>
    <cellStyle name="Explanatory Text 12 2" xfId="888"/>
    <cellStyle name="Explanatory Text 13" xfId="357"/>
    <cellStyle name="Explanatory Text 13 2" xfId="885"/>
    <cellStyle name="Explanatory Text 2" xfId="358"/>
    <cellStyle name="Explanatory Text 2 2" xfId="889"/>
    <cellStyle name="Explanatory Text 3" xfId="359"/>
    <cellStyle name="Explanatory Text 3 2" xfId="890"/>
    <cellStyle name="Explanatory Text 4" xfId="360"/>
    <cellStyle name="Explanatory Text 4 2" xfId="891"/>
    <cellStyle name="Explanatory Text 5" xfId="361"/>
    <cellStyle name="Explanatory Text 5 2" xfId="892"/>
    <cellStyle name="Explanatory Text 6" xfId="362"/>
    <cellStyle name="Explanatory Text 6 2" xfId="893"/>
    <cellStyle name="Explanatory Text 7" xfId="363"/>
    <cellStyle name="Explanatory Text 7 2" xfId="894"/>
    <cellStyle name="Explanatory Text 8" xfId="364"/>
    <cellStyle name="Explanatory Text 8 2" xfId="895"/>
    <cellStyle name="Explanatory Text 9" xfId="365"/>
    <cellStyle name="Explanatory Text 9 2" xfId="896"/>
    <cellStyle name="Good 10" xfId="366"/>
    <cellStyle name="Good 10 2" xfId="898"/>
    <cellStyle name="Good 11" xfId="367"/>
    <cellStyle name="Good 11 2" xfId="899"/>
    <cellStyle name="Good 12" xfId="368"/>
    <cellStyle name="Good 12 2" xfId="900"/>
    <cellStyle name="Good 13" xfId="369"/>
    <cellStyle name="Good 13 2" xfId="897"/>
    <cellStyle name="Good 2" xfId="370"/>
    <cellStyle name="Good 2 2" xfId="901"/>
    <cellStyle name="Good 3" xfId="371"/>
    <cellStyle name="Good 3 2" xfId="902"/>
    <cellStyle name="Good 4" xfId="372"/>
    <cellStyle name="Good 4 2" xfId="903"/>
    <cellStyle name="Good 5" xfId="373"/>
    <cellStyle name="Good 5 2" xfId="904"/>
    <cellStyle name="Good 6" xfId="374"/>
    <cellStyle name="Good 6 2" xfId="905"/>
    <cellStyle name="Good 7" xfId="375"/>
    <cellStyle name="Good 7 2" xfId="906"/>
    <cellStyle name="Good 8" xfId="376"/>
    <cellStyle name="Good 8 2" xfId="907"/>
    <cellStyle name="Good 9" xfId="377"/>
    <cellStyle name="Good 9 2" xfId="908"/>
    <cellStyle name="Heading 1 10" xfId="378"/>
    <cellStyle name="Heading 1 10 2" xfId="910"/>
    <cellStyle name="Heading 1 11" xfId="379"/>
    <cellStyle name="Heading 1 11 2" xfId="911"/>
    <cellStyle name="Heading 1 12" xfId="380"/>
    <cellStyle name="Heading 1 12 2" xfId="912"/>
    <cellStyle name="Heading 1 13" xfId="381"/>
    <cellStyle name="Heading 1 13 2" xfId="909"/>
    <cellStyle name="Heading 1 2" xfId="382"/>
    <cellStyle name="Heading 1 2 2" xfId="913"/>
    <cellStyle name="Heading 1 3" xfId="383"/>
    <cellStyle name="Heading 1 3 2" xfId="914"/>
    <cellStyle name="Heading 1 4" xfId="384"/>
    <cellStyle name="Heading 1 4 2" xfId="915"/>
    <cellStyle name="Heading 1 5" xfId="385"/>
    <cellStyle name="Heading 1 5 2" xfId="916"/>
    <cellStyle name="Heading 1 6" xfId="386"/>
    <cellStyle name="Heading 1 6 2" xfId="917"/>
    <cellStyle name="Heading 1 7" xfId="387"/>
    <cellStyle name="Heading 1 7 2" xfId="918"/>
    <cellStyle name="Heading 1 8" xfId="388"/>
    <cellStyle name="Heading 1 8 2" xfId="919"/>
    <cellStyle name="Heading 1 9" xfId="389"/>
    <cellStyle name="Heading 1 9 2" xfId="920"/>
    <cellStyle name="Heading 2 10" xfId="390"/>
    <cellStyle name="Heading 2 10 2" xfId="922"/>
    <cellStyle name="Heading 2 11" xfId="391"/>
    <cellStyle name="Heading 2 11 2" xfId="923"/>
    <cellStyle name="Heading 2 12" xfId="392"/>
    <cellStyle name="Heading 2 12 2" xfId="924"/>
    <cellStyle name="Heading 2 13" xfId="393"/>
    <cellStyle name="Heading 2 13 2" xfId="921"/>
    <cellStyle name="Heading 2 2" xfId="394"/>
    <cellStyle name="Heading 2 2 2" xfId="925"/>
    <cellStyle name="Heading 2 3" xfId="395"/>
    <cellStyle name="Heading 2 3 2" xfId="926"/>
    <cellStyle name="Heading 2 4" xfId="396"/>
    <cellStyle name="Heading 2 4 2" xfId="927"/>
    <cellStyle name="Heading 2 5" xfId="397"/>
    <cellStyle name="Heading 2 5 2" xfId="928"/>
    <cellStyle name="Heading 2 6" xfId="398"/>
    <cellStyle name="Heading 2 6 2" xfId="929"/>
    <cellStyle name="Heading 2 7" xfId="399"/>
    <cellStyle name="Heading 2 7 2" xfId="930"/>
    <cellStyle name="Heading 2 8" xfId="400"/>
    <cellStyle name="Heading 2 8 2" xfId="931"/>
    <cellStyle name="Heading 2 9" xfId="401"/>
    <cellStyle name="Heading 2 9 2" xfId="932"/>
    <cellStyle name="Heading 3 10" xfId="402"/>
    <cellStyle name="Heading 3 10 2" xfId="934"/>
    <cellStyle name="Heading 3 11" xfId="403"/>
    <cellStyle name="Heading 3 11 2" xfId="935"/>
    <cellStyle name="Heading 3 12" xfId="404"/>
    <cellStyle name="Heading 3 12 2" xfId="936"/>
    <cellStyle name="Heading 3 13" xfId="405"/>
    <cellStyle name="Heading 3 13 2" xfId="933"/>
    <cellStyle name="Heading 3 2" xfId="406"/>
    <cellStyle name="Heading 3 2 2" xfId="937"/>
    <cellStyle name="Heading 3 3" xfId="407"/>
    <cellStyle name="Heading 3 3 2" xfId="938"/>
    <cellStyle name="Heading 3 4" xfId="408"/>
    <cellStyle name="Heading 3 4 2" xfId="939"/>
    <cellStyle name="Heading 3 5" xfId="409"/>
    <cellStyle name="Heading 3 5 2" xfId="940"/>
    <cellStyle name="Heading 3 6" xfId="410"/>
    <cellStyle name="Heading 3 6 2" xfId="941"/>
    <cellStyle name="Heading 3 7" xfId="411"/>
    <cellStyle name="Heading 3 7 2" xfId="942"/>
    <cellStyle name="Heading 3 8" xfId="412"/>
    <cellStyle name="Heading 3 8 2" xfId="943"/>
    <cellStyle name="Heading 3 9" xfId="413"/>
    <cellStyle name="Heading 3 9 2" xfId="944"/>
    <cellStyle name="Heading 4 10" xfId="414"/>
    <cellStyle name="Heading 4 10 2" xfId="946"/>
    <cellStyle name="Heading 4 11" xfId="415"/>
    <cellStyle name="Heading 4 11 2" xfId="947"/>
    <cellStyle name="Heading 4 12" xfId="416"/>
    <cellStyle name="Heading 4 12 2" xfId="948"/>
    <cellStyle name="Heading 4 13" xfId="417"/>
    <cellStyle name="Heading 4 13 2" xfId="945"/>
    <cellStyle name="Heading 4 2" xfId="418"/>
    <cellStyle name="Heading 4 2 2" xfId="949"/>
    <cellStyle name="Heading 4 3" xfId="419"/>
    <cellStyle name="Heading 4 3 2" xfId="950"/>
    <cellStyle name="Heading 4 4" xfId="420"/>
    <cellStyle name="Heading 4 4 2" xfId="951"/>
    <cellStyle name="Heading 4 5" xfId="421"/>
    <cellStyle name="Heading 4 5 2" xfId="952"/>
    <cellStyle name="Heading 4 6" xfId="422"/>
    <cellStyle name="Heading 4 6 2" xfId="953"/>
    <cellStyle name="Heading 4 7" xfId="423"/>
    <cellStyle name="Heading 4 7 2" xfId="954"/>
    <cellStyle name="Heading 4 8" xfId="424"/>
    <cellStyle name="Heading 4 8 2" xfId="955"/>
    <cellStyle name="Heading 4 9" xfId="425"/>
    <cellStyle name="Heading 4 9 2" xfId="956"/>
    <cellStyle name="Hyperlink 2" xfId="426"/>
    <cellStyle name="Hyperlink 2 2" xfId="1100"/>
    <cellStyle name="Input 10" xfId="427"/>
    <cellStyle name="Input 10 2" xfId="958"/>
    <cellStyle name="Input 11" xfId="428"/>
    <cellStyle name="Input 11 2" xfId="959"/>
    <cellStyle name="Input 12" xfId="429"/>
    <cellStyle name="Input 12 2" xfId="960"/>
    <cellStyle name="Input 13" xfId="430"/>
    <cellStyle name="Input 13 2" xfId="957"/>
    <cellStyle name="Input 2" xfId="431"/>
    <cellStyle name="Input 2 2" xfId="961"/>
    <cellStyle name="Input 3" xfId="432"/>
    <cellStyle name="Input 3 2" xfId="962"/>
    <cellStyle name="Input 4" xfId="433"/>
    <cellStyle name="Input 4 2" xfId="963"/>
    <cellStyle name="Input 5" xfId="434"/>
    <cellStyle name="Input 5 2" xfId="964"/>
    <cellStyle name="Input 6" xfId="435"/>
    <cellStyle name="Input 6 2" xfId="965"/>
    <cellStyle name="Input 7" xfId="436"/>
    <cellStyle name="Input 7 2" xfId="966"/>
    <cellStyle name="Input 8" xfId="437"/>
    <cellStyle name="Input 8 2" xfId="967"/>
    <cellStyle name="Input 9" xfId="438"/>
    <cellStyle name="Input 9 2" xfId="968"/>
    <cellStyle name="Linked Cell 10" xfId="439"/>
    <cellStyle name="Linked Cell 10 2" xfId="970"/>
    <cellStyle name="Linked Cell 11" xfId="440"/>
    <cellStyle name="Linked Cell 11 2" xfId="971"/>
    <cellStyle name="Linked Cell 12" xfId="441"/>
    <cellStyle name="Linked Cell 12 2" xfId="972"/>
    <cellStyle name="Linked Cell 13" xfId="442"/>
    <cellStyle name="Linked Cell 13 2" xfId="969"/>
    <cellStyle name="Linked Cell 2" xfId="443"/>
    <cellStyle name="Linked Cell 2 2" xfId="973"/>
    <cellStyle name="Linked Cell 3" xfId="444"/>
    <cellStyle name="Linked Cell 3 2" xfId="974"/>
    <cellStyle name="Linked Cell 4" xfId="445"/>
    <cellStyle name="Linked Cell 4 2" xfId="975"/>
    <cellStyle name="Linked Cell 5" xfId="446"/>
    <cellStyle name="Linked Cell 5 2" xfId="976"/>
    <cellStyle name="Linked Cell 6" xfId="447"/>
    <cellStyle name="Linked Cell 6 2" xfId="977"/>
    <cellStyle name="Linked Cell 7" xfId="448"/>
    <cellStyle name="Linked Cell 7 2" xfId="978"/>
    <cellStyle name="Linked Cell 8" xfId="449"/>
    <cellStyle name="Linked Cell 8 2" xfId="979"/>
    <cellStyle name="Linked Cell 9" xfId="450"/>
    <cellStyle name="Linked Cell 9 2" xfId="980"/>
    <cellStyle name="Neutral 10" xfId="451"/>
    <cellStyle name="Neutral 10 2" xfId="982"/>
    <cellStyle name="Neutral 11" xfId="452"/>
    <cellStyle name="Neutral 11 2" xfId="983"/>
    <cellStyle name="Neutral 12" xfId="453"/>
    <cellStyle name="Neutral 12 2" xfId="984"/>
    <cellStyle name="Neutral 13" xfId="454"/>
    <cellStyle name="Neutral 13 2" xfId="981"/>
    <cellStyle name="Neutral 2" xfId="455"/>
    <cellStyle name="Neutral 2 2" xfId="985"/>
    <cellStyle name="Neutral 3" xfId="456"/>
    <cellStyle name="Neutral 3 2" xfId="986"/>
    <cellStyle name="Neutral 4" xfId="457"/>
    <cellStyle name="Neutral 4 2" xfId="987"/>
    <cellStyle name="Neutral 5" xfId="458"/>
    <cellStyle name="Neutral 5 2" xfId="988"/>
    <cellStyle name="Neutral 6" xfId="459"/>
    <cellStyle name="Neutral 6 2" xfId="989"/>
    <cellStyle name="Neutral 7" xfId="460"/>
    <cellStyle name="Neutral 7 2" xfId="990"/>
    <cellStyle name="Neutral 8" xfId="461"/>
    <cellStyle name="Neutral 8 2" xfId="991"/>
    <cellStyle name="Neutral 9" xfId="462"/>
    <cellStyle name="Neutral 9 2" xfId="992"/>
    <cellStyle name="Normal" xfId="0" builtinId="0"/>
    <cellStyle name="Normal 10" xfId="463"/>
    <cellStyle name="Normal 10 2" xfId="464"/>
    <cellStyle name="Normal 10 2 2" xfId="994"/>
    <cellStyle name="Normal 10 3" xfId="993"/>
    <cellStyle name="Normal 11" xfId="465"/>
    <cellStyle name="Normal 11 2" xfId="466"/>
    <cellStyle name="Normal 11 2 2" xfId="996"/>
    <cellStyle name="Normal 11 3" xfId="995"/>
    <cellStyle name="Normal 12" xfId="467"/>
    <cellStyle name="Normal 12 2" xfId="468"/>
    <cellStyle name="Normal 12 2 2" xfId="998"/>
    <cellStyle name="Normal 12 3" xfId="997"/>
    <cellStyle name="Normal 13" xfId="469"/>
    <cellStyle name="Normal 13 2" xfId="470"/>
    <cellStyle name="Normal 13 2 2" xfId="1000"/>
    <cellStyle name="Normal 13 3" xfId="999"/>
    <cellStyle name="Normal 14" xfId="471"/>
    <cellStyle name="Normal 14 2" xfId="472"/>
    <cellStyle name="Normal 14 2 2" xfId="1002"/>
    <cellStyle name="Normal 14 3" xfId="1001"/>
    <cellStyle name="Normal 15" xfId="473"/>
    <cellStyle name="Normal 15 2" xfId="474"/>
    <cellStyle name="Normal 15 2 2" xfId="1004"/>
    <cellStyle name="Normal 15 3" xfId="1003"/>
    <cellStyle name="Normal 16" xfId="475"/>
    <cellStyle name="Normal 16 2" xfId="476"/>
    <cellStyle name="Normal 16 2 2" xfId="1006"/>
    <cellStyle name="Normal 16 3" xfId="1005"/>
    <cellStyle name="Normal 17" xfId="477"/>
    <cellStyle name="Normal 17 2" xfId="478"/>
    <cellStyle name="Normal 17 2 2" xfId="1008"/>
    <cellStyle name="Normal 17 3" xfId="1007"/>
    <cellStyle name="Normal 18" xfId="479"/>
    <cellStyle name="Normal 18 2" xfId="1009"/>
    <cellStyle name="Normal 19" xfId="480"/>
    <cellStyle name="Normal 19 2" xfId="560"/>
    <cellStyle name="Normal 2" xfId="1"/>
    <cellStyle name="Normal 2 2" xfId="481"/>
    <cellStyle name="Normal 2 2 2" xfId="482"/>
    <cellStyle name="Normal 2 2 2 2" xfId="1112"/>
    <cellStyle name="Normal 2 2 3" xfId="1081"/>
    <cellStyle name="Normal 2 2 3 2" xfId="1144"/>
    <cellStyle name="Normal 2 3" xfId="483"/>
    <cellStyle name="Normal 2 3 2" xfId="1111"/>
    <cellStyle name="Normal 2 4" xfId="1010"/>
    <cellStyle name="Normal 2 4 2" xfId="1143"/>
    <cellStyle name="Normal 20" xfId="484"/>
    <cellStyle name="Normal 20 2" xfId="1101"/>
    <cellStyle name="Normal 21" xfId="557"/>
    <cellStyle name="Normal 21 2" xfId="1117"/>
    <cellStyle name="Normal 22" xfId="558"/>
    <cellStyle name="Normal 23" xfId="559"/>
    <cellStyle name="Normal 24" xfId="1114"/>
    <cellStyle name="Normal 25" xfId="1115"/>
    <cellStyle name="Normal 26" xfId="1116"/>
    <cellStyle name="Normal 3" xfId="485"/>
    <cellStyle name="Normal 3 2" xfId="486"/>
    <cellStyle name="Normal 3 2 2" xfId="1113"/>
    <cellStyle name="Normal 3 3" xfId="1011"/>
    <cellStyle name="Normal 3 3 2" xfId="1145"/>
    <cellStyle name="Normal 4" xfId="487"/>
    <cellStyle name="Normal 4 2" xfId="1012"/>
    <cellStyle name="Normal 5" xfId="488"/>
    <cellStyle name="Normal 5 2" xfId="1013"/>
    <cellStyle name="Normal 6" xfId="489"/>
    <cellStyle name="Normal 6 2" xfId="490"/>
    <cellStyle name="Normal 6 2 2" xfId="1015"/>
    <cellStyle name="Normal 6 3" xfId="1014"/>
    <cellStyle name="Normal 7" xfId="491"/>
    <cellStyle name="Normal 7 2" xfId="1016"/>
    <cellStyle name="Normal 8" xfId="492"/>
    <cellStyle name="Normal 8 2" xfId="493"/>
    <cellStyle name="Normal 8 2 2" xfId="1018"/>
    <cellStyle name="Normal 8 3" xfId="1017"/>
    <cellStyle name="Normal 9" xfId="494"/>
    <cellStyle name="Normal 9 2" xfId="495"/>
    <cellStyle name="Normal 9 2 2" xfId="1020"/>
    <cellStyle name="Normal 9 3" xfId="1019"/>
    <cellStyle name="Note 10" xfId="496"/>
    <cellStyle name="Note 10 2" xfId="1022"/>
    <cellStyle name="Note 11" xfId="497"/>
    <cellStyle name="Note 11 2" xfId="1023"/>
    <cellStyle name="Note 12" xfId="498"/>
    <cellStyle name="Note 12 2" xfId="1024"/>
    <cellStyle name="Note 13" xfId="499"/>
    <cellStyle name="Note 13 2" xfId="1021"/>
    <cellStyle name="Note 2" xfId="500"/>
    <cellStyle name="Note 2 2" xfId="1025"/>
    <cellStyle name="Note 3" xfId="501"/>
    <cellStyle name="Note 3 2" xfId="1026"/>
    <cellStyle name="Note 4" xfId="502"/>
    <cellStyle name="Note 4 2" xfId="1027"/>
    <cellStyle name="Note 5" xfId="503"/>
    <cellStyle name="Note 5 2" xfId="1028"/>
    <cellStyle name="Note 6" xfId="504"/>
    <cellStyle name="Note 6 2" xfId="1029"/>
    <cellStyle name="Note 7" xfId="505"/>
    <cellStyle name="Note 7 2" xfId="1030"/>
    <cellStyle name="Note 8" xfId="506"/>
    <cellStyle name="Note 8 2" xfId="1031"/>
    <cellStyle name="Note 9" xfId="507"/>
    <cellStyle name="Note 9 2" xfId="1032"/>
    <cellStyle name="Output 10" xfId="508"/>
    <cellStyle name="Output 10 2" xfId="1034"/>
    <cellStyle name="Output 11" xfId="509"/>
    <cellStyle name="Output 11 2" xfId="1035"/>
    <cellStyle name="Output 12" xfId="510"/>
    <cellStyle name="Output 12 2" xfId="1036"/>
    <cellStyle name="Output 13" xfId="511"/>
    <cellStyle name="Output 13 2" xfId="1033"/>
    <cellStyle name="Output 2" xfId="512"/>
    <cellStyle name="Output 2 2" xfId="1037"/>
    <cellStyle name="Output 3" xfId="513"/>
    <cellStyle name="Output 3 2" xfId="1038"/>
    <cellStyle name="Output 4" xfId="514"/>
    <cellStyle name="Output 4 2" xfId="1039"/>
    <cellStyle name="Output 5" xfId="515"/>
    <cellStyle name="Output 5 2" xfId="1040"/>
    <cellStyle name="Output 6" xfId="516"/>
    <cellStyle name="Output 6 2" xfId="1041"/>
    <cellStyle name="Output 7" xfId="517"/>
    <cellStyle name="Output 7 2" xfId="1042"/>
    <cellStyle name="Output 8" xfId="518"/>
    <cellStyle name="Output 8 2" xfId="1043"/>
    <cellStyle name="Output 9" xfId="519"/>
    <cellStyle name="Output 9 2" xfId="1044"/>
    <cellStyle name="Percent 2" xfId="520"/>
    <cellStyle name="Title 10" xfId="521"/>
    <cellStyle name="Title 10 2" xfId="1046"/>
    <cellStyle name="Title 11" xfId="522"/>
    <cellStyle name="Title 11 2" xfId="1047"/>
    <cellStyle name="Title 12" xfId="523"/>
    <cellStyle name="Title 12 2" xfId="1048"/>
    <cellStyle name="Title 13" xfId="524"/>
    <cellStyle name="Title 13 2" xfId="1045"/>
    <cellStyle name="Title 2" xfId="525"/>
    <cellStyle name="Title 2 2" xfId="1049"/>
    <cellStyle name="Title 3" xfId="526"/>
    <cellStyle name="Title 3 2" xfId="1050"/>
    <cellStyle name="Title 4" xfId="527"/>
    <cellStyle name="Title 4 2" xfId="1051"/>
    <cellStyle name="Title 5" xfId="528"/>
    <cellStyle name="Title 5 2" xfId="1052"/>
    <cellStyle name="Title 6" xfId="529"/>
    <cellStyle name="Title 6 2" xfId="1053"/>
    <cellStyle name="Title 7" xfId="530"/>
    <cellStyle name="Title 7 2" xfId="1054"/>
    <cellStyle name="Title 8" xfId="531"/>
    <cellStyle name="Title 8 2" xfId="1055"/>
    <cellStyle name="Title 9" xfId="532"/>
    <cellStyle name="Title 9 2" xfId="1056"/>
    <cellStyle name="Total 10" xfId="533"/>
    <cellStyle name="Total 10 2" xfId="1058"/>
    <cellStyle name="Total 11" xfId="534"/>
    <cellStyle name="Total 11 2" xfId="1059"/>
    <cellStyle name="Total 12" xfId="535"/>
    <cellStyle name="Total 12 2" xfId="1060"/>
    <cellStyle name="Total 13" xfId="536"/>
    <cellStyle name="Total 13 2" xfId="1057"/>
    <cellStyle name="Total 2" xfId="537"/>
    <cellStyle name="Total 2 2" xfId="1061"/>
    <cellStyle name="Total 3" xfId="538"/>
    <cellStyle name="Total 3 2" xfId="1062"/>
    <cellStyle name="Total 4" xfId="539"/>
    <cellStyle name="Total 4 2" xfId="1063"/>
    <cellStyle name="Total 5" xfId="540"/>
    <cellStyle name="Total 5 2" xfId="1064"/>
    <cellStyle name="Total 6" xfId="541"/>
    <cellStyle name="Total 6 2" xfId="1065"/>
    <cellStyle name="Total 7" xfId="542"/>
    <cellStyle name="Total 7 2" xfId="1066"/>
    <cellStyle name="Total 8" xfId="543"/>
    <cellStyle name="Total 8 2" xfId="1067"/>
    <cellStyle name="Total 9" xfId="544"/>
    <cellStyle name="Total 9 2" xfId="1068"/>
    <cellStyle name="Warning Text 10" xfId="545"/>
    <cellStyle name="Warning Text 10 2" xfId="1070"/>
    <cellStyle name="Warning Text 11" xfId="546"/>
    <cellStyle name="Warning Text 11 2" xfId="1071"/>
    <cellStyle name="Warning Text 12" xfId="547"/>
    <cellStyle name="Warning Text 12 2" xfId="1072"/>
    <cellStyle name="Warning Text 13" xfId="548"/>
    <cellStyle name="Warning Text 13 2" xfId="1069"/>
    <cellStyle name="Warning Text 2" xfId="549"/>
    <cellStyle name="Warning Text 2 2" xfId="1073"/>
    <cellStyle name="Warning Text 3" xfId="550"/>
    <cellStyle name="Warning Text 3 2" xfId="1074"/>
    <cellStyle name="Warning Text 4" xfId="551"/>
    <cellStyle name="Warning Text 4 2" xfId="1075"/>
    <cellStyle name="Warning Text 5" xfId="552"/>
    <cellStyle name="Warning Text 5 2" xfId="1076"/>
    <cellStyle name="Warning Text 6" xfId="553"/>
    <cellStyle name="Warning Text 6 2" xfId="1077"/>
    <cellStyle name="Warning Text 7" xfId="554"/>
    <cellStyle name="Warning Text 7 2" xfId="1078"/>
    <cellStyle name="Warning Text 8" xfId="555"/>
    <cellStyle name="Warning Text 8 2" xfId="1079"/>
    <cellStyle name="Warning Text 9" xfId="556"/>
    <cellStyle name="Warning Text 9 2" xfId="1080"/>
  </cellStyles>
  <dxfs count="35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strike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PC%20DATA/MONTHLY%20FILE%20&amp;%20FOLDERS/MR_NEW_0604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_Panel"/>
      <sheetName val="Sheet1"/>
      <sheetName val="APP_DESP"/>
      <sheetName val="Report_1"/>
      <sheetName val="RECEIPTS"/>
      <sheetName val="CUSTOMER_PERM_REVISED"/>
      <sheetName val="data_1"/>
      <sheetName val="data_2"/>
      <sheetName val="CONTENT"/>
      <sheetName val="highlight_new"/>
      <sheetName val="highlights"/>
      <sheetName val="Module1"/>
      <sheetName val="Sheet16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C2:Q82"/>
  <sheetViews>
    <sheetView tabSelected="1" topLeftCell="A64" workbookViewId="0">
      <selection activeCell="O10" sqref="O10"/>
    </sheetView>
  </sheetViews>
  <sheetFormatPr defaultRowHeight="14.5" x14ac:dyDescent="0.35"/>
  <sheetData>
    <row r="2" spans="3:12" ht="15.75" thickBot="1" x14ac:dyDescent="0.3"/>
    <row r="3" spans="3:12" ht="19.5" thickBot="1" x14ac:dyDescent="0.35">
      <c r="C3" s="776" t="s">
        <v>204</v>
      </c>
      <c r="D3" s="777"/>
      <c r="E3" s="777"/>
      <c r="F3" s="777"/>
      <c r="G3" s="777"/>
      <c r="H3" s="777"/>
      <c r="I3" s="777"/>
      <c r="J3" s="777"/>
      <c r="K3" s="777"/>
      <c r="L3" s="778"/>
    </row>
    <row r="5" spans="3:12" ht="15.5" x14ac:dyDescent="0.35">
      <c r="D5" s="779" t="s">
        <v>25</v>
      </c>
      <c r="E5" s="780"/>
      <c r="F5" s="781" t="s">
        <v>26</v>
      </c>
      <c r="G5" s="781" t="s">
        <v>27</v>
      </c>
      <c r="H5" s="781" t="s">
        <v>28</v>
      </c>
      <c r="I5" s="781" t="s">
        <v>29</v>
      </c>
      <c r="J5" s="781" t="s">
        <v>30</v>
      </c>
      <c r="K5" s="781" t="s">
        <v>31</v>
      </c>
      <c r="L5" s="781" t="s">
        <v>32</v>
      </c>
    </row>
    <row r="6" spans="3:12" ht="15.5" x14ac:dyDescent="0.35">
      <c r="D6" s="153" t="s">
        <v>33</v>
      </c>
      <c r="E6" s="153" t="s">
        <v>34</v>
      </c>
      <c r="F6" s="782"/>
      <c r="G6" s="782"/>
      <c r="H6" s="782"/>
      <c r="I6" s="782"/>
      <c r="J6" s="782"/>
      <c r="K6" s="782"/>
      <c r="L6" s="782"/>
    </row>
    <row r="7" spans="3:12" ht="15.75" x14ac:dyDescent="0.25">
      <c r="C7" s="154">
        <v>43922</v>
      </c>
      <c r="D7" s="155">
        <v>0.10902777777777778</v>
      </c>
      <c r="E7" s="155">
        <v>0.16527777777777777</v>
      </c>
      <c r="F7" s="155">
        <v>0.11666666666666665</v>
      </c>
      <c r="G7" s="155">
        <v>0.17430555555555557</v>
      </c>
      <c r="H7" s="155">
        <v>0.25625000000000003</v>
      </c>
      <c r="I7" s="416">
        <v>0.11597222222222221</v>
      </c>
      <c r="J7" s="157">
        <v>0.19305555555555554</v>
      </c>
      <c r="K7" s="157">
        <v>0.16805555555555554</v>
      </c>
      <c r="L7" s="157">
        <v>0.17361111111111113</v>
      </c>
    </row>
    <row r="8" spans="3:12" ht="15.5" x14ac:dyDescent="0.35">
      <c r="C8" s="154">
        <v>43952</v>
      </c>
      <c r="D8" s="157">
        <v>7.9861111111111105E-2</v>
      </c>
      <c r="E8" s="157">
        <v>0.17013888888888887</v>
      </c>
      <c r="F8" s="157">
        <v>0.15277777777777776</v>
      </c>
      <c r="G8" s="157">
        <v>0.15577107279693486</v>
      </c>
      <c r="H8" s="157">
        <v>0.27986111111111112</v>
      </c>
      <c r="I8" s="155">
        <v>0.14861111111111111</v>
      </c>
      <c r="J8" s="158">
        <v>0.16597222222222222</v>
      </c>
      <c r="K8" s="158">
        <v>0.16250000000000001</v>
      </c>
      <c r="L8" s="158">
        <v>0.17500000000000002</v>
      </c>
    </row>
    <row r="9" spans="3:12" ht="15.5" x14ac:dyDescent="0.35">
      <c r="C9" s="154">
        <v>43983</v>
      </c>
      <c r="D9" s="155">
        <v>7.4459876543209888E-2</v>
      </c>
      <c r="E9" s="155">
        <v>0.14197530864197536</v>
      </c>
      <c r="F9" s="155">
        <v>0.13640873015873017</v>
      </c>
      <c r="G9" s="155">
        <v>0.15042789001122334</v>
      </c>
      <c r="H9" s="155">
        <v>0.22367571059431521</v>
      </c>
      <c r="I9" s="155">
        <v>0.15256734006734005</v>
      </c>
      <c r="J9" s="158">
        <v>0.16831140350877197</v>
      </c>
      <c r="K9" s="158">
        <v>0.18813131313131315</v>
      </c>
      <c r="L9" s="158">
        <v>0.15625</v>
      </c>
    </row>
    <row r="10" spans="3:12" ht="15.5" x14ac:dyDescent="0.35">
      <c r="C10" s="154">
        <v>44013</v>
      </c>
      <c r="D10" s="155">
        <v>7.5644841269841279E-2</v>
      </c>
      <c r="E10" s="155">
        <v>0.17020697167755994</v>
      </c>
      <c r="F10" s="155">
        <v>0.15438034188034189</v>
      </c>
      <c r="G10" s="155">
        <v>0.16797222222222236</v>
      </c>
      <c r="H10" s="155">
        <v>0.20777979066022548</v>
      </c>
      <c r="I10" s="155">
        <v>0.13847693032015063</v>
      </c>
      <c r="J10" s="158">
        <v>0.15714605734767029</v>
      </c>
      <c r="K10" s="158">
        <v>0.14152520576131689</v>
      </c>
      <c r="L10" s="158">
        <v>0.18501984126984125</v>
      </c>
    </row>
    <row r="11" spans="3:12" ht="15.5" x14ac:dyDescent="0.35">
      <c r="C11" s="154">
        <v>44044</v>
      </c>
      <c r="D11" s="155">
        <v>8.9327485380116964E-2</v>
      </c>
      <c r="E11" s="155">
        <v>0.18238993710691834</v>
      </c>
      <c r="F11" s="155">
        <v>0.13657407407407401</v>
      </c>
      <c r="G11" s="155">
        <v>0.1783582899305555</v>
      </c>
      <c r="H11" s="155">
        <v>0.22000000000000014</v>
      </c>
      <c r="I11" s="155">
        <v>0.13278256704980845</v>
      </c>
      <c r="J11" s="158">
        <v>0.1534722222222222</v>
      </c>
      <c r="K11" s="158">
        <v>0.13824289405684748</v>
      </c>
      <c r="L11" s="158"/>
    </row>
    <row r="12" spans="3:12" ht="15.5" x14ac:dyDescent="0.35">
      <c r="C12" s="154">
        <v>44075</v>
      </c>
      <c r="D12" s="155"/>
      <c r="E12" s="155"/>
      <c r="F12" s="155"/>
      <c r="G12" s="155"/>
      <c r="H12" s="155"/>
      <c r="I12" s="155"/>
      <c r="J12" s="158"/>
      <c r="K12" s="158"/>
      <c r="L12" s="158"/>
    </row>
    <row r="13" spans="3:12" ht="15.5" x14ac:dyDescent="0.35">
      <c r="C13" s="154">
        <v>44105</v>
      </c>
      <c r="D13" s="155"/>
      <c r="E13" s="155"/>
      <c r="F13" s="155"/>
      <c r="G13" s="155"/>
      <c r="H13" s="155"/>
      <c r="I13" s="155"/>
      <c r="J13" s="159"/>
      <c r="K13" s="159"/>
      <c r="L13" s="159"/>
    </row>
    <row r="14" spans="3:12" ht="15.5" x14ac:dyDescent="0.35">
      <c r="C14" s="154">
        <v>44136</v>
      </c>
      <c r="D14" s="155"/>
      <c r="E14" s="155"/>
      <c r="F14" s="155"/>
      <c r="G14" s="155"/>
      <c r="H14" s="155"/>
      <c r="I14" s="155"/>
      <c r="J14" s="159">
        <v>0.13541666666666666</v>
      </c>
      <c r="K14" s="159">
        <v>0.15</v>
      </c>
      <c r="L14" s="159">
        <v>0.16944444444444443</v>
      </c>
    </row>
    <row r="15" spans="3:12" ht="15.5" x14ac:dyDescent="0.35">
      <c r="C15" s="154">
        <v>44166</v>
      </c>
      <c r="D15" s="155">
        <v>7.7777777777777779E-2</v>
      </c>
      <c r="E15" s="155">
        <v>0.15625</v>
      </c>
      <c r="F15" s="155">
        <v>0.1986111111111111</v>
      </c>
      <c r="G15" s="155">
        <v>0.17013888888888887</v>
      </c>
      <c r="H15" s="155">
        <v>0.16944444444444443</v>
      </c>
      <c r="I15" s="155">
        <v>0.11666666666666665</v>
      </c>
      <c r="J15" s="159">
        <v>0.14305555555555557</v>
      </c>
      <c r="K15" s="159">
        <v>0.15069444444444444</v>
      </c>
      <c r="L15" s="159">
        <v>0.15208333333333332</v>
      </c>
    </row>
    <row r="16" spans="3:12" ht="15.5" x14ac:dyDescent="0.35">
      <c r="C16" s="154">
        <v>44197</v>
      </c>
      <c r="D16" s="155"/>
      <c r="E16" s="155"/>
      <c r="F16" s="155"/>
      <c r="G16" s="155"/>
      <c r="H16" s="155"/>
      <c r="I16" s="155"/>
      <c r="J16" s="159"/>
      <c r="K16" s="159"/>
      <c r="L16" s="159"/>
    </row>
    <row r="17" spans="3:17" ht="15.5" x14ac:dyDescent="0.35">
      <c r="C17" s="154">
        <v>44228</v>
      </c>
      <c r="D17" s="155"/>
      <c r="E17" s="155"/>
      <c r="F17" s="155"/>
      <c r="G17" s="155"/>
      <c r="H17" s="155"/>
      <c r="I17" s="155"/>
      <c r="J17" s="159"/>
      <c r="K17" s="159"/>
      <c r="L17" s="159"/>
      <c r="Q17" s="653"/>
    </row>
    <row r="18" spans="3:17" ht="16" thickBot="1" x14ac:dyDescent="0.4">
      <c r="C18" s="154">
        <v>44256</v>
      </c>
      <c r="D18" s="161"/>
      <c r="E18" s="161"/>
      <c r="F18" s="161"/>
      <c r="G18" s="161"/>
      <c r="H18" s="161"/>
      <c r="I18" s="161"/>
      <c r="J18" s="162"/>
      <c r="K18" s="162"/>
      <c r="L18" s="163"/>
    </row>
    <row r="19" spans="3:17" ht="19" thickBot="1" x14ac:dyDescent="0.5">
      <c r="C19" s="164"/>
      <c r="D19" s="165"/>
      <c r="E19" s="165"/>
      <c r="F19" s="165"/>
      <c r="G19" s="165"/>
      <c r="H19" s="165"/>
      <c r="I19" s="165"/>
      <c r="J19" s="166"/>
      <c r="K19" s="166"/>
      <c r="L19" s="167"/>
    </row>
    <row r="21" spans="3:17" ht="15" thickBot="1" x14ac:dyDescent="0.4"/>
    <row r="22" spans="3:17" ht="19" thickBot="1" x14ac:dyDescent="0.5">
      <c r="C22" s="776" t="s">
        <v>158</v>
      </c>
      <c r="D22" s="777"/>
      <c r="E22" s="777"/>
      <c r="F22" s="777"/>
      <c r="G22" s="777"/>
      <c r="H22" s="777"/>
      <c r="I22" s="777"/>
      <c r="J22" s="777"/>
      <c r="K22" s="777"/>
      <c r="L22" s="778"/>
    </row>
    <row r="24" spans="3:17" ht="15.5" x14ac:dyDescent="0.35">
      <c r="D24" s="779" t="s">
        <v>25</v>
      </c>
      <c r="E24" s="780"/>
      <c r="F24" s="781" t="s">
        <v>26</v>
      </c>
      <c r="G24" s="781" t="s">
        <v>27</v>
      </c>
      <c r="H24" s="781" t="s">
        <v>28</v>
      </c>
      <c r="I24" s="781" t="s">
        <v>29</v>
      </c>
      <c r="J24" s="781" t="s">
        <v>30</v>
      </c>
      <c r="K24" s="781" t="s">
        <v>31</v>
      </c>
      <c r="L24" s="781" t="s">
        <v>32</v>
      </c>
    </row>
    <row r="25" spans="3:17" ht="15.5" x14ac:dyDescent="0.35">
      <c r="D25" s="153" t="s">
        <v>33</v>
      </c>
      <c r="E25" s="153" t="s">
        <v>34</v>
      </c>
      <c r="F25" s="782"/>
      <c r="G25" s="782"/>
      <c r="H25" s="782"/>
      <c r="I25" s="782"/>
      <c r="J25" s="782"/>
      <c r="K25" s="782"/>
      <c r="L25" s="782"/>
    </row>
    <row r="26" spans="3:17" ht="15.5" x14ac:dyDescent="0.35">
      <c r="C26" s="154">
        <v>43556</v>
      </c>
      <c r="D26" s="155">
        <v>8.0555555555555561E-2</v>
      </c>
      <c r="E26" s="155">
        <v>0.16666666666666666</v>
      </c>
      <c r="F26" s="155">
        <v>0.15208333333333332</v>
      </c>
      <c r="G26" s="155">
        <v>0.16180555555555556</v>
      </c>
      <c r="H26" s="155">
        <v>0.13263888888888889</v>
      </c>
      <c r="I26" s="416">
        <v>0.12638888888888888</v>
      </c>
      <c r="J26" s="157">
        <v>0.15347222222222223</v>
      </c>
      <c r="K26" s="157">
        <v>0.14444444444444446</v>
      </c>
      <c r="L26" s="157">
        <v>0.17847222222222223</v>
      </c>
    </row>
    <row r="27" spans="3:17" ht="15.5" x14ac:dyDescent="0.35">
      <c r="C27" s="154">
        <v>43586</v>
      </c>
      <c r="D27" s="157">
        <v>8.5416666666666655E-2</v>
      </c>
      <c r="E27" s="157">
        <v>0.14722222222222223</v>
      </c>
      <c r="F27" s="157">
        <v>0.14097222222222222</v>
      </c>
      <c r="G27" s="157">
        <v>0.15972222222222224</v>
      </c>
      <c r="H27" s="157">
        <v>0.1388888888888889</v>
      </c>
      <c r="I27" s="155">
        <v>0.11319444444444444</v>
      </c>
      <c r="J27" s="158">
        <v>0.125</v>
      </c>
      <c r="K27" s="158">
        <v>0.14027777777777778</v>
      </c>
      <c r="L27" s="158">
        <v>0.17083333333333331</v>
      </c>
    </row>
    <row r="28" spans="3:17" ht="15.5" x14ac:dyDescent="0.35">
      <c r="C28" s="154">
        <v>43617</v>
      </c>
      <c r="D28" s="155">
        <v>7.4999999999999997E-2</v>
      </c>
      <c r="E28" s="155">
        <v>0.12847222222222224</v>
      </c>
      <c r="F28" s="155">
        <v>0.15625</v>
      </c>
      <c r="G28" s="155">
        <v>0.15416666666666667</v>
      </c>
      <c r="H28" s="155">
        <v>0.125</v>
      </c>
      <c r="I28" s="155">
        <v>0.13402777777777777</v>
      </c>
      <c r="J28" s="158">
        <v>0.12916666666666668</v>
      </c>
      <c r="K28" s="158">
        <v>0.16319444444444445</v>
      </c>
      <c r="L28" s="158">
        <v>0.16041666666666668</v>
      </c>
    </row>
    <row r="29" spans="3:17" ht="15.5" x14ac:dyDescent="0.35">
      <c r="C29" s="154">
        <v>43647</v>
      </c>
      <c r="D29" s="155">
        <v>7.2222222222222229E-2</v>
      </c>
      <c r="E29" s="155">
        <v>0.1451388888888889</v>
      </c>
      <c r="F29" s="155">
        <v>0.1673611111111111</v>
      </c>
      <c r="G29" s="155">
        <v>0.15833333333333333</v>
      </c>
      <c r="H29" s="155">
        <v>0.15347222222222223</v>
      </c>
      <c r="I29" s="155">
        <v>0.11041666666666666</v>
      </c>
      <c r="J29" s="158">
        <v>0.17291666666666669</v>
      </c>
      <c r="K29" s="158">
        <v>0.16180555555555556</v>
      </c>
      <c r="L29" s="158">
        <v>0.15069444444444444</v>
      </c>
    </row>
    <row r="30" spans="3:17" ht="15.5" x14ac:dyDescent="0.35">
      <c r="C30" s="154">
        <v>43678</v>
      </c>
      <c r="D30" s="155">
        <v>8.7500000000000008E-2</v>
      </c>
      <c r="E30" s="155">
        <v>0.1361111111111111</v>
      </c>
      <c r="F30" s="155">
        <v>0.14791666666666667</v>
      </c>
      <c r="G30" s="155">
        <v>0.15694444444444444</v>
      </c>
      <c r="H30" s="155">
        <v>0.22500000000000001</v>
      </c>
      <c r="I30" s="155">
        <v>0.12291666666666667</v>
      </c>
      <c r="J30" s="158">
        <v>0.15069444444444444</v>
      </c>
      <c r="K30" s="158">
        <v>0.18680555555555556</v>
      </c>
      <c r="L30" s="158">
        <v>0.17708333333333334</v>
      </c>
    </row>
    <row r="31" spans="3:17" ht="15.5" x14ac:dyDescent="0.35">
      <c r="C31" s="154">
        <v>43709</v>
      </c>
      <c r="D31" s="155">
        <v>7.7083333333333337E-2</v>
      </c>
      <c r="E31" s="155">
        <v>0.17152777777777775</v>
      </c>
      <c r="F31" s="155">
        <v>0.16458333333333333</v>
      </c>
      <c r="G31" s="155">
        <v>0.16250000000000001</v>
      </c>
      <c r="H31" s="155">
        <v>0.18472222222222223</v>
      </c>
      <c r="I31" s="155">
        <v>0.12291666666666667</v>
      </c>
      <c r="J31" s="158">
        <v>0.15347222222222223</v>
      </c>
      <c r="K31" s="158">
        <v>0.14930555555555555</v>
      </c>
      <c r="L31" s="158">
        <v>0.18263888888888891</v>
      </c>
    </row>
    <row r="32" spans="3:17" ht="15.5" x14ac:dyDescent="0.35">
      <c r="C32" s="154">
        <v>43739</v>
      </c>
      <c r="D32" s="155">
        <v>7.9166666666666663E-2</v>
      </c>
      <c r="E32" s="155">
        <v>0.14861111111111111</v>
      </c>
      <c r="F32" s="155">
        <v>0.16527777777777777</v>
      </c>
      <c r="G32" s="155">
        <v>0.16874999999999998</v>
      </c>
      <c r="H32" s="155">
        <v>0.17986111111111111</v>
      </c>
      <c r="I32" s="155">
        <v>0.15</v>
      </c>
      <c r="J32" s="159">
        <v>0.15069444444444444</v>
      </c>
      <c r="K32" s="159">
        <v>0.16458333333333333</v>
      </c>
      <c r="L32" s="159">
        <v>0.17013888888888887</v>
      </c>
    </row>
    <row r="33" spans="3:12" ht="15.5" x14ac:dyDescent="0.35">
      <c r="C33" s="154">
        <v>43770</v>
      </c>
      <c r="D33" s="155">
        <v>7.5694444444444439E-2</v>
      </c>
      <c r="E33" s="155">
        <v>0.16319444444444445</v>
      </c>
      <c r="F33" s="155">
        <v>0.15972222222222224</v>
      </c>
      <c r="G33" s="155">
        <v>0.16250000000000001</v>
      </c>
      <c r="H33" s="155">
        <v>0.11875000000000001</v>
      </c>
      <c r="I33" s="155">
        <v>0.10902777777777778</v>
      </c>
      <c r="J33" s="159">
        <v>0.12847222222222224</v>
      </c>
      <c r="K33" s="159">
        <v>0.16666666666666666</v>
      </c>
      <c r="L33" s="159">
        <v>0.15972222222222224</v>
      </c>
    </row>
    <row r="34" spans="3:12" ht="15.5" x14ac:dyDescent="0.35">
      <c r="C34" s="154">
        <v>43800</v>
      </c>
      <c r="D34" s="155">
        <v>7.6388888888888895E-2</v>
      </c>
      <c r="E34" s="155">
        <v>0.15972222222222224</v>
      </c>
      <c r="F34" s="155">
        <v>0.14930555555555555</v>
      </c>
      <c r="G34" s="155">
        <v>0.16111111111111112</v>
      </c>
      <c r="H34" s="155">
        <v>0.15763888888888888</v>
      </c>
      <c r="I34" s="155">
        <v>0.12916666666666668</v>
      </c>
      <c r="J34" s="159">
        <v>0.15555555555555556</v>
      </c>
      <c r="K34" s="159">
        <v>0.16319444444444445</v>
      </c>
      <c r="L34" s="159">
        <v>0.18611111111111112</v>
      </c>
    </row>
    <row r="35" spans="3:12" ht="15.5" x14ac:dyDescent="0.35">
      <c r="C35" s="154">
        <v>43831</v>
      </c>
      <c r="D35" s="155">
        <v>7.5694444444444439E-2</v>
      </c>
      <c r="E35" s="155">
        <v>0.13749999999999998</v>
      </c>
      <c r="F35" s="155">
        <v>0.14652777777777778</v>
      </c>
      <c r="G35" s="155">
        <v>0.16944444444444443</v>
      </c>
      <c r="H35" s="155">
        <v>0.15416666666666667</v>
      </c>
      <c r="I35" s="155">
        <v>0.10416666666666667</v>
      </c>
      <c r="J35" s="159">
        <v>0.14097222222222222</v>
      </c>
      <c r="K35" s="159">
        <v>0.16041666666666668</v>
      </c>
      <c r="L35" s="159">
        <v>0.16250000000000001</v>
      </c>
    </row>
    <row r="36" spans="3:12" ht="15.5" x14ac:dyDescent="0.35">
      <c r="C36" s="154">
        <v>43862</v>
      </c>
      <c r="D36" s="155">
        <v>8.2638888888888887E-2</v>
      </c>
      <c r="E36" s="155">
        <v>0.1388888888888889</v>
      </c>
      <c r="F36" s="155">
        <v>0.14930555555555555</v>
      </c>
      <c r="G36" s="155">
        <v>0.15694444444444444</v>
      </c>
      <c r="H36" s="155">
        <v>0.16319444444444445</v>
      </c>
      <c r="I36" s="155">
        <v>0.10416666666666667</v>
      </c>
      <c r="J36" s="159">
        <v>0.10208333333333335</v>
      </c>
      <c r="K36" s="159">
        <v>0.14861111111111111</v>
      </c>
      <c r="L36" s="159">
        <v>0.16388888888888889</v>
      </c>
    </row>
    <row r="37" spans="3:12" ht="16" thickBot="1" x14ac:dyDescent="0.4">
      <c r="C37" s="154">
        <v>43891</v>
      </c>
      <c r="D37" s="161">
        <v>8.4027777777777771E-2</v>
      </c>
      <c r="E37" s="161">
        <v>0.15763888888888888</v>
      </c>
      <c r="F37" s="161">
        <v>0.14930555555555555</v>
      </c>
      <c r="G37" s="161">
        <v>0.16250000000000001</v>
      </c>
      <c r="H37" s="161">
        <v>0.13472222222222222</v>
      </c>
      <c r="I37" s="161">
        <v>0.11319444444444444</v>
      </c>
      <c r="J37" s="162">
        <v>0.13402777777777777</v>
      </c>
      <c r="K37" s="162">
        <v>0.1423611111111111</v>
      </c>
      <c r="L37" s="163">
        <v>0.16388888888888889</v>
      </c>
    </row>
    <row r="38" spans="3:12" ht="19" thickBot="1" x14ac:dyDescent="0.5">
      <c r="C38" s="164"/>
      <c r="D38" s="165">
        <v>7.9166666666666663E-2</v>
      </c>
      <c r="E38" s="165">
        <v>0.14930555555555555</v>
      </c>
      <c r="F38" s="165">
        <v>0.15416666666666667</v>
      </c>
      <c r="G38" s="165">
        <v>0.16111111111111112</v>
      </c>
      <c r="H38" s="165">
        <v>0.15555555555555556</v>
      </c>
      <c r="I38" s="165">
        <v>0.11944444444444445</v>
      </c>
      <c r="J38" s="166">
        <v>0.13958333333333334</v>
      </c>
      <c r="K38" s="166">
        <v>0.15416666666666667</v>
      </c>
      <c r="L38" s="167">
        <v>0.16944444444444443</v>
      </c>
    </row>
    <row r="40" spans="3:12" x14ac:dyDescent="0.35">
      <c r="E40" s="502">
        <v>0.13760416666666667</v>
      </c>
      <c r="F40" s="502">
        <v>0.14987268518518518</v>
      </c>
      <c r="G40" s="502">
        <v>0.16145833333333334</v>
      </c>
      <c r="H40" s="502">
        <v>0.11373842592592592</v>
      </c>
      <c r="I40" s="502">
        <v>0.13434027777777777</v>
      </c>
      <c r="J40" s="502">
        <v>0.14736111111111111</v>
      </c>
      <c r="K40" s="502">
        <v>0.13362268518518519</v>
      </c>
      <c r="L40" s="502">
        <v>0.16425925925925924</v>
      </c>
    </row>
    <row r="45" spans="3:12" ht="15" thickBot="1" x14ac:dyDescent="0.4"/>
    <row r="46" spans="3:12" ht="19" thickBot="1" x14ac:dyDescent="0.5">
      <c r="C46" s="776" t="s">
        <v>24</v>
      </c>
      <c r="D46" s="777"/>
      <c r="E46" s="777"/>
      <c r="F46" s="777"/>
      <c r="G46" s="777"/>
      <c r="H46" s="777"/>
      <c r="I46" s="777"/>
      <c r="J46" s="777"/>
      <c r="K46" s="777"/>
      <c r="L46" s="778"/>
    </row>
    <row r="48" spans="3:12" ht="15.5" x14ac:dyDescent="0.35">
      <c r="D48" s="153" t="s">
        <v>25</v>
      </c>
      <c r="E48" s="153"/>
      <c r="F48" s="781" t="s">
        <v>26</v>
      </c>
      <c r="G48" s="781" t="s">
        <v>27</v>
      </c>
      <c r="H48" s="781" t="s">
        <v>28</v>
      </c>
      <c r="I48" s="781" t="s">
        <v>29</v>
      </c>
      <c r="J48" s="781" t="s">
        <v>30</v>
      </c>
      <c r="K48" s="781" t="s">
        <v>31</v>
      </c>
      <c r="L48" s="781" t="s">
        <v>32</v>
      </c>
    </row>
    <row r="49" spans="3:12" ht="15.5" x14ac:dyDescent="0.35">
      <c r="D49" s="153" t="s">
        <v>33</v>
      </c>
      <c r="E49" s="153" t="s">
        <v>34</v>
      </c>
      <c r="F49" s="782"/>
      <c r="G49" s="782"/>
      <c r="H49" s="782"/>
      <c r="I49" s="782"/>
      <c r="J49" s="782"/>
      <c r="K49" s="782"/>
      <c r="L49" s="782"/>
    </row>
    <row r="50" spans="3:12" ht="15.5" x14ac:dyDescent="0.35">
      <c r="C50" s="154">
        <v>43191</v>
      </c>
      <c r="D50" s="155">
        <v>8.819444444444445E-2</v>
      </c>
      <c r="E50" s="155">
        <v>0.23263888888888887</v>
      </c>
      <c r="F50" s="155">
        <v>0.16805555555555554</v>
      </c>
      <c r="G50" s="155">
        <v>0.16527777777777777</v>
      </c>
      <c r="H50" s="155">
        <v>0.19027777777777777</v>
      </c>
      <c r="I50" s="156"/>
      <c r="J50" s="157">
        <v>0.17222222222222225</v>
      </c>
      <c r="K50" s="157">
        <v>0.15902777777777777</v>
      </c>
      <c r="L50" s="157">
        <v>0.17222222222222225</v>
      </c>
    </row>
    <row r="51" spans="3:12" ht="15.5" x14ac:dyDescent="0.35">
      <c r="C51" s="154">
        <v>43221</v>
      </c>
      <c r="D51" s="157">
        <v>0.13194444444444445</v>
      </c>
      <c r="E51" s="157">
        <v>0.17708333333333334</v>
      </c>
      <c r="F51" s="157">
        <v>0.16805555555555554</v>
      </c>
      <c r="G51" s="157">
        <v>0.1673611111111111</v>
      </c>
      <c r="H51" s="157">
        <v>0.19305555555555554</v>
      </c>
      <c r="I51" s="155">
        <v>0.13194444444444445</v>
      </c>
      <c r="J51" s="158">
        <v>0.15347222222222223</v>
      </c>
      <c r="K51" s="158">
        <v>0.16388888888888889</v>
      </c>
      <c r="L51" s="158">
        <v>0.1673611111111111</v>
      </c>
    </row>
    <row r="52" spans="3:12" ht="15.5" x14ac:dyDescent="0.35">
      <c r="C52" s="154">
        <v>43252</v>
      </c>
      <c r="D52" s="155">
        <v>0.11041666666666666</v>
      </c>
      <c r="E52" s="155">
        <v>0.18055555555555555</v>
      </c>
      <c r="F52" s="155">
        <v>0.16666666666666666</v>
      </c>
      <c r="G52" s="155">
        <v>0.15138888888888888</v>
      </c>
      <c r="H52" s="155">
        <v>0.19791666666666666</v>
      </c>
      <c r="I52" s="155">
        <v>0.1173611111111111</v>
      </c>
      <c r="J52" s="158">
        <v>0.17777777777777778</v>
      </c>
      <c r="K52" s="158">
        <v>0.16041666666666668</v>
      </c>
      <c r="L52" s="158">
        <v>0.16250000000000001</v>
      </c>
    </row>
    <row r="53" spans="3:12" ht="15.5" x14ac:dyDescent="0.35">
      <c r="C53" s="154">
        <v>43282</v>
      </c>
      <c r="D53" s="155">
        <v>0.12430555555555556</v>
      </c>
      <c r="E53" s="155">
        <v>0.21805555555555556</v>
      </c>
      <c r="F53" s="155">
        <v>0.19930555555555554</v>
      </c>
      <c r="G53" s="155">
        <v>0.17152777777777775</v>
      </c>
      <c r="H53" s="155">
        <v>0.15486111111111112</v>
      </c>
      <c r="I53" s="155">
        <v>0.14930555555555555</v>
      </c>
      <c r="J53" s="158">
        <v>0.15277777777777776</v>
      </c>
      <c r="K53" s="158">
        <v>0.20069444444444443</v>
      </c>
      <c r="L53" s="158">
        <v>0.16527777777777777</v>
      </c>
    </row>
    <row r="54" spans="3:12" ht="15.5" x14ac:dyDescent="0.35">
      <c r="C54" s="154">
        <v>43313</v>
      </c>
      <c r="D54" s="155">
        <v>9.6527777777777768E-2</v>
      </c>
      <c r="E54" s="155">
        <v>0.18958333333333333</v>
      </c>
      <c r="F54" s="155">
        <v>0.22916666666666666</v>
      </c>
      <c r="G54" s="155">
        <v>0.17361111111111113</v>
      </c>
      <c r="H54" s="155">
        <v>0.18263888888888891</v>
      </c>
      <c r="I54" s="155">
        <v>0.16111111111111112</v>
      </c>
      <c r="J54" s="158">
        <v>0.14930555555555555</v>
      </c>
      <c r="K54" s="158">
        <v>0.17013888888888887</v>
      </c>
      <c r="L54" s="158">
        <v>0.17500000000000002</v>
      </c>
    </row>
    <row r="55" spans="3:12" ht="15.5" x14ac:dyDescent="0.35">
      <c r="C55" s="154">
        <v>43344</v>
      </c>
      <c r="D55" s="155">
        <v>8.1944444444444445E-2</v>
      </c>
      <c r="E55" s="155">
        <v>0.19999999999999998</v>
      </c>
      <c r="F55" s="155">
        <v>0.21736111111111112</v>
      </c>
      <c r="G55" s="155">
        <v>0.16874999999999998</v>
      </c>
      <c r="H55" s="155">
        <v>0.20972222222222223</v>
      </c>
      <c r="I55" s="155">
        <v>0.13333333333333333</v>
      </c>
      <c r="J55" s="158">
        <v>0.15625</v>
      </c>
      <c r="K55" s="158">
        <v>0.15</v>
      </c>
      <c r="L55" s="158">
        <v>0.17222222222222225</v>
      </c>
    </row>
    <row r="56" spans="3:12" ht="15.5" x14ac:dyDescent="0.35">
      <c r="C56" s="154">
        <v>43374</v>
      </c>
      <c r="D56" s="155">
        <v>7.2916666666666671E-2</v>
      </c>
      <c r="E56" s="155">
        <v>0.17500000000000002</v>
      </c>
      <c r="F56" s="155">
        <v>0.16111111111111112</v>
      </c>
      <c r="G56" s="155">
        <v>0.16597222222222222</v>
      </c>
      <c r="H56" s="155">
        <v>0.19097222222222221</v>
      </c>
      <c r="I56" s="155">
        <v>0.13125000000000001</v>
      </c>
      <c r="J56" s="159">
        <v>0.16458333333333333</v>
      </c>
      <c r="K56" s="159">
        <v>0.14722222222222223</v>
      </c>
      <c r="L56" s="159">
        <v>0.16458333333333333</v>
      </c>
    </row>
    <row r="57" spans="3:12" ht="15.5" x14ac:dyDescent="0.35">
      <c r="C57" s="154">
        <v>43405</v>
      </c>
      <c r="D57" s="155">
        <v>7.5694444444444439E-2</v>
      </c>
      <c r="E57" s="155">
        <v>0.17916666666666667</v>
      </c>
      <c r="F57" s="155">
        <v>0.15694444444444444</v>
      </c>
      <c r="G57" s="155">
        <v>0.17152777777777775</v>
      </c>
      <c r="H57" s="155">
        <v>0.18402777777777779</v>
      </c>
      <c r="I57" s="155">
        <v>0.14027777777777778</v>
      </c>
      <c r="J57" s="159">
        <v>0</v>
      </c>
      <c r="K57" s="159">
        <v>0.16527777777777777</v>
      </c>
      <c r="L57" s="159">
        <v>0.17986111111111111</v>
      </c>
    </row>
    <row r="58" spans="3:12" ht="15.5" x14ac:dyDescent="0.35">
      <c r="C58" s="154">
        <v>43435</v>
      </c>
      <c r="D58" s="155">
        <v>7.4305555555555555E-2</v>
      </c>
      <c r="E58" s="155">
        <v>0.18541666666666667</v>
      </c>
      <c r="F58" s="155">
        <v>0.18263888888888891</v>
      </c>
      <c r="G58" s="155">
        <v>0.17986111111111111</v>
      </c>
      <c r="H58" s="155">
        <v>0.17430555555555557</v>
      </c>
      <c r="I58" s="155">
        <v>0.12986111111111112</v>
      </c>
      <c r="J58" s="159">
        <v>0</v>
      </c>
      <c r="K58" s="159">
        <v>0.16041666666666668</v>
      </c>
      <c r="L58" s="159">
        <v>0.15625</v>
      </c>
    </row>
    <row r="59" spans="3:12" ht="15.5" x14ac:dyDescent="0.35">
      <c r="C59" s="154">
        <v>43466</v>
      </c>
      <c r="D59" s="155">
        <v>8.4027777777777771E-2</v>
      </c>
      <c r="E59" s="155">
        <v>0.19027777777777777</v>
      </c>
      <c r="F59" s="155">
        <v>0.15138888888888888</v>
      </c>
      <c r="G59" s="155">
        <v>0.2076388888888889</v>
      </c>
      <c r="H59" s="155">
        <v>0.14027777777777778</v>
      </c>
      <c r="I59" s="155">
        <v>0.12638888888888888</v>
      </c>
      <c r="J59" s="159"/>
      <c r="K59" s="159">
        <v>0.15138888888888888</v>
      </c>
      <c r="L59" s="159">
        <v>0.16597222222222222</v>
      </c>
    </row>
    <row r="60" spans="3:12" ht="15.5" x14ac:dyDescent="0.35">
      <c r="C60" s="154">
        <v>43497</v>
      </c>
      <c r="D60" s="155">
        <v>7.5694444444444439E-2</v>
      </c>
      <c r="E60" s="155">
        <v>0.17847222222222223</v>
      </c>
      <c r="F60" s="155">
        <v>0.15069444444444444</v>
      </c>
      <c r="G60" s="155">
        <v>0.15486111111111112</v>
      </c>
      <c r="H60" s="155">
        <v>0.14444444444444446</v>
      </c>
      <c r="I60" s="155">
        <v>0.12847222222222224</v>
      </c>
      <c r="J60" s="159"/>
      <c r="K60" s="159">
        <v>0.16944444444444443</v>
      </c>
      <c r="L60" s="159">
        <v>0.16874999999999998</v>
      </c>
    </row>
    <row r="61" spans="3:12" ht="16" thickBot="1" x14ac:dyDescent="0.4">
      <c r="C61" s="160">
        <v>43525</v>
      </c>
      <c r="D61" s="161">
        <v>8.4027777777777771E-2</v>
      </c>
      <c r="E61" s="161">
        <v>0.17361111111111113</v>
      </c>
      <c r="F61" s="161">
        <v>0.13263888888888889</v>
      </c>
      <c r="G61" s="161">
        <v>0.15347222222222223</v>
      </c>
      <c r="H61" s="161">
        <v>0.13819444444444443</v>
      </c>
      <c r="I61" s="161">
        <v>0.1125</v>
      </c>
      <c r="J61" s="162">
        <v>0.10416666666666667</v>
      </c>
      <c r="K61" s="162">
        <v>0.14375000000000002</v>
      </c>
      <c r="L61" s="163">
        <v>0.18333333333333335</v>
      </c>
    </row>
    <row r="62" spans="3:12" ht="19" thickBot="1" x14ac:dyDescent="0.5">
      <c r="C62" s="164" t="s">
        <v>35</v>
      </c>
      <c r="D62" s="165">
        <v>9.1666666666666674E-2</v>
      </c>
      <c r="E62" s="165">
        <v>0.18958333333333333</v>
      </c>
      <c r="F62" s="165">
        <v>0.17361111111111113</v>
      </c>
      <c r="G62" s="165">
        <v>0.16944444444444443</v>
      </c>
      <c r="H62" s="165">
        <v>0.17361111111111113</v>
      </c>
      <c r="I62" s="165">
        <v>0.13263888888888889</v>
      </c>
      <c r="J62" s="166">
        <v>0.16111111111111112</v>
      </c>
      <c r="K62" s="166">
        <v>0.15833333333333333</v>
      </c>
      <c r="L62" s="167">
        <v>0.16805555555555554</v>
      </c>
    </row>
    <row r="65" spans="3:12" ht="15" thickBot="1" x14ac:dyDescent="0.4"/>
    <row r="66" spans="3:12" ht="19" thickBot="1" x14ac:dyDescent="0.5">
      <c r="C66" s="776" t="s">
        <v>38</v>
      </c>
      <c r="D66" s="777"/>
      <c r="E66" s="777"/>
      <c r="F66" s="777"/>
      <c r="G66" s="777"/>
      <c r="H66" s="777"/>
      <c r="I66" s="777"/>
      <c r="J66" s="777"/>
      <c r="K66" s="777"/>
      <c r="L66" s="778"/>
    </row>
    <row r="67" spans="3:12" x14ac:dyDescent="0.35">
      <c r="C67" t="s">
        <v>36</v>
      </c>
      <c r="D67" s="168">
        <f t="shared" ref="D67:I67" si="0">MIN(D70:D81,D84:D86)</f>
        <v>6.458333333333334E-2</v>
      </c>
      <c r="E67" s="168">
        <f t="shared" si="0"/>
        <v>0.19375000000000001</v>
      </c>
      <c r="F67" s="168">
        <f t="shared" si="0"/>
        <v>0.15555555555555556</v>
      </c>
      <c r="G67" s="168">
        <f t="shared" si="0"/>
        <v>0.15208333333333332</v>
      </c>
      <c r="H67" s="168">
        <f t="shared" si="0"/>
        <v>0.16388888888888889</v>
      </c>
      <c r="I67" s="168">
        <f t="shared" si="0"/>
        <v>0</v>
      </c>
    </row>
    <row r="68" spans="3:12" ht="15.5" x14ac:dyDescent="0.35">
      <c r="C68" s="169"/>
      <c r="D68" s="153" t="s">
        <v>25</v>
      </c>
      <c r="E68" s="153"/>
      <c r="F68" s="781" t="s">
        <v>26</v>
      </c>
      <c r="G68" s="781" t="s">
        <v>27</v>
      </c>
      <c r="H68" s="781" t="s">
        <v>28</v>
      </c>
      <c r="I68" s="781" t="s">
        <v>29</v>
      </c>
      <c r="J68" s="781" t="s">
        <v>30</v>
      </c>
      <c r="K68" s="781" t="s">
        <v>31</v>
      </c>
      <c r="L68" s="781" t="s">
        <v>32</v>
      </c>
    </row>
    <row r="69" spans="3:12" ht="15.5" x14ac:dyDescent="0.35">
      <c r="C69" s="169"/>
      <c r="D69" s="153" t="s">
        <v>33</v>
      </c>
      <c r="E69" s="153" t="s">
        <v>34</v>
      </c>
      <c r="F69" s="782"/>
      <c r="G69" s="782"/>
      <c r="H69" s="782"/>
      <c r="I69" s="782"/>
      <c r="J69" s="782"/>
      <c r="K69" s="782"/>
      <c r="L69" s="782"/>
    </row>
    <row r="70" spans="3:12" ht="15.5" x14ac:dyDescent="0.35">
      <c r="C70" s="170">
        <v>42826</v>
      </c>
      <c r="D70" s="157">
        <v>6.458333333333334E-2</v>
      </c>
      <c r="E70" s="157">
        <v>0.31111111111111112</v>
      </c>
      <c r="F70" s="157">
        <v>0.18333333333333335</v>
      </c>
      <c r="G70" s="157">
        <v>0.15416666666666667</v>
      </c>
      <c r="H70" s="157">
        <v>0.18263888888888891</v>
      </c>
    </row>
    <row r="71" spans="3:12" ht="15.5" x14ac:dyDescent="0.35">
      <c r="C71" s="170">
        <v>42856</v>
      </c>
      <c r="D71" s="157">
        <v>6.5277777777777782E-2</v>
      </c>
      <c r="E71" s="157">
        <v>0.23402777777777781</v>
      </c>
      <c r="F71" s="157">
        <v>0.18888888888888888</v>
      </c>
      <c r="G71" s="157">
        <v>0.15625</v>
      </c>
      <c r="H71" s="157">
        <v>0.19583333333333333</v>
      </c>
    </row>
    <row r="72" spans="3:12" ht="15.5" x14ac:dyDescent="0.35">
      <c r="C72" s="170">
        <v>42887</v>
      </c>
      <c r="D72" s="157">
        <v>9.8611111111111108E-2</v>
      </c>
      <c r="E72" s="157">
        <v>0.22916666666666666</v>
      </c>
      <c r="F72" s="157">
        <v>0.18611111111111112</v>
      </c>
      <c r="G72" s="157">
        <v>0.15208333333333332</v>
      </c>
      <c r="H72" s="157">
        <v>0.20277777777777781</v>
      </c>
    </row>
    <row r="73" spans="3:12" ht="15.5" x14ac:dyDescent="0.35">
      <c r="C73" s="170">
        <v>42917</v>
      </c>
      <c r="D73" s="157">
        <v>7.6388888888888895E-2</v>
      </c>
      <c r="E73" s="157">
        <v>0.26944444444444443</v>
      </c>
      <c r="F73" s="157">
        <v>0.20347222222222219</v>
      </c>
      <c r="G73" s="157">
        <v>0.17986111111111111</v>
      </c>
      <c r="H73" s="157">
        <v>0.24444444444444446</v>
      </c>
    </row>
    <row r="74" spans="3:12" ht="15.5" x14ac:dyDescent="0.35">
      <c r="C74" s="170">
        <v>42948</v>
      </c>
      <c r="D74" s="157">
        <v>7.6388888888888895E-2</v>
      </c>
      <c r="E74" s="157">
        <v>0.25763888888888892</v>
      </c>
      <c r="F74" s="157">
        <v>0.19027777777777777</v>
      </c>
      <c r="G74" s="157">
        <v>0.17013888888888887</v>
      </c>
      <c r="H74" s="157">
        <v>0.21388888888888891</v>
      </c>
    </row>
    <row r="75" spans="3:12" ht="15.5" x14ac:dyDescent="0.35">
      <c r="C75" s="170">
        <v>42979</v>
      </c>
      <c r="D75" s="157">
        <v>7.2916666666666671E-2</v>
      </c>
      <c r="E75" s="157">
        <v>0.29236111111111113</v>
      </c>
      <c r="F75" s="157">
        <v>0.17083333333333331</v>
      </c>
      <c r="G75" s="157">
        <v>0.16944444444444443</v>
      </c>
      <c r="H75" s="157">
        <v>0.22430555555555556</v>
      </c>
    </row>
    <row r="76" spans="3:12" ht="15.5" x14ac:dyDescent="0.35">
      <c r="C76" s="170">
        <v>43009</v>
      </c>
      <c r="D76" s="157">
        <v>7.013888888888889E-2</v>
      </c>
      <c r="E76" s="157">
        <v>0.27499999999999997</v>
      </c>
      <c r="F76" s="157">
        <v>0.18472222222222223</v>
      </c>
      <c r="G76" s="157">
        <v>0.21249999999999999</v>
      </c>
      <c r="H76" s="157">
        <v>0.18472222222222223</v>
      </c>
    </row>
    <row r="77" spans="3:12" ht="15.5" x14ac:dyDescent="0.35">
      <c r="C77" s="170">
        <v>43040</v>
      </c>
      <c r="D77" s="157">
        <v>7.7777777777777779E-2</v>
      </c>
      <c r="E77" s="157">
        <v>0.24444444444444446</v>
      </c>
      <c r="F77" s="157">
        <v>0.17361111111111113</v>
      </c>
      <c r="G77" s="157">
        <v>0.16666666666666666</v>
      </c>
      <c r="H77" s="157">
        <v>0.18819444444444444</v>
      </c>
    </row>
    <row r="78" spans="3:12" ht="15.5" x14ac:dyDescent="0.35">
      <c r="C78" s="170">
        <v>43070</v>
      </c>
      <c r="D78" s="171">
        <v>8.1250000000000003E-2</v>
      </c>
      <c r="E78" s="171">
        <v>0.21319444444444444</v>
      </c>
      <c r="F78" s="171">
        <v>0.16388888888888889</v>
      </c>
      <c r="G78" s="171">
        <v>0.15625</v>
      </c>
      <c r="H78" s="171">
        <v>0.18333333333333335</v>
      </c>
    </row>
    <row r="79" spans="3:12" ht="15.5" x14ac:dyDescent="0.35">
      <c r="C79" s="170">
        <v>43101</v>
      </c>
      <c r="D79" s="155">
        <v>7.6388888888888895E-2</v>
      </c>
      <c r="E79" s="155">
        <v>0.19791666666666666</v>
      </c>
      <c r="F79" s="155">
        <v>0.15555555555555556</v>
      </c>
      <c r="G79" s="155">
        <v>0.15277777777777776</v>
      </c>
      <c r="H79" s="155">
        <v>0.16388888888888889</v>
      </c>
    </row>
    <row r="80" spans="3:12" ht="15.5" x14ac:dyDescent="0.35">
      <c r="C80" s="170">
        <v>43132</v>
      </c>
      <c r="D80" s="155">
        <v>7.4999999999999997E-2</v>
      </c>
      <c r="E80" s="155">
        <v>0.19375000000000001</v>
      </c>
      <c r="F80" s="155">
        <v>0.16458333333333333</v>
      </c>
      <c r="G80" s="155">
        <v>0.16111111111111112</v>
      </c>
      <c r="H80" s="155">
        <v>0.18402777777777779</v>
      </c>
    </row>
    <row r="81" spans="3:12" ht="16" thickBot="1" x14ac:dyDescent="0.4">
      <c r="C81" s="172">
        <v>43160</v>
      </c>
      <c r="D81" s="173">
        <v>7.4305555555555555E-2</v>
      </c>
      <c r="E81" s="173">
        <v>0.22222222222222221</v>
      </c>
      <c r="F81" s="173">
        <v>0.15902777777777777</v>
      </c>
      <c r="G81" s="173">
        <v>0.15555555555555556</v>
      </c>
      <c r="H81" s="173">
        <v>0.17916666666666667</v>
      </c>
    </row>
    <row r="82" spans="3:12" ht="19" thickBot="1" x14ac:dyDescent="0.5">
      <c r="C82" s="174" t="s">
        <v>37</v>
      </c>
      <c r="D82" s="175">
        <f>+AVERAGE(D70:D81)</f>
        <v>7.57523148148148E-2</v>
      </c>
      <c r="E82" s="175">
        <f>+AVERAGE(E70:E81)</f>
        <v>0.24502314814814816</v>
      </c>
      <c r="F82" s="175">
        <f>+AVERAGE(F70:F81)</f>
        <v>0.17702546296296295</v>
      </c>
      <c r="G82" s="175">
        <f>+AVERAGE(G70:G81)</f>
        <v>0.16556712962962963</v>
      </c>
      <c r="H82" s="176">
        <f>+AVERAGE(H70:H81)</f>
        <v>0.19560185185185186</v>
      </c>
      <c r="J82" s="166">
        <v>0.16388888888888889</v>
      </c>
      <c r="K82" s="166">
        <v>0.16111111111111112</v>
      </c>
      <c r="L82" s="167">
        <v>0.1673611111111111</v>
      </c>
    </row>
  </sheetData>
  <mergeCells count="34">
    <mergeCell ref="F68:F69"/>
    <mergeCell ref="G68:G69"/>
    <mergeCell ref="H68:H69"/>
    <mergeCell ref="I68:I69"/>
    <mergeCell ref="C66:L66"/>
    <mergeCell ref="J68:J69"/>
    <mergeCell ref="K68:K69"/>
    <mergeCell ref="L68:L69"/>
    <mergeCell ref="C46:L46"/>
    <mergeCell ref="F48:F49"/>
    <mergeCell ref="G48:G49"/>
    <mergeCell ref="H48:H49"/>
    <mergeCell ref="I48:I49"/>
    <mergeCell ref="J48:J49"/>
    <mergeCell ref="K48:K49"/>
    <mergeCell ref="L48:L49"/>
    <mergeCell ref="C22:L22"/>
    <mergeCell ref="F24:F25"/>
    <mergeCell ref="G24:G25"/>
    <mergeCell ref="H24:H25"/>
    <mergeCell ref="I24:I25"/>
    <mergeCell ref="J24:J25"/>
    <mergeCell ref="K24:K25"/>
    <mergeCell ref="L24:L25"/>
    <mergeCell ref="D24:E24"/>
    <mergeCell ref="C3:L3"/>
    <mergeCell ref="D5:E5"/>
    <mergeCell ref="F5:F6"/>
    <mergeCell ref="G5:G6"/>
    <mergeCell ref="H5:H6"/>
    <mergeCell ref="I5:I6"/>
    <mergeCell ref="J5:J6"/>
    <mergeCell ref="K5:K6"/>
    <mergeCell ref="L5:L6"/>
  </mergeCells>
  <conditionalFormatting sqref="Q17">
    <cfRule type="cellIs" dxfId="34" priority="1" operator="greaterThan">
      <formula>5</formula>
    </cfRule>
  </conditionalFormatting>
  <pageMargins left="0.70866141732283472" right="0.70866141732283472" top="0.74803149606299213" bottom="0.74803149606299213" header="0.31496062992125984" footer="0.31496062992125984"/>
  <pageSetup scale="68" orientation="portrait" blackAndWhite="1" r:id="rId1"/>
  <headerFooter>
    <oddFooter>&amp;L&amp;Z&amp;F&amp;F&amp;R&amp;D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P56"/>
  <sheetViews>
    <sheetView topLeftCell="A35" workbookViewId="0">
      <selection activeCell="J46" sqref="J46"/>
    </sheetView>
  </sheetViews>
  <sheetFormatPr defaultRowHeight="14.5" x14ac:dyDescent="0.35"/>
  <cols>
    <col min="2" max="2" width="23.54296875" customWidth="1"/>
    <col min="3" max="3" width="11.453125" bestFit="1" customWidth="1"/>
    <col min="4" max="12" width="9.36328125" bestFit="1" customWidth="1"/>
    <col min="13" max="14" width="8.81640625" bestFit="1" customWidth="1"/>
    <col min="15" max="15" width="9.36328125" bestFit="1" customWidth="1"/>
  </cols>
  <sheetData>
    <row r="2" spans="2:15" x14ac:dyDescent="0.35">
      <c r="B2" s="763" t="s">
        <v>240</v>
      </c>
    </row>
    <row r="5" spans="2:15" x14ac:dyDescent="0.35">
      <c r="C5" s="764">
        <v>44287</v>
      </c>
      <c r="D5" s="764">
        <v>44317</v>
      </c>
      <c r="E5" s="764">
        <v>44348</v>
      </c>
      <c r="F5" s="764">
        <v>44378</v>
      </c>
      <c r="G5" s="764">
        <v>44409</v>
      </c>
      <c r="H5" s="764">
        <v>44440</v>
      </c>
      <c r="I5" s="764">
        <v>44470</v>
      </c>
      <c r="J5" s="764">
        <v>44501</v>
      </c>
      <c r="K5" s="764">
        <v>44531</v>
      </c>
      <c r="L5" s="764">
        <v>44562</v>
      </c>
      <c r="M5" s="764">
        <v>44593</v>
      </c>
      <c r="N5" s="764">
        <v>44621</v>
      </c>
      <c r="O5" s="764" t="s">
        <v>244</v>
      </c>
    </row>
    <row r="6" spans="2:15" x14ac:dyDescent="0.35">
      <c r="B6" s="763" t="s">
        <v>241</v>
      </c>
      <c r="C6" s="764"/>
      <c r="D6" s="764"/>
      <c r="E6" s="764"/>
      <c r="F6" s="764"/>
      <c r="G6" s="764"/>
      <c r="H6" s="764"/>
      <c r="I6" s="764"/>
      <c r="J6" s="764"/>
      <c r="K6" s="764"/>
      <c r="L6" s="764"/>
      <c r="M6" s="764"/>
      <c r="N6" s="764"/>
      <c r="O6" s="764"/>
    </row>
    <row r="7" spans="2:15" x14ac:dyDescent="0.35">
      <c r="B7" s="765" t="s">
        <v>89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</row>
    <row r="8" spans="2:15" x14ac:dyDescent="0.35">
      <c r="B8" s="766" t="s">
        <v>242</v>
      </c>
      <c r="C8" s="416">
        <v>7.1527777777777787E-2</v>
      </c>
      <c r="D8" s="416">
        <v>8.0555555555555561E-2</v>
      </c>
      <c r="E8" s="416">
        <v>7.9166666666666663E-2</v>
      </c>
      <c r="F8" s="416">
        <v>8.1944444444444445E-2</v>
      </c>
      <c r="G8" s="416">
        <v>8.3333333333333329E-2</v>
      </c>
      <c r="H8" s="416">
        <v>7.7777777777777779E-2</v>
      </c>
      <c r="I8" s="416">
        <v>8.7500000000000008E-2</v>
      </c>
      <c r="J8" s="416">
        <v>7.7777777777777779E-2</v>
      </c>
      <c r="K8" s="416">
        <v>8.4722222222222213E-2</v>
      </c>
      <c r="L8" s="416">
        <v>7.6388888888888895E-2</v>
      </c>
      <c r="M8" s="156"/>
      <c r="N8" s="156"/>
      <c r="O8" s="156"/>
    </row>
    <row r="9" spans="2:15" x14ac:dyDescent="0.35">
      <c r="B9" s="766" t="s">
        <v>243</v>
      </c>
      <c r="C9" s="416">
        <v>0.17500000000000002</v>
      </c>
      <c r="D9" s="416">
        <v>0.18402777777777779</v>
      </c>
      <c r="E9" s="416">
        <v>0.15972222222222224</v>
      </c>
      <c r="F9" s="416">
        <v>0.14652777777777778</v>
      </c>
      <c r="G9" s="416">
        <v>0.13194444444444445</v>
      </c>
      <c r="H9" s="416">
        <v>0.1451388888888889</v>
      </c>
      <c r="I9" s="416">
        <v>0.1388888888888889</v>
      </c>
      <c r="J9" s="416">
        <v>0.16180555555555556</v>
      </c>
      <c r="K9" s="416">
        <v>0.15763888888888888</v>
      </c>
      <c r="L9" s="416">
        <v>0.14444444444444446</v>
      </c>
      <c r="M9" s="156"/>
      <c r="N9" s="156"/>
      <c r="O9" s="156"/>
    </row>
    <row r="10" spans="2:15" x14ac:dyDescent="0.35">
      <c r="B10" s="767" t="s">
        <v>251</v>
      </c>
      <c r="C10" s="416">
        <v>0.17013888888888887</v>
      </c>
      <c r="D10" s="416">
        <v>0.14583333333333334</v>
      </c>
      <c r="E10" s="416">
        <v>0.15625</v>
      </c>
      <c r="F10" s="416">
        <v>0.27916666666666667</v>
      </c>
      <c r="G10" s="416">
        <v>0.21666666666666667</v>
      </c>
      <c r="H10" s="416">
        <v>0.17916666666666667</v>
      </c>
      <c r="I10" s="416">
        <v>0.15347222222222223</v>
      </c>
      <c r="J10" s="416">
        <v>0.16944444444444443</v>
      </c>
      <c r="K10" s="416">
        <v>0.17152777777777775</v>
      </c>
      <c r="L10" s="416">
        <v>0.14583333333333334</v>
      </c>
      <c r="M10" s="156"/>
      <c r="N10" s="156"/>
      <c r="O10" s="156"/>
    </row>
    <row r="11" spans="2:15" x14ac:dyDescent="0.35">
      <c r="B11" s="767" t="s">
        <v>249</v>
      </c>
      <c r="C11" s="416">
        <v>0.18680555555555556</v>
      </c>
      <c r="D11" s="416">
        <v>0.17569444444444446</v>
      </c>
      <c r="E11" s="416">
        <v>0.18124999999999999</v>
      </c>
      <c r="F11" s="416">
        <v>0.20833333333333334</v>
      </c>
      <c r="G11" s="416">
        <v>0.16111111111111112</v>
      </c>
      <c r="H11" s="416">
        <v>0.26250000000000001</v>
      </c>
      <c r="I11" s="416">
        <v>0.20625000000000002</v>
      </c>
      <c r="J11" s="416">
        <v>0.22708333333333333</v>
      </c>
      <c r="K11" s="416">
        <v>0.24513888888888888</v>
      </c>
      <c r="L11" s="416">
        <v>0.23194444444444443</v>
      </c>
      <c r="M11" s="156"/>
      <c r="N11" s="156"/>
      <c r="O11" s="156"/>
    </row>
    <row r="12" spans="2:15" x14ac:dyDescent="0.35">
      <c r="B12" s="767" t="s">
        <v>250</v>
      </c>
      <c r="C12" s="416">
        <v>0.1875</v>
      </c>
      <c r="D12" s="416">
        <v>0.18055555555555555</v>
      </c>
      <c r="E12" s="416">
        <v>0.16666666666666666</v>
      </c>
      <c r="F12" s="416"/>
      <c r="G12" s="416"/>
      <c r="H12" s="416"/>
      <c r="I12" s="416">
        <v>0.20138888888888887</v>
      </c>
      <c r="J12" s="416"/>
      <c r="K12" s="416">
        <v>0.19375000000000001</v>
      </c>
      <c r="L12" s="416">
        <v>0.17361111111111113</v>
      </c>
      <c r="M12" s="156"/>
      <c r="N12" s="156"/>
      <c r="O12" s="156"/>
    </row>
    <row r="14" spans="2:15" x14ac:dyDescent="0.35">
      <c r="B14" s="763" t="s">
        <v>245</v>
      </c>
    </row>
    <row r="15" spans="2:15" x14ac:dyDescent="0.35">
      <c r="B15" s="765" t="s">
        <v>246</v>
      </c>
      <c r="C15" s="416">
        <v>0.18194444444444444</v>
      </c>
      <c r="D15" s="416">
        <v>0.18263888888888891</v>
      </c>
      <c r="E15" s="416">
        <v>0.19097222222222221</v>
      </c>
      <c r="F15" s="416">
        <v>0.18541666666666667</v>
      </c>
      <c r="G15" s="416">
        <v>0.1875</v>
      </c>
      <c r="H15" s="416">
        <v>0.20486111111111113</v>
      </c>
      <c r="I15" s="416">
        <v>0.1673611111111111</v>
      </c>
      <c r="J15" s="416">
        <v>0.18194444444444444</v>
      </c>
      <c r="K15" s="416">
        <v>0.18333333333333335</v>
      </c>
      <c r="L15" s="416">
        <v>0.17500000000000002</v>
      </c>
      <c r="M15" s="416"/>
      <c r="N15" s="156"/>
      <c r="O15" s="416"/>
    </row>
    <row r="16" spans="2:15" x14ac:dyDescent="0.35">
      <c r="B16" s="765" t="s">
        <v>247</v>
      </c>
      <c r="C16" s="416">
        <v>0.13194444444444445</v>
      </c>
      <c r="D16" s="416">
        <v>0.15763888888888888</v>
      </c>
      <c r="E16" s="416">
        <v>0.1451388888888889</v>
      </c>
      <c r="F16" s="416">
        <v>0.15138888888888888</v>
      </c>
      <c r="G16" s="416">
        <v>0.16250000000000001</v>
      </c>
      <c r="H16" s="416">
        <v>0.13749999999999998</v>
      </c>
      <c r="I16" s="416">
        <v>0.13819444444444443</v>
      </c>
      <c r="J16" s="416">
        <v>0.1388888888888889</v>
      </c>
      <c r="K16" s="416">
        <v>0.1763888888888889</v>
      </c>
      <c r="L16" s="416">
        <v>0.16111111111111112</v>
      </c>
      <c r="M16" s="156"/>
      <c r="N16" s="156"/>
      <c r="O16" s="156"/>
    </row>
    <row r="17" spans="2:16" x14ac:dyDescent="0.35">
      <c r="B17" s="765" t="s">
        <v>248</v>
      </c>
      <c r="C17" s="416">
        <v>0.13541666666666666</v>
      </c>
      <c r="D17" s="416">
        <v>0.13194444444444445</v>
      </c>
      <c r="E17" s="416">
        <v>0.13194444444444445</v>
      </c>
      <c r="F17" s="416">
        <v>0.12361111111111112</v>
      </c>
      <c r="G17" s="416">
        <v>0.125</v>
      </c>
      <c r="H17" s="416">
        <v>0.1111111111111111</v>
      </c>
      <c r="I17" s="416">
        <v>0.1076388888888889</v>
      </c>
      <c r="J17" s="416">
        <v>0.17222222222222225</v>
      </c>
      <c r="K17" s="416">
        <v>0.14861111111111111</v>
      </c>
      <c r="L17" s="416">
        <v>0.13055555555555556</v>
      </c>
      <c r="M17" s="156"/>
      <c r="N17" s="156"/>
      <c r="O17" s="156"/>
    </row>
    <row r="20" spans="2:16" x14ac:dyDescent="0.35">
      <c r="B20" s="763" t="s">
        <v>252</v>
      </c>
    </row>
    <row r="23" spans="2:16" x14ac:dyDescent="0.35">
      <c r="C23" s="770">
        <v>44287</v>
      </c>
      <c r="D23" s="770">
        <v>44317</v>
      </c>
      <c r="E23" s="770">
        <v>44348</v>
      </c>
      <c r="F23" s="770">
        <v>44378</v>
      </c>
      <c r="G23" s="770">
        <v>44409</v>
      </c>
      <c r="H23" s="770">
        <v>44440</v>
      </c>
      <c r="I23" s="770">
        <v>44470</v>
      </c>
      <c r="J23" s="770">
        <v>44501</v>
      </c>
      <c r="K23" s="770">
        <v>44531</v>
      </c>
      <c r="L23" s="770">
        <v>44562</v>
      </c>
      <c r="M23" s="770">
        <v>44593</v>
      </c>
      <c r="N23" s="770">
        <v>44621</v>
      </c>
      <c r="O23" s="770" t="s">
        <v>244</v>
      </c>
    </row>
    <row r="24" spans="2:16" x14ac:dyDescent="0.35">
      <c r="B24" s="763" t="s">
        <v>241</v>
      </c>
      <c r="C24" s="764"/>
      <c r="D24" s="764"/>
      <c r="E24" s="764"/>
      <c r="F24" s="764"/>
      <c r="G24" s="764"/>
      <c r="H24" s="764"/>
      <c r="I24" s="764"/>
      <c r="J24" s="764"/>
      <c r="K24" s="764"/>
      <c r="L24" s="764"/>
      <c r="M24" s="764"/>
      <c r="N24" s="764"/>
      <c r="O24" s="764"/>
    </row>
    <row r="25" spans="2:16" x14ac:dyDescent="0.35">
      <c r="B25" s="765" t="s">
        <v>89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</row>
    <row r="26" spans="2:16" x14ac:dyDescent="0.35">
      <c r="B26" s="766" t="s">
        <v>242</v>
      </c>
      <c r="C26" s="768">
        <v>0.53333333333333333</v>
      </c>
      <c r="D26" s="768">
        <v>0.4838709677419355</v>
      </c>
      <c r="E26" s="768">
        <v>0.66666666666666663</v>
      </c>
      <c r="F26" s="768">
        <v>0.87096774193548387</v>
      </c>
      <c r="G26" s="768">
        <v>0.80645161290322576</v>
      </c>
      <c r="H26" s="768">
        <v>0.8</v>
      </c>
      <c r="I26" s="768">
        <v>0.87096774193548387</v>
      </c>
      <c r="J26" s="768">
        <v>0.73333333333333328</v>
      </c>
      <c r="K26" s="768">
        <v>0.64516129032258063</v>
      </c>
      <c r="L26" s="768">
        <v>0.74193548387096775</v>
      </c>
      <c r="M26" s="156"/>
      <c r="N26" s="156"/>
      <c r="O26" s="772">
        <v>0.71568627450980393</v>
      </c>
      <c r="P26">
        <f>O26*306</f>
        <v>219</v>
      </c>
    </row>
    <row r="27" spans="2:16" x14ac:dyDescent="0.35">
      <c r="B27" s="766" t="s">
        <v>243</v>
      </c>
      <c r="C27" s="768">
        <v>2.0333333333333332</v>
      </c>
      <c r="D27" s="768">
        <v>1.4838709677419355</v>
      </c>
      <c r="E27" s="768">
        <v>2.1333333333333333</v>
      </c>
      <c r="F27" s="768">
        <v>2.2580645161290325</v>
      </c>
      <c r="G27" s="768">
        <v>2.129032258064516</v>
      </c>
      <c r="H27" s="768">
        <v>2</v>
      </c>
      <c r="I27" s="768">
        <v>2.032258064516129</v>
      </c>
      <c r="J27" s="768">
        <v>2.4666666666666668</v>
      </c>
      <c r="K27" s="768">
        <v>2.806451612903226</v>
      </c>
      <c r="L27" s="768">
        <v>2.4838709677419355</v>
      </c>
      <c r="M27" s="156"/>
      <c r="N27" s="156"/>
      <c r="O27" s="772">
        <v>2.1830065359477122</v>
      </c>
      <c r="P27">
        <f t="shared" ref="P27:P37" si="0">O27*306</f>
        <v>667.99999999999989</v>
      </c>
    </row>
    <row r="28" spans="2:16" x14ac:dyDescent="0.35">
      <c r="B28" s="767" t="s">
        <v>251</v>
      </c>
      <c r="C28" s="768">
        <v>2.7</v>
      </c>
      <c r="D28" s="768">
        <v>1.3548387096774193</v>
      </c>
      <c r="E28" s="768">
        <v>2.6</v>
      </c>
      <c r="F28" s="768">
        <v>2.6774193548387095</v>
      </c>
      <c r="G28" s="768">
        <v>2.838709677419355</v>
      </c>
      <c r="H28" s="768">
        <v>2.8333333333333335</v>
      </c>
      <c r="I28" s="768">
        <v>2.4516129032258065</v>
      </c>
      <c r="J28" s="768">
        <v>3.0666666666666669</v>
      </c>
      <c r="K28" s="768">
        <v>2.870967741935484</v>
      </c>
      <c r="L28" s="768">
        <v>2.806451612903226</v>
      </c>
      <c r="M28" s="156"/>
      <c r="N28" s="156"/>
      <c r="O28" s="772">
        <v>2.6176470588235294</v>
      </c>
      <c r="P28" s="775">
        <f t="shared" si="0"/>
        <v>801</v>
      </c>
    </row>
    <row r="29" spans="2:16" x14ac:dyDescent="0.35">
      <c r="B29" s="767" t="s">
        <v>249</v>
      </c>
      <c r="C29" s="768">
        <v>3</v>
      </c>
      <c r="D29" s="768">
        <v>2.838709677419355</v>
      </c>
      <c r="E29" s="768">
        <v>2.8666666666666667</v>
      </c>
      <c r="F29" s="768">
        <v>2.7419354838709675</v>
      </c>
      <c r="G29" s="768">
        <v>2.870967741935484</v>
      </c>
      <c r="H29" s="768">
        <v>2.3666666666666667</v>
      </c>
      <c r="I29" s="768">
        <v>2.6129032258064515</v>
      </c>
      <c r="J29" s="768">
        <v>2.8333333333333335</v>
      </c>
      <c r="K29" s="768">
        <v>2.935483870967742</v>
      </c>
      <c r="L29" s="768">
        <v>2.935483870967742</v>
      </c>
      <c r="M29" s="156"/>
      <c r="N29" s="156"/>
      <c r="O29" s="772">
        <v>2.8006535947712417</v>
      </c>
      <c r="P29">
        <f t="shared" si="0"/>
        <v>857</v>
      </c>
    </row>
    <row r="30" spans="2:16" x14ac:dyDescent="0.35">
      <c r="B30" s="767" t="s">
        <v>250</v>
      </c>
      <c r="C30" s="768">
        <v>0.1</v>
      </c>
      <c r="D30" s="768">
        <v>0.41935483870967744</v>
      </c>
      <c r="E30" s="768">
        <v>3.3333333333333333E-2</v>
      </c>
      <c r="F30" s="768">
        <v>0</v>
      </c>
      <c r="G30" s="768">
        <v>0</v>
      </c>
      <c r="H30" s="768">
        <v>0</v>
      </c>
      <c r="I30" s="768">
        <v>3.2258064516129031E-2</v>
      </c>
      <c r="J30" s="768">
        <v>0</v>
      </c>
      <c r="K30" s="768">
        <v>0.12903225806451613</v>
      </c>
      <c r="L30" s="768">
        <v>6.4516129032258063E-2</v>
      </c>
      <c r="M30" s="156"/>
      <c r="N30" s="156"/>
      <c r="O30" s="772">
        <v>7.8431372549019607E-2</v>
      </c>
      <c r="P30" s="763">
        <f t="shared" si="0"/>
        <v>24</v>
      </c>
    </row>
    <row r="31" spans="2:16" x14ac:dyDescent="0.35">
      <c r="C31" s="489"/>
      <c r="D31" s="489"/>
      <c r="E31" s="489"/>
      <c r="F31" s="489"/>
      <c r="G31" s="489"/>
      <c r="H31" s="489"/>
      <c r="I31" s="489"/>
      <c r="J31" s="489"/>
      <c r="K31" s="489"/>
      <c r="L31" s="489"/>
      <c r="O31" s="763"/>
      <c r="P31">
        <f t="shared" si="0"/>
        <v>0</v>
      </c>
    </row>
    <row r="32" spans="2:16" x14ac:dyDescent="0.35">
      <c r="B32" s="763" t="s">
        <v>245</v>
      </c>
      <c r="C32" s="489"/>
      <c r="D32" s="489"/>
      <c r="E32" s="489"/>
      <c r="F32" s="489"/>
      <c r="G32" s="489"/>
      <c r="H32" s="489"/>
      <c r="I32" s="489"/>
      <c r="J32" s="489"/>
      <c r="K32" s="489"/>
      <c r="L32" s="489"/>
      <c r="O32" s="763"/>
      <c r="P32">
        <f t="shared" si="0"/>
        <v>0</v>
      </c>
    </row>
    <row r="33" spans="2:16" x14ac:dyDescent="0.35">
      <c r="B33" s="765" t="s">
        <v>246</v>
      </c>
      <c r="C33" s="768">
        <v>3.5333333333333332</v>
      </c>
      <c r="D33" s="768">
        <v>4.032258064516129</v>
      </c>
      <c r="E33" s="768">
        <v>4.7333333333333334</v>
      </c>
      <c r="F33" s="768">
        <v>5.290322580645161</v>
      </c>
      <c r="G33" s="768">
        <v>5.354838709677419</v>
      </c>
      <c r="H33" s="768">
        <v>4.3666666666666663</v>
      </c>
      <c r="I33" s="768">
        <v>5.225806451612903</v>
      </c>
      <c r="J33" s="768">
        <v>5.3666666666666663</v>
      </c>
      <c r="K33" s="768">
        <v>5.129032258064516</v>
      </c>
      <c r="L33" s="768">
        <v>5.096774193548387</v>
      </c>
      <c r="M33" s="769"/>
      <c r="N33" s="769"/>
      <c r="O33" s="772">
        <v>4.8169934640522873</v>
      </c>
      <c r="P33" s="763">
        <f>O33*306</f>
        <v>1474</v>
      </c>
    </row>
    <row r="34" spans="2:16" x14ac:dyDescent="0.35">
      <c r="B34" s="765" t="s">
        <v>253</v>
      </c>
      <c r="C34" s="768">
        <v>3.1666666666666665</v>
      </c>
      <c r="D34" s="768">
        <v>3</v>
      </c>
      <c r="E34" s="768">
        <v>2.8666666666666667</v>
      </c>
      <c r="F34" s="768">
        <v>2.5483870967741935</v>
      </c>
      <c r="G34" s="768">
        <v>3</v>
      </c>
      <c r="H34" s="768">
        <v>2.8666666666666667</v>
      </c>
      <c r="I34" s="768">
        <v>3.161290322580645</v>
      </c>
      <c r="J34" s="768">
        <v>3.1333333333333333</v>
      </c>
      <c r="K34" s="768">
        <v>2.3548387096774195</v>
      </c>
      <c r="L34" s="768">
        <v>2.096774193548387</v>
      </c>
      <c r="M34" s="769"/>
      <c r="N34" s="769"/>
      <c r="O34" s="772">
        <f>(550+312)/306</f>
        <v>2.8169934640522878</v>
      </c>
      <c r="P34">
        <f t="shared" si="0"/>
        <v>862.00000000000011</v>
      </c>
    </row>
    <row r="35" spans="2:16" x14ac:dyDescent="0.35">
      <c r="B35" s="765" t="s">
        <v>248</v>
      </c>
      <c r="C35" s="768">
        <v>2.6333333333333333</v>
      </c>
      <c r="D35" s="768">
        <v>2.193548387096774</v>
      </c>
      <c r="E35" s="768">
        <v>0.8666666666666667</v>
      </c>
      <c r="F35" s="768">
        <v>3</v>
      </c>
      <c r="G35" s="768">
        <v>2.4193548387096775</v>
      </c>
      <c r="H35" s="768">
        <v>2.4</v>
      </c>
      <c r="I35" s="768">
        <v>2.6774193548387095</v>
      </c>
      <c r="J35" s="768">
        <v>2.8</v>
      </c>
      <c r="K35" s="768">
        <v>2.6774193548387095</v>
      </c>
      <c r="L35" s="768">
        <v>2.6451612903225805</v>
      </c>
      <c r="M35" s="769"/>
      <c r="N35" s="769"/>
      <c r="O35" s="772">
        <v>2.4346405228758168</v>
      </c>
      <c r="P35">
        <f t="shared" si="0"/>
        <v>744.99999999999989</v>
      </c>
    </row>
    <row r="36" spans="2:16" x14ac:dyDescent="0.35">
      <c r="O36" s="763"/>
      <c r="P36">
        <f t="shared" si="0"/>
        <v>0</v>
      </c>
    </row>
    <row r="37" spans="2:16" x14ac:dyDescent="0.35">
      <c r="B37" s="771" t="s">
        <v>6</v>
      </c>
      <c r="C37" s="772">
        <f t="shared" ref="C37:K37" si="1">SUM(C33:C36)+SUM(C26:C30)</f>
        <v>17.699999999999996</v>
      </c>
      <c r="D37" s="772">
        <f t="shared" si="1"/>
        <v>15.806451612903226</v>
      </c>
      <c r="E37" s="772">
        <f t="shared" si="1"/>
        <v>16.766666666666666</v>
      </c>
      <c r="F37" s="772">
        <f t="shared" si="1"/>
        <v>19.387096774193548</v>
      </c>
      <c r="G37" s="772">
        <f t="shared" si="1"/>
        <v>19.41935483870968</v>
      </c>
      <c r="H37" s="772">
        <f t="shared" si="1"/>
        <v>17.633333333333333</v>
      </c>
      <c r="I37" s="772">
        <f t="shared" si="1"/>
        <v>19.06451612903226</v>
      </c>
      <c r="J37" s="772">
        <f t="shared" si="1"/>
        <v>20.400000000000002</v>
      </c>
      <c r="K37" s="772">
        <f t="shared" si="1"/>
        <v>19.548387096774192</v>
      </c>
      <c r="L37" s="772">
        <f>SUM(L33:L36)+SUM(L26:L30)</f>
        <v>18.870967741935484</v>
      </c>
      <c r="M37" s="772"/>
      <c r="N37" s="772"/>
      <c r="O37" s="772">
        <f>SUM(O33:O36)+SUM(O26:O30)</f>
        <v>18.464052287581701</v>
      </c>
      <c r="P37">
        <f t="shared" si="0"/>
        <v>5650.0000000000009</v>
      </c>
    </row>
    <row r="40" spans="2:16" x14ac:dyDescent="0.35">
      <c r="C40">
        <v>79</v>
      </c>
      <c r="D40">
        <v>68</v>
      </c>
      <c r="E40">
        <v>26</v>
      </c>
      <c r="F40">
        <v>93</v>
      </c>
      <c r="G40">
        <v>75</v>
      </c>
      <c r="H40">
        <v>72</v>
      </c>
      <c r="I40">
        <v>83</v>
      </c>
      <c r="J40">
        <v>84</v>
      </c>
      <c r="K40">
        <v>83</v>
      </c>
      <c r="L40">
        <v>82</v>
      </c>
    </row>
    <row r="42" spans="2:16" x14ac:dyDescent="0.35">
      <c r="C42">
        <f>C40/30</f>
        <v>2.6333333333333333</v>
      </c>
      <c r="D42">
        <f>D40/31</f>
        <v>2.193548387096774</v>
      </c>
      <c r="E42">
        <f t="shared" ref="E42:J42" si="2">E40/30</f>
        <v>0.8666666666666667</v>
      </c>
      <c r="F42">
        <f>F40/31</f>
        <v>3</v>
      </c>
      <c r="G42">
        <f>G40/31</f>
        <v>2.4193548387096775</v>
      </c>
      <c r="H42">
        <f t="shared" si="2"/>
        <v>2.4</v>
      </c>
      <c r="I42">
        <f>I40/31</f>
        <v>2.6774193548387095</v>
      </c>
      <c r="J42">
        <f t="shared" si="2"/>
        <v>2.8</v>
      </c>
      <c r="K42">
        <f>K40/31</f>
        <v>2.6774193548387095</v>
      </c>
      <c r="L42">
        <f>L40/31</f>
        <v>2.6451612903225805</v>
      </c>
    </row>
    <row r="44" spans="2:16" x14ac:dyDescent="0.35">
      <c r="C44">
        <f>C37*30</f>
        <v>530.99999999999989</v>
      </c>
      <c r="D44">
        <f>D37*31</f>
        <v>490</v>
      </c>
      <c r="E44">
        <f t="shared" ref="E44:J44" si="3">E37*30</f>
        <v>503</v>
      </c>
      <c r="F44">
        <f>F37*31</f>
        <v>601</v>
      </c>
      <c r="G44">
        <f>G37*31</f>
        <v>602.00000000000011</v>
      </c>
      <c r="H44">
        <f t="shared" si="3"/>
        <v>529</v>
      </c>
      <c r="I44">
        <f>I37*31</f>
        <v>591</v>
      </c>
      <c r="J44">
        <f t="shared" si="3"/>
        <v>612.00000000000011</v>
      </c>
      <c r="K44">
        <f>K37*31</f>
        <v>606</v>
      </c>
      <c r="L44">
        <f>L37*31</f>
        <v>585</v>
      </c>
      <c r="O44">
        <f>SUM(C44:L44)</f>
        <v>5650</v>
      </c>
    </row>
    <row r="45" spans="2:16" x14ac:dyDescent="0.35">
      <c r="O45">
        <f t="shared" ref="O45:O47" si="4">SUM(C45:L45)</f>
        <v>0</v>
      </c>
    </row>
    <row r="46" spans="2:16" x14ac:dyDescent="0.35">
      <c r="C46" s="773">
        <v>106</v>
      </c>
      <c r="D46" s="773">
        <v>125</v>
      </c>
      <c r="E46" s="773">
        <v>142</v>
      </c>
      <c r="F46" s="773">
        <v>164</v>
      </c>
      <c r="G46" s="773">
        <v>166</v>
      </c>
      <c r="H46" s="773">
        <v>131</v>
      </c>
      <c r="I46" s="773">
        <v>162</v>
      </c>
      <c r="J46" s="773">
        <v>161</v>
      </c>
      <c r="K46" s="773">
        <v>159</v>
      </c>
      <c r="L46" s="773">
        <v>158</v>
      </c>
      <c r="O46">
        <f t="shared" si="4"/>
        <v>1474</v>
      </c>
    </row>
    <row r="47" spans="2:16" x14ac:dyDescent="0.35">
      <c r="C47" s="773">
        <v>30</v>
      </c>
      <c r="D47">
        <v>31</v>
      </c>
      <c r="E47">
        <v>30</v>
      </c>
      <c r="F47">
        <v>31</v>
      </c>
      <c r="G47">
        <v>31</v>
      </c>
      <c r="H47">
        <v>30</v>
      </c>
      <c r="I47">
        <v>31</v>
      </c>
      <c r="J47">
        <v>30</v>
      </c>
      <c r="K47">
        <v>31</v>
      </c>
      <c r="L47">
        <v>31</v>
      </c>
      <c r="O47">
        <f t="shared" si="4"/>
        <v>306</v>
      </c>
    </row>
    <row r="48" spans="2:16" x14ac:dyDescent="0.35">
      <c r="C48" s="774">
        <f>C46/C47</f>
        <v>3.5333333333333332</v>
      </c>
      <c r="D48" s="774">
        <f t="shared" ref="D48:O48" si="5">D46/D47</f>
        <v>4.032258064516129</v>
      </c>
      <c r="E48" s="774">
        <f t="shared" si="5"/>
        <v>4.7333333333333334</v>
      </c>
      <c r="F48" s="774">
        <f t="shared" si="5"/>
        <v>5.290322580645161</v>
      </c>
      <c r="G48" s="774">
        <f t="shared" si="5"/>
        <v>5.354838709677419</v>
      </c>
      <c r="H48" s="774">
        <f t="shared" si="5"/>
        <v>4.3666666666666663</v>
      </c>
      <c r="I48" s="774">
        <f t="shared" si="5"/>
        <v>5.225806451612903</v>
      </c>
      <c r="J48" s="774">
        <f t="shared" si="5"/>
        <v>5.3666666666666663</v>
      </c>
      <c r="K48" s="774">
        <f t="shared" si="5"/>
        <v>5.129032258064516</v>
      </c>
      <c r="L48" s="774">
        <f t="shared" si="5"/>
        <v>5.096774193548387</v>
      </c>
      <c r="M48" s="774"/>
      <c r="N48" s="774"/>
      <c r="O48" s="774">
        <f t="shared" si="5"/>
        <v>4.8169934640522873</v>
      </c>
    </row>
    <row r="49" spans="3:3" x14ac:dyDescent="0.35">
      <c r="C49" s="773"/>
    </row>
    <row r="50" spans="3:3" x14ac:dyDescent="0.35">
      <c r="C50" s="773"/>
    </row>
    <row r="51" spans="3:3" x14ac:dyDescent="0.35">
      <c r="C51" s="773"/>
    </row>
    <row r="52" spans="3:3" x14ac:dyDescent="0.35">
      <c r="C52" s="773"/>
    </row>
    <row r="53" spans="3:3" x14ac:dyDescent="0.35">
      <c r="C53" s="773"/>
    </row>
    <row r="54" spans="3:3" x14ac:dyDescent="0.35">
      <c r="C54" s="773"/>
    </row>
    <row r="55" spans="3:3" x14ac:dyDescent="0.35">
      <c r="C55" s="773"/>
    </row>
    <row r="56" spans="3:3" x14ac:dyDescent="0.35">
      <c r="C56" s="773"/>
    </row>
  </sheetData>
  <conditionalFormatting sqref="C8:L8">
    <cfRule type="top10" dxfId="33" priority="39" bottom="1" rank="1"/>
    <cfRule type="top10" dxfId="32" priority="40" rank="1"/>
  </conditionalFormatting>
  <conditionalFormatting sqref="C9:L9">
    <cfRule type="top10" dxfId="31" priority="35" bottom="1" rank="1"/>
    <cfRule type="top10" dxfId="30" priority="36" rank="1"/>
  </conditionalFormatting>
  <conditionalFormatting sqref="C10:L10">
    <cfRule type="top10" dxfId="29" priority="29" bottom="1" rank="1"/>
    <cfRule type="top10" dxfId="28" priority="30" rank="1"/>
  </conditionalFormatting>
  <conditionalFormatting sqref="C11:L11">
    <cfRule type="top10" dxfId="27" priority="27" bottom="1" rank="1"/>
    <cfRule type="top10" dxfId="26" priority="28" rank="1"/>
  </conditionalFormatting>
  <conditionalFormatting sqref="C12:L12">
    <cfRule type="top10" dxfId="25" priority="25" bottom="1" rank="1"/>
    <cfRule type="top10" dxfId="24" priority="26" rank="1"/>
  </conditionalFormatting>
  <conditionalFormatting sqref="C15:L15">
    <cfRule type="top10" dxfId="23" priority="23" bottom="1" rank="1"/>
    <cfRule type="top10" dxfId="22" priority="24" rank="1"/>
  </conditionalFormatting>
  <conditionalFormatting sqref="C16:L16">
    <cfRule type="top10" dxfId="21" priority="21" bottom="1" rank="1"/>
    <cfRule type="top10" dxfId="20" priority="22" rank="1"/>
  </conditionalFormatting>
  <conditionalFormatting sqref="C17:L17">
    <cfRule type="top10" dxfId="19" priority="19" bottom="1" rank="1"/>
    <cfRule type="top10" dxfId="18" priority="20" rank="1"/>
  </conditionalFormatting>
  <conditionalFormatting sqref="C26:L26">
    <cfRule type="top10" dxfId="17" priority="17" bottom="1" rank="1"/>
    <cfRule type="top10" dxfId="16" priority="18" rank="1"/>
  </conditionalFormatting>
  <conditionalFormatting sqref="C27:L27">
    <cfRule type="top10" dxfId="15" priority="15" bottom="1" rank="1"/>
    <cfRule type="top10" dxfId="14" priority="16" rank="1"/>
  </conditionalFormatting>
  <conditionalFormatting sqref="C28:L28">
    <cfRule type="top10" dxfId="13" priority="13" bottom="1" rank="1"/>
    <cfRule type="top10" dxfId="12" priority="14" rank="1"/>
  </conditionalFormatting>
  <conditionalFormatting sqref="C29:L29">
    <cfRule type="top10" dxfId="11" priority="11" bottom="1" rank="1"/>
    <cfRule type="top10" dxfId="10" priority="12" rank="1"/>
  </conditionalFormatting>
  <conditionalFormatting sqref="C30:L30">
    <cfRule type="top10" dxfId="9" priority="9" bottom="1" rank="1"/>
    <cfRule type="top10" dxfId="8" priority="10" rank="1"/>
  </conditionalFormatting>
  <conditionalFormatting sqref="C33:L33">
    <cfRule type="top10" dxfId="7" priority="7" bottom="1" rank="1"/>
    <cfRule type="top10" dxfId="6" priority="8" rank="1"/>
  </conditionalFormatting>
  <conditionalFormatting sqref="C34:L34">
    <cfRule type="top10" dxfId="5" priority="5" bottom="1" rank="1"/>
    <cfRule type="top10" dxfId="4" priority="6" rank="1"/>
  </conditionalFormatting>
  <conditionalFormatting sqref="C35:L35">
    <cfRule type="top10" dxfId="3" priority="3" bottom="1" rank="1"/>
    <cfRule type="top10" dxfId="2" priority="4" rank="1"/>
  </conditionalFormatting>
  <conditionalFormatting sqref="C37:L37">
    <cfRule type="top10" dxfId="1" priority="1" bottom="1" rank="1"/>
    <cfRule type="top10" dxfId="0" priority="2" rank="1"/>
  </conditionalFormatting>
  <pageMargins left="0.7" right="0.7" top="0.75" bottom="0.75" header="0.3" footer="0.3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6:S40"/>
  <sheetViews>
    <sheetView topLeftCell="A25" workbookViewId="0"/>
  </sheetViews>
  <sheetFormatPr defaultRowHeight="14.5" x14ac:dyDescent="0.35"/>
  <cols>
    <col min="8" max="8" width="12" style="501" bestFit="1" customWidth="1"/>
    <col min="19" max="19" width="10.1796875" bestFit="1" customWidth="1"/>
  </cols>
  <sheetData>
    <row r="6" spans="1:19" ht="15.75" x14ac:dyDescent="0.25">
      <c r="A6" s="170">
        <v>42826</v>
      </c>
      <c r="B6" s="157">
        <v>6.458333333333334E-2</v>
      </c>
      <c r="C6" s="157">
        <v>0.31111111111111112</v>
      </c>
      <c r="D6" s="209">
        <v>24</v>
      </c>
      <c r="E6" s="209">
        <v>55</v>
      </c>
      <c r="F6" s="157">
        <f>(D6*B6+E6*C6)/SUM(D6:E6)</f>
        <v>0.23621659634317863</v>
      </c>
    </row>
    <row r="7" spans="1:19" ht="15.75" x14ac:dyDescent="0.25">
      <c r="A7" s="170">
        <v>42856</v>
      </c>
      <c r="B7" s="157">
        <v>6.5277777777777782E-2</v>
      </c>
      <c r="C7" s="157">
        <v>0.23402777777777781</v>
      </c>
      <c r="D7" s="209">
        <v>29</v>
      </c>
      <c r="E7" s="209">
        <v>64</v>
      </c>
      <c r="F7" s="157">
        <f t="shared" ref="F7:F40" si="0">(D7*B7+E7*C7)/SUM(D7:E7)</f>
        <v>0.18140681003584233</v>
      </c>
    </row>
    <row r="8" spans="1:19" ht="15.5" x14ac:dyDescent="0.35">
      <c r="A8" s="170">
        <v>42887</v>
      </c>
      <c r="B8" s="157">
        <v>9.8611111111111108E-2</v>
      </c>
      <c r="C8" s="157">
        <v>0.22916666666666666</v>
      </c>
      <c r="D8" s="209">
        <v>26</v>
      </c>
      <c r="E8" s="209">
        <v>64</v>
      </c>
      <c r="F8" s="157">
        <f t="shared" si="0"/>
        <v>0.1914506172839506</v>
      </c>
    </row>
    <row r="9" spans="1:19" ht="15.5" x14ac:dyDescent="0.35">
      <c r="A9" s="170">
        <v>42917</v>
      </c>
      <c r="B9" s="157">
        <v>7.6388888888888895E-2</v>
      </c>
      <c r="C9" s="157">
        <v>0.26944444444444443</v>
      </c>
      <c r="D9" s="209">
        <v>27</v>
      </c>
      <c r="E9" s="209">
        <v>56</v>
      </c>
      <c r="F9" s="157">
        <f t="shared" si="0"/>
        <v>0.20664323962516734</v>
      </c>
    </row>
    <row r="10" spans="1:19" ht="15.5" x14ac:dyDescent="0.35">
      <c r="A10" s="170">
        <v>42948</v>
      </c>
      <c r="B10" s="157">
        <v>7.6388888888888895E-2</v>
      </c>
      <c r="C10" s="157">
        <v>0.25763888888888892</v>
      </c>
      <c r="D10" s="209">
        <v>32</v>
      </c>
      <c r="E10" s="209">
        <v>65</v>
      </c>
      <c r="F10" s="157">
        <f t="shared" si="0"/>
        <v>0.19784507445589919</v>
      </c>
    </row>
    <row r="11" spans="1:19" ht="15.5" x14ac:dyDescent="0.35">
      <c r="A11" s="170">
        <v>42979</v>
      </c>
      <c r="B11" s="157">
        <v>7.2916666666666671E-2</v>
      </c>
      <c r="C11" s="157">
        <v>0.29236111111111113</v>
      </c>
      <c r="D11" s="209">
        <v>26</v>
      </c>
      <c r="E11" s="209">
        <v>63</v>
      </c>
      <c r="F11" s="157">
        <f t="shared" si="0"/>
        <v>0.22825374531835205</v>
      </c>
    </row>
    <row r="12" spans="1:19" ht="15.5" x14ac:dyDescent="0.35">
      <c r="A12" s="170">
        <v>43009</v>
      </c>
      <c r="B12" s="157">
        <v>7.013888888888889E-2</v>
      </c>
      <c r="C12" s="157">
        <v>0.27499999999999997</v>
      </c>
      <c r="D12" s="209">
        <v>29</v>
      </c>
      <c r="E12" s="209">
        <v>67</v>
      </c>
      <c r="F12" s="157">
        <f t="shared" si="0"/>
        <v>0.21311487268518514</v>
      </c>
    </row>
    <row r="13" spans="1:19" ht="15.5" x14ac:dyDescent="0.35">
      <c r="A13" s="170">
        <v>43040</v>
      </c>
      <c r="B13" s="157">
        <v>7.7777777777777779E-2</v>
      </c>
      <c r="C13" s="157">
        <v>0.24444444444444446</v>
      </c>
      <c r="D13" s="209">
        <v>28</v>
      </c>
      <c r="E13" s="209">
        <v>70</v>
      </c>
      <c r="F13" s="157">
        <f t="shared" si="0"/>
        <v>0.19682539682539685</v>
      </c>
      <c r="J13" s="502">
        <v>0.13760416666666667</v>
      </c>
      <c r="K13" s="502">
        <v>0.14987268518518518</v>
      </c>
      <c r="L13" s="502">
        <v>0.16145833333333334</v>
      </c>
      <c r="M13" s="502">
        <v>0.11373842592592592</v>
      </c>
      <c r="N13" s="502">
        <v>0.13434027777777777</v>
      </c>
      <c r="O13" s="502">
        <v>0.14736111111111111</v>
      </c>
      <c r="P13" s="502">
        <v>0.13362268518518519</v>
      </c>
      <c r="Q13" s="502">
        <v>0.16425925925925924</v>
      </c>
    </row>
    <row r="14" spans="1:19" ht="15.5" x14ac:dyDescent="0.35">
      <c r="A14" s="170">
        <v>43070</v>
      </c>
      <c r="B14" s="171">
        <v>8.1250000000000003E-2</v>
      </c>
      <c r="C14" s="171">
        <v>0.21319444444444444</v>
      </c>
      <c r="D14" s="209">
        <v>29</v>
      </c>
      <c r="E14" s="209">
        <v>73</v>
      </c>
      <c r="F14" s="157">
        <f t="shared" si="0"/>
        <v>0.17568082788671024</v>
      </c>
      <c r="J14">
        <v>92</v>
      </c>
      <c r="K14">
        <v>97</v>
      </c>
      <c r="L14">
        <v>112</v>
      </c>
      <c r="M14">
        <v>58</v>
      </c>
      <c r="N14">
        <v>13</v>
      </c>
      <c r="O14">
        <v>68</v>
      </c>
      <c r="P14">
        <v>107</v>
      </c>
      <c r="Q14">
        <v>13</v>
      </c>
      <c r="S14" s="503">
        <f>SUMPRODUCT(J13:Q13,J14:Q14)</f>
        <v>80.077372685185182</v>
      </c>
    </row>
    <row r="15" spans="1:19" ht="15.5" x14ac:dyDescent="0.35">
      <c r="A15" s="170">
        <v>43101</v>
      </c>
      <c r="B15" s="155">
        <v>7.6388888888888895E-2</v>
      </c>
      <c r="C15" s="155">
        <v>0.19791666666666666</v>
      </c>
      <c r="D15" s="209">
        <v>29</v>
      </c>
      <c r="E15" s="209">
        <v>68</v>
      </c>
      <c r="F15" s="157">
        <f t="shared" si="0"/>
        <v>0.16158361970217641</v>
      </c>
      <c r="J15" s="503">
        <f>J14*J13</f>
        <v>12.659583333333334</v>
      </c>
      <c r="K15" s="503">
        <f t="shared" ref="K15:P15" si="1">K14*K13</f>
        <v>14.537650462962961</v>
      </c>
      <c r="L15" s="503">
        <f t="shared" si="1"/>
        <v>18.083333333333336</v>
      </c>
      <c r="M15" s="503">
        <f t="shared" si="1"/>
        <v>6.5968287037037037</v>
      </c>
      <c r="N15" s="503">
        <f t="shared" si="1"/>
        <v>1.7464236111111109</v>
      </c>
      <c r="O15" s="503">
        <f t="shared" si="1"/>
        <v>10.020555555555555</v>
      </c>
      <c r="P15" s="503">
        <f t="shared" si="1"/>
        <v>14.297627314814816</v>
      </c>
      <c r="Q15" s="503">
        <f>Q14*Q13</f>
        <v>2.1353703703703704</v>
      </c>
    </row>
    <row r="16" spans="1:19" ht="15.5" x14ac:dyDescent="0.35">
      <c r="A16" s="170">
        <v>43132</v>
      </c>
      <c r="B16" s="155">
        <v>7.4999999999999997E-2</v>
      </c>
      <c r="C16" s="155">
        <v>0.19375000000000001</v>
      </c>
      <c r="D16" s="209">
        <v>28</v>
      </c>
      <c r="E16" s="209">
        <v>67</v>
      </c>
      <c r="F16" s="157">
        <f t="shared" si="0"/>
        <v>0.15875</v>
      </c>
    </row>
    <row r="17" spans="1:17" ht="15.5" x14ac:dyDescent="0.35">
      <c r="A17" s="172">
        <v>43160</v>
      </c>
      <c r="B17" s="173">
        <v>7.4305555555555555E-2</v>
      </c>
      <c r="C17" s="173">
        <v>0.22222222222222221</v>
      </c>
      <c r="D17" s="209">
        <v>28</v>
      </c>
      <c r="E17" s="209">
        <v>66</v>
      </c>
      <c r="F17" s="157">
        <f t="shared" si="0"/>
        <v>0.17816193853427895</v>
      </c>
      <c r="G17" s="489"/>
      <c r="I17" s="489"/>
      <c r="J17" s="489"/>
      <c r="K17" s="489"/>
      <c r="L17" s="489"/>
      <c r="M17" s="489"/>
      <c r="N17" s="489"/>
      <c r="O17" s="489"/>
      <c r="P17" s="489"/>
      <c r="Q17" s="489"/>
    </row>
    <row r="18" spans="1:17" ht="15.5" x14ac:dyDescent="0.35">
      <c r="A18" s="154">
        <v>43191</v>
      </c>
      <c r="B18" s="155">
        <v>8.819444444444445E-2</v>
      </c>
      <c r="C18" s="155">
        <v>0.23263888888888887</v>
      </c>
      <c r="D18" s="209">
        <v>23</v>
      </c>
      <c r="E18" s="209">
        <v>61</v>
      </c>
      <c r="F18" s="157">
        <f t="shared" si="0"/>
        <v>0.19308862433862434</v>
      </c>
      <c r="G18" s="489"/>
      <c r="I18" s="489"/>
      <c r="J18" s="489"/>
      <c r="K18" s="489"/>
      <c r="L18" s="489"/>
      <c r="M18" s="489"/>
      <c r="N18" s="489"/>
      <c r="O18" s="489"/>
      <c r="P18" s="489"/>
      <c r="Q18" s="489"/>
    </row>
    <row r="19" spans="1:17" ht="15.5" x14ac:dyDescent="0.35">
      <c r="A19" s="154">
        <v>43221</v>
      </c>
      <c r="B19" s="157">
        <v>0.13194444444444445</v>
      </c>
      <c r="C19" s="157">
        <v>0.17708333333333334</v>
      </c>
      <c r="D19" s="209">
        <v>25</v>
      </c>
      <c r="E19" s="209">
        <v>62</v>
      </c>
      <c r="F19" s="157">
        <f t="shared" si="0"/>
        <v>0.16411238825031929</v>
      </c>
      <c r="G19" s="489"/>
      <c r="I19" s="489"/>
      <c r="J19" s="489"/>
      <c r="K19" s="489"/>
      <c r="L19" s="489"/>
      <c r="M19" s="489"/>
      <c r="N19" s="489"/>
      <c r="O19" s="489"/>
      <c r="P19" s="489"/>
      <c r="Q19" s="489"/>
    </row>
    <row r="20" spans="1:17" ht="15.5" x14ac:dyDescent="0.35">
      <c r="A20" s="154">
        <v>43252</v>
      </c>
      <c r="B20" s="155">
        <v>0.11041666666666666</v>
      </c>
      <c r="C20" s="155">
        <v>0.18055555555555555</v>
      </c>
      <c r="D20" s="209">
        <v>21</v>
      </c>
      <c r="E20" s="209">
        <v>69</v>
      </c>
      <c r="F20" s="157">
        <f t="shared" si="0"/>
        <v>0.16418981481481482</v>
      </c>
      <c r="G20" s="489"/>
      <c r="I20" s="489"/>
      <c r="J20" s="489"/>
      <c r="K20" s="489"/>
      <c r="L20" s="489"/>
      <c r="M20" s="489"/>
      <c r="N20" s="489"/>
      <c r="O20" s="489"/>
      <c r="P20" s="489"/>
      <c r="Q20" s="489"/>
    </row>
    <row r="21" spans="1:17" ht="15.5" x14ac:dyDescent="0.35">
      <c r="A21" s="154">
        <v>43282</v>
      </c>
      <c r="B21" s="155">
        <v>0.12430555555555556</v>
      </c>
      <c r="C21" s="155">
        <v>0.21805555555555556</v>
      </c>
      <c r="D21" s="209">
        <v>24</v>
      </c>
      <c r="E21" s="209">
        <v>64</v>
      </c>
      <c r="F21" s="157">
        <f t="shared" si="0"/>
        <v>0.19248737373737376</v>
      </c>
      <c r="G21" s="489"/>
      <c r="I21" s="489"/>
      <c r="J21" s="489"/>
      <c r="K21" s="489"/>
      <c r="L21" s="489"/>
      <c r="M21" s="489"/>
      <c r="N21" s="489"/>
      <c r="O21" s="489"/>
      <c r="P21" s="489"/>
      <c r="Q21" s="489"/>
    </row>
    <row r="22" spans="1:17" ht="15.5" x14ac:dyDescent="0.35">
      <c r="A22" s="154">
        <v>43313</v>
      </c>
      <c r="B22" s="155">
        <v>9.6527777777777768E-2</v>
      </c>
      <c r="C22" s="155">
        <v>0.18958333333333333</v>
      </c>
      <c r="D22" s="209">
        <v>19</v>
      </c>
      <c r="E22" s="209">
        <v>61</v>
      </c>
      <c r="F22" s="157">
        <f t="shared" si="0"/>
        <v>0.16748263888888887</v>
      </c>
      <c r="G22" s="489"/>
      <c r="I22" s="489"/>
      <c r="J22" s="489"/>
      <c r="K22" s="489"/>
      <c r="L22" s="489"/>
      <c r="M22" s="489"/>
      <c r="N22" s="489"/>
      <c r="O22" s="489"/>
      <c r="P22" s="489"/>
      <c r="Q22" s="489"/>
    </row>
    <row r="23" spans="1:17" ht="15.5" x14ac:dyDescent="0.35">
      <c r="A23" s="154">
        <v>43344</v>
      </c>
      <c r="B23" s="155">
        <v>8.1944444444444445E-2</v>
      </c>
      <c r="C23" s="155">
        <v>0.19999999999999998</v>
      </c>
      <c r="D23" s="209">
        <v>22</v>
      </c>
      <c r="E23" s="209">
        <v>75</v>
      </c>
      <c r="F23" s="157">
        <f t="shared" si="0"/>
        <v>0.17322451317296678</v>
      </c>
      <c r="G23" s="489"/>
      <c r="I23" s="489"/>
      <c r="J23" s="489"/>
      <c r="K23" s="489"/>
      <c r="L23" s="489"/>
      <c r="M23" s="489"/>
      <c r="N23" s="489"/>
      <c r="O23" s="489"/>
      <c r="P23" s="489"/>
      <c r="Q23" s="489"/>
    </row>
    <row r="24" spans="1:17" ht="15.5" x14ac:dyDescent="0.35">
      <c r="A24" s="154">
        <v>43374</v>
      </c>
      <c r="B24" s="155">
        <v>7.2916666666666671E-2</v>
      </c>
      <c r="C24" s="155">
        <v>0.17500000000000002</v>
      </c>
      <c r="D24" s="209">
        <v>22</v>
      </c>
      <c r="E24" s="209">
        <v>70</v>
      </c>
      <c r="F24" s="157">
        <f t="shared" si="0"/>
        <v>0.15058876811594205</v>
      </c>
      <c r="G24" s="489"/>
      <c r="I24" s="489"/>
      <c r="J24" s="489"/>
      <c r="K24" s="489"/>
      <c r="L24" s="489"/>
      <c r="M24" s="489"/>
      <c r="N24" s="489"/>
      <c r="O24" s="489"/>
      <c r="P24" s="489"/>
      <c r="Q24" s="489"/>
    </row>
    <row r="25" spans="1:17" ht="15.5" x14ac:dyDescent="0.35">
      <c r="A25" s="154">
        <v>43405</v>
      </c>
      <c r="B25" s="155">
        <v>7.5694444444444439E-2</v>
      </c>
      <c r="C25" s="155">
        <v>0.17916666666666667</v>
      </c>
      <c r="D25" s="209">
        <v>25</v>
      </c>
      <c r="E25" s="209">
        <v>70</v>
      </c>
      <c r="F25" s="157">
        <f t="shared" si="0"/>
        <v>0.15193713450292395</v>
      </c>
      <c r="G25" s="489"/>
      <c r="I25" s="489"/>
      <c r="J25" s="489"/>
      <c r="K25" s="489"/>
      <c r="L25" s="489"/>
      <c r="M25" s="489"/>
      <c r="N25" s="489"/>
      <c r="O25" s="489"/>
      <c r="P25" s="489"/>
      <c r="Q25" s="489"/>
    </row>
    <row r="26" spans="1:17" ht="15.5" x14ac:dyDescent="0.35">
      <c r="A26" s="154">
        <v>43435</v>
      </c>
      <c r="B26" s="155">
        <v>7.4305555555555555E-2</v>
      </c>
      <c r="C26" s="155">
        <v>0.18541666666666667</v>
      </c>
      <c r="D26" s="209">
        <v>26</v>
      </c>
      <c r="E26" s="209">
        <v>65</v>
      </c>
      <c r="F26" s="157">
        <f t="shared" si="0"/>
        <v>0.15367063492063493</v>
      </c>
    </row>
    <row r="27" spans="1:17" ht="15.5" x14ac:dyDescent="0.35">
      <c r="A27" s="154">
        <v>43466</v>
      </c>
      <c r="B27" s="155">
        <v>8.4027777777777771E-2</v>
      </c>
      <c r="C27" s="155">
        <v>0.19027777777777777</v>
      </c>
      <c r="D27" s="209">
        <v>21</v>
      </c>
      <c r="E27" s="209">
        <v>65</v>
      </c>
      <c r="F27" s="157">
        <f t="shared" si="0"/>
        <v>0.1643330103359173</v>
      </c>
    </row>
    <row r="28" spans="1:17" ht="15.5" x14ac:dyDescent="0.35">
      <c r="A28" s="154">
        <v>43497</v>
      </c>
      <c r="B28" s="155">
        <v>7.5694444444444439E-2</v>
      </c>
      <c r="C28" s="155">
        <v>0.17847222222222223</v>
      </c>
      <c r="D28" s="209">
        <v>24</v>
      </c>
      <c r="E28" s="209">
        <v>66</v>
      </c>
      <c r="F28" s="157">
        <f t="shared" si="0"/>
        <v>0.15106481481481482</v>
      </c>
    </row>
    <row r="29" spans="1:17" ht="15.5" x14ac:dyDescent="0.35">
      <c r="A29" s="160">
        <v>43525</v>
      </c>
      <c r="B29" s="161">
        <v>8.4027777777777771E-2</v>
      </c>
      <c r="C29" s="161">
        <v>0.17361111111111113</v>
      </c>
      <c r="D29" s="209">
        <v>24</v>
      </c>
      <c r="E29" s="209">
        <v>59</v>
      </c>
      <c r="F29" s="157">
        <f t="shared" si="0"/>
        <v>0.14770749665327979</v>
      </c>
    </row>
    <row r="30" spans="1:17" ht="15.5" x14ac:dyDescent="0.35">
      <c r="A30" s="154">
        <v>43556</v>
      </c>
      <c r="B30" s="155">
        <v>8.0555555555555561E-2</v>
      </c>
      <c r="C30" s="155">
        <v>0.16666666666666666</v>
      </c>
      <c r="D30" s="500">
        <v>27</v>
      </c>
      <c r="E30" s="500">
        <v>77</v>
      </c>
      <c r="F30" s="157">
        <f t="shared" si="0"/>
        <v>0.14431089743589742</v>
      </c>
    </row>
    <row r="31" spans="1:17" ht="15.5" x14ac:dyDescent="0.35">
      <c r="A31" s="154">
        <v>43586</v>
      </c>
      <c r="B31" s="157">
        <v>8.5416666666666655E-2</v>
      </c>
      <c r="C31" s="157">
        <v>0.14722222222222223</v>
      </c>
      <c r="D31" s="500">
        <v>24</v>
      </c>
      <c r="E31" s="500">
        <v>75</v>
      </c>
      <c r="F31" s="157">
        <f t="shared" si="0"/>
        <v>0.13223905723905727</v>
      </c>
    </row>
    <row r="32" spans="1:17" ht="15.5" x14ac:dyDescent="0.35">
      <c r="A32" s="154">
        <v>43617</v>
      </c>
      <c r="B32" s="155">
        <v>7.4999999999999997E-2</v>
      </c>
      <c r="C32" s="155">
        <v>0.12847222222222224</v>
      </c>
      <c r="D32" s="500">
        <v>27</v>
      </c>
      <c r="E32" s="500">
        <v>77</v>
      </c>
      <c r="F32" s="157">
        <f t="shared" si="0"/>
        <v>0.11459001068376071</v>
      </c>
    </row>
    <row r="33" spans="1:6" ht="15.5" x14ac:dyDescent="0.35">
      <c r="A33" s="154">
        <v>43647</v>
      </c>
      <c r="B33" s="155">
        <v>7.2222222222222229E-2</v>
      </c>
      <c r="C33" s="155">
        <v>0.1451388888888889</v>
      </c>
      <c r="D33" s="500">
        <v>30</v>
      </c>
      <c r="E33" s="500">
        <v>73</v>
      </c>
      <c r="F33" s="157">
        <f t="shared" si="0"/>
        <v>0.12390102481121901</v>
      </c>
    </row>
    <row r="34" spans="1:6" ht="15.5" x14ac:dyDescent="0.35">
      <c r="A34" s="154">
        <v>43678</v>
      </c>
      <c r="B34" s="155">
        <v>8.7500000000000008E-2</v>
      </c>
      <c r="C34" s="155">
        <v>0.1361111111111111</v>
      </c>
      <c r="D34" s="500">
        <v>28</v>
      </c>
      <c r="E34" s="500">
        <v>61</v>
      </c>
      <c r="F34" s="157">
        <f t="shared" si="0"/>
        <v>0.12081772784019973</v>
      </c>
    </row>
    <row r="35" spans="1:6" ht="15.5" x14ac:dyDescent="0.35">
      <c r="A35" s="154">
        <v>43709</v>
      </c>
      <c r="B35" s="155">
        <v>7.7083333333333337E-2</v>
      </c>
      <c r="C35" s="155">
        <v>0.17152777777777775</v>
      </c>
      <c r="D35" s="500">
        <v>24</v>
      </c>
      <c r="E35" s="500">
        <v>60</v>
      </c>
      <c r="F35" s="157">
        <f t="shared" si="0"/>
        <v>0.14454365079365075</v>
      </c>
    </row>
    <row r="36" spans="1:6" ht="15.5" x14ac:dyDescent="0.35">
      <c r="A36" s="154">
        <v>43739</v>
      </c>
      <c r="B36" s="155">
        <v>7.9166666666666663E-2</v>
      </c>
      <c r="C36" s="155">
        <v>0.14861111111111111</v>
      </c>
      <c r="D36" s="500">
        <v>28</v>
      </c>
      <c r="E36" s="500">
        <v>62</v>
      </c>
      <c r="F36" s="157">
        <f t="shared" si="0"/>
        <v>0.12700617283950616</v>
      </c>
    </row>
    <row r="37" spans="1:6" ht="15.5" x14ac:dyDescent="0.35">
      <c r="A37" s="154">
        <v>43770</v>
      </c>
      <c r="B37" s="155">
        <v>7.5694444444444439E-2</v>
      </c>
      <c r="C37" s="155">
        <v>0.16319444444444445</v>
      </c>
      <c r="D37" s="500">
        <v>19</v>
      </c>
      <c r="E37" s="500">
        <v>64</v>
      </c>
      <c r="F37" s="157">
        <f t="shared" si="0"/>
        <v>0.14316432396251674</v>
      </c>
    </row>
    <row r="38" spans="1:6" ht="15.5" x14ac:dyDescent="0.35">
      <c r="A38" s="154">
        <v>43800</v>
      </c>
      <c r="B38" s="155">
        <v>7.6388888888888895E-2</v>
      </c>
      <c r="C38" s="155">
        <v>0.15972222222222224</v>
      </c>
      <c r="D38" s="500">
        <v>23</v>
      </c>
      <c r="E38" s="500">
        <v>40</v>
      </c>
      <c r="F38" s="157">
        <f t="shared" si="0"/>
        <v>0.1292989417989418</v>
      </c>
    </row>
    <row r="39" spans="1:6" ht="15.5" x14ac:dyDescent="0.35">
      <c r="A39" s="154">
        <v>43831</v>
      </c>
      <c r="B39" s="155">
        <v>7.5694444444444439E-2</v>
      </c>
      <c r="C39" s="155">
        <v>0.13749999999999998</v>
      </c>
      <c r="D39" s="500">
        <v>22</v>
      </c>
      <c r="E39" s="500">
        <v>65</v>
      </c>
      <c r="F39" s="157">
        <f t="shared" si="0"/>
        <v>0.12187100893997443</v>
      </c>
    </row>
    <row r="40" spans="1:6" ht="15.5" x14ac:dyDescent="0.35">
      <c r="A40" s="154">
        <v>43862</v>
      </c>
      <c r="B40" s="155">
        <v>8.2638888888888887E-2</v>
      </c>
      <c r="C40" s="155">
        <v>0.13749999999999998</v>
      </c>
      <c r="D40" s="500">
        <v>24</v>
      </c>
      <c r="E40" s="500">
        <v>68</v>
      </c>
      <c r="F40" s="157">
        <f t="shared" si="0"/>
        <v>0.12318840579710144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C3:AH95"/>
  <sheetViews>
    <sheetView topLeftCell="A69" workbookViewId="0">
      <selection activeCell="D4" sqref="D4:AF65"/>
    </sheetView>
  </sheetViews>
  <sheetFormatPr defaultColWidth="9.1796875" defaultRowHeight="14.5" x14ac:dyDescent="0.35"/>
  <cols>
    <col min="1" max="2" width="9.1796875" style="179"/>
    <col min="3" max="3" width="5.26953125" style="179" customWidth="1"/>
    <col min="4" max="4" width="17.54296875" style="179" customWidth="1"/>
    <col min="5" max="5" width="7" style="179" customWidth="1"/>
    <col min="6" max="6" width="7" style="179" bestFit="1" customWidth="1"/>
    <col min="7" max="8" width="6.26953125" style="179" bestFit="1" customWidth="1"/>
    <col min="9" max="9" width="6.26953125" style="179" customWidth="1"/>
    <col min="10" max="10" width="7" style="179" bestFit="1" customWidth="1"/>
    <col min="11" max="11" width="6.26953125" style="179" bestFit="1" customWidth="1"/>
    <col min="12" max="12" width="7" style="179" bestFit="1" customWidth="1"/>
    <col min="13" max="13" width="7.7265625" style="179" bestFit="1" customWidth="1"/>
    <col min="14" max="15" width="7" style="179" bestFit="1" customWidth="1"/>
    <col min="16" max="16" width="6.26953125" style="179" customWidth="1"/>
    <col min="17" max="19" width="7" style="179" bestFit="1" customWidth="1"/>
    <col min="20" max="20" width="6.26953125" style="179" customWidth="1"/>
    <col min="21" max="21" width="7.7265625" style="179" bestFit="1" customWidth="1"/>
    <col min="22" max="25" width="7" style="179" bestFit="1" customWidth="1"/>
    <col min="26" max="26" width="6.26953125" style="179" customWidth="1"/>
    <col min="27" max="28" width="7.7265625" style="179" bestFit="1" customWidth="1"/>
    <col min="29" max="29" width="7.1796875" style="179" customWidth="1"/>
    <col min="30" max="31" width="7" style="179" bestFit="1" customWidth="1"/>
    <col min="32" max="32" width="7.7265625" style="179" bestFit="1" customWidth="1"/>
    <col min="33" max="33" width="9.1796875" style="179"/>
    <col min="34" max="34" width="10.54296875" style="179" bestFit="1" customWidth="1"/>
    <col min="35" max="16384" width="9.1796875" style="179"/>
  </cols>
  <sheetData>
    <row r="3" spans="3:33" ht="15.75" thickBot="1" x14ac:dyDescent="0.3"/>
    <row r="4" spans="3:33" ht="16.5" thickBot="1" x14ac:dyDescent="0.3">
      <c r="C4" s="180"/>
      <c r="D4" s="695"/>
      <c r="E4" s="695"/>
      <c r="F4" s="695"/>
      <c r="G4" s="695"/>
      <c r="H4" s="695"/>
      <c r="I4" s="695"/>
      <c r="J4" s="783" t="s">
        <v>39</v>
      </c>
      <c r="K4" s="784"/>
      <c r="L4" s="784"/>
      <c r="M4" s="785"/>
      <c r="N4" s="695"/>
      <c r="O4" s="695"/>
      <c r="P4" s="786" t="s">
        <v>40</v>
      </c>
      <c r="Q4" s="787"/>
      <c r="R4" s="787"/>
      <c r="S4" s="788"/>
      <c r="T4" s="695"/>
      <c r="U4" s="695"/>
      <c r="V4" s="695"/>
      <c r="W4" s="695"/>
      <c r="X4" s="695"/>
      <c r="Y4" s="695"/>
      <c r="Z4" s="695"/>
      <c r="AA4" s="695"/>
      <c r="AB4" s="695"/>
      <c r="AC4" s="695"/>
      <c r="AD4" s="695"/>
      <c r="AE4" s="695"/>
      <c r="AF4" s="695"/>
    </row>
    <row r="5" spans="3:33" ht="32.25" thickBot="1" x14ac:dyDescent="0.3">
      <c r="C5" s="180"/>
      <c r="D5" s="697" t="s">
        <v>41</v>
      </c>
      <c r="E5" s="698" t="s">
        <v>42</v>
      </c>
      <c r="F5" s="699" t="s">
        <v>26</v>
      </c>
      <c r="G5" s="699" t="s">
        <v>29</v>
      </c>
      <c r="H5" s="699" t="s">
        <v>30</v>
      </c>
      <c r="I5" s="700" t="s">
        <v>31</v>
      </c>
      <c r="J5" s="701" t="s">
        <v>43</v>
      </c>
      <c r="K5" s="702" t="s">
        <v>44</v>
      </c>
      <c r="L5" s="702" t="s">
        <v>45</v>
      </c>
      <c r="M5" s="703" t="s">
        <v>46</v>
      </c>
      <c r="N5" s="704" t="s">
        <v>27</v>
      </c>
      <c r="O5" s="700" t="s">
        <v>28</v>
      </c>
      <c r="P5" s="705" t="s">
        <v>43</v>
      </c>
      <c r="Q5" s="706" t="s">
        <v>44</v>
      </c>
      <c r="R5" s="706" t="s">
        <v>45</v>
      </c>
      <c r="S5" s="707" t="s">
        <v>46</v>
      </c>
      <c r="T5" s="708" t="s">
        <v>32</v>
      </c>
      <c r="U5" s="709" t="s">
        <v>46</v>
      </c>
      <c r="V5" s="704" t="s">
        <v>1</v>
      </c>
      <c r="W5" s="699" t="s">
        <v>2</v>
      </c>
      <c r="X5" s="699" t="s">
        <v>3</v>
      </c>
      <c r="Y5" s="699" t="s">
        <v>47</v>
      </c>
      <c r="Z5" s="700" t="s">
        <v>48</v>
      </c>
      <c r="AA5" s="710" t="s">
        <v>46</v>
      </c>
      <c r="AB5" s="698" t="s">
        <v>49</v>
      </c>
      <c r="AC5" s="699" t="s">
        <v>50</v>
      </c>
      <c r="AD5" s="699" t="s">
        <v>51</v>
      </c>
      <c r="AE5" s="711" t="s">
        <v>52</v>
      </c>
      <c r="AF5" s="712" t="s">
        <v>46</v>
      </c>
      <c r="AG5" s="181" t="s">
        <v>53</v>
      </c>
    </row>
    <row r="6" spans="3:33" ht="15.75" x14ac:dyDescent="0.25">
      <c r="C6" s="180"/>
      <c r="D6" s="422" t="s">
        <v>54</v>
      </c>
      <c r="E6" s="423">
        <v>84</v>
      </c>
      <c r="F6" s="423">
        <v>92</v>
      </c>
      <c r="G6" s="423">
        <v>0</v>
      </c>
      <c r="H6" s="423">
        <v>20</v>
      </c>
      <c r="I6" s="441">
        <v>45</v>
      </c>
      <c r="J6" s="447">
        <v>174</v>
      </c>
      <c r="K6" s="423">
        <v>61</v>
      </c>
      <c r="L6" s="423">
        <v>6</v>
      </c>
      <c r="M6" s="424">
        <v>241</v>
      </c>
      <c r="N6" s="444">
        <v>126</v>
      </c>
      <c r="O6" s="441">
        <v>97</v>
      </c>
      <c r="P6" s="447">
        <v>80</v>
      </c>
      <c r="Q6" s="423">
        <v>42</v>
      </c>
      <c r="R6" s="423">
        <v>101</v>
      </c>
      <c r="S6" s="424">
        <v>223</v>
      </c>
      <c r="T6" s="450">
        <v>5</v>
      </c>
      <c r="U6" s="453">
        <v>469</v>
      </c>
      <c r="V6" s="444">
        <v>121</v>
      </c>
      <c r="W6" s="423">
        <v>107</v>
      </c>
      <c r="X6" s="423">
        <v>131</v>
      </c>
      <c r="Y6" s="423">
        <v>108</v>
      </c>
      <c r="Z6" s="423">
        <v>2</v>
      </c>
      <c r="AA6" s="441">
        <v>469</v>
      </c>
      <c r="AB6" s="447">
        <v>108</v>
      </c>
      <c r="AC6" s="423">
        <v>254</v>
      </c>
      <c r="AD6" s="423">
        <v>107</v>
      </c>
      <c r="AE6" s="424">
        <v>0</v>
      </c>
      <c r="AF6" s="456">
        <v>469</v>
      </c>
    </row>
    <row r="7" spans="3:33" ht="16.5" thickBot="1" x14ac:dyDescent="0.3">
      <c r="C7" s="182">
        <v>30</v>
      </c>
      <c r="D7" s="713" t="s">
        <v>55</v>
      </c>
      <c r="E7" s="714">
        <v>2.8</v>
      </c>
      <c r="F7" s="714">
        <v>3.0666666666666669</v>
      </c>
      <c r="G7" s="714">
        <v>0</v>
      </c>
      <c r="H7" s="714">
        <v>0.66666666666666663</v>
      </c>
      <c r="I7" s="715">
        <v>1.5</v>
      </c>
      <c r="J7" s="716">
        <v>5.8</v>
      </c>
      <c r="K7" s="714">
        <v>2.0333333333333332</v>
      </c>
      <c r="L7" s="714">
        <v>0.2</v>
      </c>
      <c r="M7" s="717">
        <v>8.0333333333333332</v>
      </c>
      <c r="N7" s="718">
        <v>4.2</v>
      </c>
      <c r="O7" s="715">
        <v>3.2333333333333334</v>
      </c>
      <c r="P7" s="716">
        <v>2.6666666666666665</v>
      </c>
      <c r="Q7" s="714">
        <v>1.4</v>
      </c>
      <c r="R7" s="714">
        <v>3.3666666666666667</v>
      </c>
      <c r="S7" s="717">
        <v>7.4333333333333336</v>
      </c>
      <c r="T7" s="719">
        <v>0.16666666666666666</v>
      </c>
      <c r="U7" s="720">
        <v>15.633333333333333</v>
      </c>
      <c r="V7" s="718">
        <v>4.0333333333333332</v>
      </c>
      <c r="W7" s="714">
        <v>3.5666666666666669</v>
      </c>
      <c r="X7" s="714">
        <v>4.3666666666666663</v>
      </c>
      <c r="Y7" s="714">
        <v>3.6</v>
      </c>
      <c r="Z7" s="714">
        <v>6.6666666666666666E-2</v>
      </c>
      <c r="AA7" s="715">
        <v>15.633333333333333</v>
      </c>
      <c r="AB7" s="716">
        <v>3.6</v>
      </c>
      <c r="AC7" s="714">
        <v>8.4666666666666668</v>
      </c>
      <c r="AD7" s="714">
        <v>3.5666666666666669</v>
      </c>
      <c r="AE7" s="717">
        <v>0</v>
      </c>
      <c r="AF7" s="721">
        <v>15.633333333333333</v>
      </c>
    </row>
    <row r="8" spans="3:33" ht="15.75" x14ac:dyDescent="0.25">
      <c r="C8" s="182"/>
      <c r="D8" s="422" t="s">
        <v>56</v>
      </c>
      <c r="E8" s="423">
        <v>87</v>
      </c>
      <c r="F8" s="423">
        <v>85</v>
      </c>
      <c r="G8" s="423">
        <v>8</v>
      </c>
      <c r="H8" s="423">
        <v>19</v>
      </c>
      <c r="I8" s="441">
        <v>39</v>
      </c>
      <c r="J8" s="447">
        <v>170</v>
      </c>
      <c r="K8" s="423">
        <v>58</v>
      </c>
      <c r="L8" s="423">
        <v>10</v>
      </c>
      <c r="M8" s="424">
        <v>238</v>
      </c>
      <c r="N8" s="444">
        <v>135</v>
      </c>
      <c r="O8" s="441">
        <v>88</v>
      </c>
      <c r="P8" s="447">
        <v>84</v>
      </c>
      <c r="Q8" s="423">
        <v>32</v>
      </c>
      <c r="R8" s="423">
        <v>107</v>
      </c>
      <c r="S8" s="424">
        <v>223</v>
      </c>
      <c r="T8" s="450">
        <v>19</v>
      </c>
      <c r="U8" s="453">
        <v>480</v>
      </c>
      <c r="V8" s="444">
        <v>145</v>
      </c>
      <c r="W8" s="423">
        <v>109</v>
      </c>
      <c r="X8" s="423">
        <v>138</v>
      </c>
      <c r="Y8" s="423">
        <v>86</v>
      </c>
      <c r="Z8" s="423">
        <v>2</v>
      </c>
      <c r="AA8" s="441">
        <v>480</v>
      </c>
      <c r="AB8" s="447">
        <v>108</v>
      </c>
      <c r="AC8" s="423">
        <v>255</v>
      </c>
      <c r="AD8" s="423">
        <v>117</v>
      </c>
      <c r="AE8" s="424">
        <v>0</v>
      </c>
      <c r="AF8" s="456">
        <v>480</v>
      </c>
    </row>
    <row r="9" spans="3:33" ht="16.5" thickBot="1" x14ac:dyDescent="0.3">
      <c r="C9" s="182">
        <v>31</v>
      </c>
      <c r="D9" s="713" t="s">
        <v>57</v>
      </c>
      <c r="E9" s="714">
        <v>2.806451612903226</v>
      </c>
      <c r="F9" s="714">
        <v>2.7419354838709675</v>
      </c>
      <c r="G9" s="714">
        <v>0.25806451612903225</v>
      </c>
      <c r="H9" s="714">
        <v>0.61290322580645162</v>
      </c>
      <c r="I9" s="715">
        <v>1.2580645161290323</v>
      </c>
      <c r="J9" s="716">
        <v>5.4838709677419351</v>
      </c>
      <c r="K9" s="714">
        <v>1.8709677419354838</v>
      </c>
      <c r="L9" s="714">
        <v>0.32258064516129031</v>
      </c>
      <c r="M9" s="717">
        <v>7.67741935483871</v>
      </c>
      <c r="N9" s="718">
        <v>4.354838709677419</v>
      </c>
      <c r="O9" s="715">
        <v>2.838709677419355</v>
      </c>
      <c r="P9" s="716">
        <v>2.7096774193548385</v>
      </c>
      <c r="Q9" s="714">
        <v>1.032258064516129</v>
      </c>
      <c r="R9" s="714">
        <v>3.4516129032258065</v>
      </c>
      <c r="S9" s="717">
        <v>7.193548387096774</v>
      </c>
      <c r="T9" s="719">
        <v>0.61290322580645162</v>
      </c>
      <c r="U9" s="720">
        <v>15.483870967741936</v>
      </c>
      <c r="V9" s="718">
        <v>4.67741935483871</v>
      </c>
      <c r="W9" s="714">
        <v>3.5161290322580645</v>
      </c>
      <c r="X9" s="714">
        <v>4.4516129032258061</v>
      </c>
      <c r="Y9" s="714">
        <v>2.774193548387097</v>
      </c>
      <c r="Z9" s="714">
        <v>6.4516129032258063E-2</v>
      </c>
      <c r="AA9" s="715">
        <v>15.483870967741936</v>
      </c>
      <c r="AB9" s="716">
        <v>3.4838709677419355</v>
      </c>
      <c r="AC9" s="714">
        <v>8.2258064516129039</v>
      </c>
      <c r="AD9" s="714">
        <v>3.774193548387097</v>
      </c>
      <c r="AE9" s="717">
        <v>0</v>
      </c>
      <c r="AF9" s="721">
        <v>15.483870967741936</v>
      </c>
    </row>
    <row r="10" spans="3:33" ht="15.75" x14ac:dyDescent="0.25">
      <c r="C10" s="182"/>
      <c r="D10" s="422" t="s">
        <v>58</v>
      </c>
      <c r="E10" s="423">
        <v>90</v>
      </c>
      <c r="F10" s="423">
        <v>84</v>
      </c>
      <c r="G10" s="423">
        <v>36</v>
      </c>
      <c r="H10" s="423">
        <v>16</v>
      </c>
      <c r="I10" s="441">
        <v>36</v>
      </c>
      <c r="J10" s="447">
        <v>176</v>
      </c>
      <c r="K10" s="423">
        <v>63</v>
      </c>
      <c r="L10" s="423">
        <v>23</v>
      </c>
      <c r="M10" s="424">
        <v>262</v>
      </c>
      <c r="N10" s="444">
        <v>151</v>
      </c>
      <c r="O10" s="441">
        <v>84</v>
      </c>
      <c r="P10" s="447">
        <v>85</v>
      </c>
      <c r="Q10" s="423">
        <v>50</v>
      </c>
      <c r="R10" s="423">
        <v>100</v>
      </c>
      <c r="S10" s="424">
        <v>235</v>
      </c>
      <c r="T10" s="450">
        <v>17</v>
      </c>
      <c r="U10" s="453">
        <v>514</v>
      </c>
      <c r="V10" s="444">
        <v>170</v>
      </c>
      <c r="W10" s="423">
        <v>102</v>
      </c>
      <c r="X10" s="423">
        <v>135</v>
      </c>
      <c r="Y10" s="423">
        <v>107</v>
      </c>
      <c r="Z10" s="423">
        <v>0</v>
      </c>
      <c r="AA10" s="441">
        <v>514</v>
      </c>
      <c r="AB10" s="447">
        <v>129</v>
      </c>
      <c r="AC10" s="423">
        <v>261</v>
      </c>
      <c r="AD10" s="423">
        <v>124</v>
      </c>
      <c r="AE10" s="424">
        <v>0</v>
      </c>
      <c r="AF10" s="456">
        <v>514</v>
      </c>
    </row>
    <row r="11" spans="3:33" ht="16.5" thickBot="1" x14ac:dyDescent="0.3">
      <c r="C11" s="182">
        <v>30</v>
      </c>
      <c r="D11" s="713" t="s">
        <v>59</v>
      </c>
      <c r="E11" s="714">
        <v>3</v>
      </c>
      <c r="F11" s="714">
        <v>2.8</v>
      </c>
      <c r="G11" s="714">
        <v>1.2</v>
      </c>
      <c r="H11" s="714">
        <v>0.53333333333333333</v>
      </c>
      <c r="I11" s="715">
        <v>1.2</v>
      </c>
      <c r="J11" s="716">
        <v>5.8666666666666663</v>
      </c>
      <c r="K11" s="714">
        <v>2.1</v>
      </c>
      <c r="L11" s="714">
        <v>0.76666666666666672</v>
      </c>
      <c r="M11" s="717">
        <v>8.7333333333333325</v>
      </c>
      <c r="N11" s="718">
        <v>5.0333333333333332</v>
      </c>
      <c r="O11" s="715">
        <v>2.8</v>
      </c>
      <c r="P11" s="716">
        <v>2.8333333333333335</v>
      </c>
      <c r="Q11" s="714">
        <v>1.6666666666666667</v>
      </c>
      <c r="R11" s="714">
        <v>3.3333333333333335</v>
      </c>
      <c r="S11" s="717">
        <v>7.833333333333333</v>
      </c>
      <c r="T11" s="719">
        <v>0.56666666666666665</v>
      </c>
      <c r="U11" s="720">
        <v>17.133333333333333</v>
      </c>
      <c r="V11" s="718">
        <v>5.666666666666667</v>
      </c>
      <c r="W11" s="714">
        <v>3.4</v>
      </c>
      <c r="X11" s="714">
        <v>4.5</v>
      </c>
      <c r="Y11" s="714">
        <v>3.5666666666666669</v>
      </c>
      <c r="Z11" s="714">
        <v>0</v>
      </c>
      <c r="AA11" s="715">
        <v>17.133333333333333</v>
      </c>
      <c r="AB11" s="716">
        <v>4.3</v>
      </c>
      <c r="AC11" s="714">
        <v>8.6999999999999993</v>
      </c>
      <c r="AD11" s="714">
        <v>4.1333333333333337</v>
      </c>
      <c r="AE11" s="717">
        <v>0</v>
      </c>
      <c r="AF11" s="721">
        <v>17.133333333333333</v>
      </c>
    </row>
    <row r="12" spans="3:33" ht="15.75" x14ac:dyDescent="0.25">
      <c r="C12" s="182"/>
      <c r="D12" s="422" t="s">
        <v>60</v>
      </c>
      <c r="E12" s="423">
        <v>88</v>
      </c>
      <c r="F12" s="423">
        <v>75</v>
      </c>
      <c r="G12" s="423">
        <v>47</v>
      </c>
      <c r="H12" s="423">
        <v>13</v>
      </c>
      <c r="I12" s="441">
        <v>17</v>
      </c>
      <c r="J12" s="447">
        <v>126</v>
      </c>
      <c r="K12" s="423">
        <v>104</v>
      </c>
      <c r="L12" s="423">
        <v>10</v>
      </c>
      <c r="M12" s="424">
        <v>240</v>
      </c>
      <c r="N12" s="444">
        <v>133</v>
      </c>
      <c r="O12" s="441">
        <v>96</v>
      </c>
      <c r="P12" s="447">
        <v>85</v>
      </c>
      <c r="Q12" s="423">
        <v>50</v>
      </c>
      <c r="R12" s="423">
        <v>94</v>
      </c>
      <c r="S12" s="424">
        <v>229</v>
      </c>
      <c r="T12" s="450">
        <v>13</v>
      </c>
      <c r="U12" s="453">
        <v>482</v>
      </c>
      <c r="V12" s="444">
        <v>145</v>
      </c>
      <c r="W12" s="423">
        <v>97</v>
      </c>
      <c r="X12" s="423">
        <v>132</v>
      </c>
      <c r="Y12" s="423">
        <v>108</v>
      </c>
      <c r="Z12" s="423">
        <v>0</v>
      </c>
      <c r="AA12" s="441">
        <v>482</v>
      </c>
      <c r="AB12" s="447">
        <v>167</v>
      </c>
      <c r="AC12" s="423">
        <v>211</v>
      </c>
      <c r="AD12" s="423">
        <v>104</v>
      </c>
      <c r="AE12" s="424">
        <v>0</v>
      </c>
      <c r="AF12" s="456">
        <v>482</v>
      </c>
    </row>
    <row r="13" spans="3:33" ht="16.5" thickBot="1" x14ac:dyDescent="0.3">
      <c r="C13" s="182">
        <v>31</v>
      </c>
      <c r="D13" s="713" t="s">
        <v>61</v>
      </c>
      <c r="E13" s="714">
        <v>2.838709677419355</v>
      </c>
      <c r="F13" s="714">
        <v>2.4193548387096775</v>
      </c>
      <c r="G13" s="714">
        <v>1.5161290322580645</v>
      </c>
      <c r="H13" s="714">
        <v>0.41935483870967744</v>
      </c>
      <c r="I13" s="715">
        <v>0.54838709677419351</v>
      </c>
      <c r="J13" s="716">
        <v>4.064516129032258</v>
      </c>
      <c r="K13" s="714">
        <v>3.3548387096774195</v>
      </c>
      <c r="L13" s="714">
        <v>0.32258064516129031</v>
      </c>
      <c r="M13" s="717">
        <v>7.741935483870968</v>
      </c>
      <c r="N13" s="718">
        <v>4.290322580645161</v>
      </c>
      <c r="O13" s="715">
        <v>3.096774193548387</v>
      </c>
      <c r="P13" s="716">
        <v>2.7419354838709675</v>
      </c>
      <c r="Q13" s="714">
        <v>1.6129032258064515</v>
      </c>
      <c r="R13" s="714">
        <v>3.032258064516129</v>
      </c>
      <c r="S13" s="717">
        <v>7.387096774193548</v>
      </c>
      <c r="T13" s="719">
        <v>0.41935483870967744</v>
      </c>
      <c r="U13" s="720">
        <v>15.548387096774194</v>
      </c>
      <c r="V13" s="718">
        <v>4.67741935483871</v>
      </c>
      <c r="W13" s="714">
        <v>3.129032258064516</v>
      </c>
      <c r="X13" s="714">
        <v>4.258064516129032</v>
      </c>
      <c r="Y13" s="714">
        <v>3.4838709677419355</v>
      </c>
      <c r="Z13" s="714">
        <v>0</v>
      </c>
      <c r="AA13" s="715">
        <v>15.548387096774194</v>
      </c>
      <c r="AB13" s="716">
        <v>5.387096774193548</v>
      </c>
      <c r="AC13" s="714">
        <v>6.806451612903226</v>
      </c>
      <c r="AD13" s="714">
        <v>3.3548387096774195</v>
      </c>
      <c r="AE13" s="717">
        <v>0</v>
      </c>
      <c r="AF13" s="721">
        <v>15.548387096774194</v>
      </c>
    </row>
    <row r="14" spans="3:33" ht="15.75" x14ac:dyDescent="0.25">
      <c r="C14" s="182"/>
      <c r="D14" s="422" t="s">
        <v>62</v>
      </c>
      <c r="E14" s="423">
        <v>80</v>
      </c>
      <c r="F14" s="423">
        <v>84</v>
      </c>
      <c r="G14" s="423">
        <v>44</v>
      </c>
      <c r="H14" s="423">
        <v>3</v>
      </c>
      <c r="I14" s="441">
        <v>33</v>
      </c>
      <c r="J14" s="447">
        <v>133</v>
      </c>
      <c r="K14" s="423">
        <v>104</v>
      </c>
      <c r="L14" s="423">
        <v>7</v>
      </c>
      <c r="M14" s="424">
        <v>244</v>
      </c>
      <c r="N14" s="444">
        <v>115</v>
      </c>
      <c r="O14" s="441">
        <v>94</v>
      </c>
      <c r="P14" s="447">
        <v>63</v>
      </c>
      <c r="Q14" s="423">
        <v>56</v>
      </c>
      <c r="R14" s="423">
        <v>90</v>
      </c>
      <c r="S14" s="424">
        <v>209</v>
      </c>
      <c r="T14" s="450">
        <v>12</v>
      </c>
      <c r="U14" s="453">
        <v>465</v>
      </c>
      <c r="V14" s="444">
        <v>157</v>
      </c>
      <c r="W14" s="423">
        <v>97</v>
      </c>
      <c r="X14" s="423">
        <v>120</v>
      </c>
      <c r="Y14" s="423">
        <v>89</v>
      </c>
      <c r="Z14" s="423">
        <v>2</v>
      </c>
      <c r="AA14" s="441">
        <v>465</v>
      </c>
      <c r="AB14" s="447">
        <v>171</v>
      </c>
      <c r="AC14" s="423">
        <v>197</v>
      </c>
      <c r="AD14" s="423">
        <v>97</v>
      </c>
      <c r="AE14" s="424">
        <v>0</v>
      </c>
      <c r="AF14" s="456">
        <v>465</v>
      </c>
    </row>
    <row r="15" spans="3:33" ht="16.5" thickBot="1" x14ac:dyDescent="0.3">
      <c r="C15" s="182">
        <v>31</v>
      </c>
      <c r="D15" s="713" t="s">
        <v>63</v>
      </c>
      <c r="E15" s="714">
        <v>2.5806451612903225</v>
      </c>
      <c r="F15" s="714">
        <v>2.7096774193548385</v>
      </c>
      <c r="G15" s="714">
        <v>1.4193548387096775</v>
      </c>
      <c r="H15" s="714">
        <v>9.6774193548387094E-2</v>
      </c>
      <c r="I15" s="715">
        <v>1.064516129032258</v>
      </c>
      <c r="J15" s="716">
        <v>4.290322580645161</v>
      </c>
      <c r="K15" s="714">
        <v>3.3548387096774195</v>
      </c>
      <c r="L15" s="714">
        <v>0.22580645161290322</v>
      </c>
      <c r="M15" s="717">
        <v>7.870967741935484</v>
      </c>
      <c r="N15" s="718">
        <v>3.7096774193548385</v>
      </c>
      <c r="O15" s="715">
        <v>3.032258064516129</v>
      </c>
      <c r="P15" s="716">
        <v>2.032258064516129</v>
      </c>
      <c r="Q15" s="714">
        <v>1.8064516129032258</v>
      </c>
      <c r="R15" s="714">
        <v>2.903225806451613</v>
      </c>
      <c r="S15" s="717">
        <v>6.741935483870968</v>
      </c>
      <c r="T15" s="719">
        <v>0.38709677419354838</v>
      </c>
      <c r="U15" s="720">
        <v>15</v>
      </c>
      <c r="V15" s="718">
        <v>5.064516129032258</v>
      </c>
      <c r="W15" s="714">
        <v>3.129032258064516</v>
      </c>
      <c r="X15" s="714">
        <v>3.870967741935484</v>
      </c>
      <c r="Y15" s="714">
        <v>2.870967741935484</v>
      </c>
      <c r="Z15" s="714">
        <v>6.4516129032258063E-2</v>
      </c>
      <c r="AA15" s="715">
        <v>15</v>
      </c>
      <c r="AB15" s="716">
        <v>5.5161290322580649</v>
      </c>
      <c r="AC15" s="714">
        <v>6.354838709677419</v>
      </c>
      <c r="AD15" s="714">
        <v>3.129032258064516</v>
      </c>
      <c r="AE15" s="717">
        <v>0</v>
      </c>
      <c r="AF15" s="721">
        <v>15</v>
      </c>
    </row>
    <row r="16" spans="3:33" ht="15.75" x14ac:dyDescent="0.25">
      <c r="C16" s="182"/>
      <c r="D16" s="422" t="s">
        <v>64</v>
      </c>
      <c r="E16" s="423">
        <v>97</v>
      </c>
      <c r="F16" s="423">
        <v>80</v>
      </c>
      <c r="G16" s="423">
        <v>37</v>
      </c>
      <c r="H16" s="423">
        <v>5</v>
      </c>
      <c r="I16" s="441">
        <v>33</v>
      </c>
      <c r="J16" s="447">
        <v>139</v>
      </c>
      <c r="K16" s="423">
        <v>113</v>
      </c>
      <c r="L16" s="423">
        <v>0</v>
      </c>
      <c r="M16" s="424">
        <v>252</v>
      </c>
      <c r="N16" s="444">
        <v>112</v>
      </c>
      <c r="O16" s="441">
        <v>81</v>
      </c>
      <c r="P16" s="447">
        <v>32</v>
      </c>
      <c r="Q16" s="423">
        <v>71</v>
      </c>
      <c r="R16" s="423">
        <v>90</v>
      </c>
      <c r="S16" s="424">
        <v>193</v>
      </c>
      <c r="T16" s="450">
        <v>17</v>
      </c>
      <c r="U16" s="453">
        <v>462</v>
      </c>
      <c r="V16" s="444">
        <v>177</v>
      </c>
      <c r="W16" s="423">
        <v>95</v>
      </c>
      <c r="X16" s="423">
        <v>138</v>
      </c>
      <c r="Y16" s="423">
        <v>44</v>
      </c>
      <c r="Z16" s="423">
        <v>8</v>
      </c>
      <c r="AA16" s="441">
        <v>462</v>
      </c>
      <c r="AB16" s="447">
        <v>201</v>
      </c>
      <c r="AC16" s="423">
        <v>171</v>
      </c>
      <c r="AD16" s="423">
        <v>90</v>
      </c>
      <c r="AE16" s="424">
        <v>0</v>
      </c>
      <c r="AF16" s="456">
        <v>462</v>
      </c>
    </row>
    <row r="17" spans="3:33" ht="16.5" thickBot="1" x14ac:dyDescent="0.3">
      <c r="C17" s="182">
        <v>30</v>
      </c>
      <c r="D17" s="713" t="s">
        <v>65</v>
      </c>
      <c r="E17" s="714">
        <v>3.2333333333333334</v>
      </c>
      <c r="F17" s="714">
        <v>2.6666666666666665</v>
      </c>
      <c r="G17" s="714">
        <v>1.2333333333333334</v>
      </c>
      <c r="H17" s="714">
        <v>0.16666666666666666</v>
      </c>
      <c r="I17" s="715">
        <v>1.1000000000000001</v>
      </c>
      <c r="J17" s="716">
        <v>4.6333333333333337</v>
      </c>
      <c r="K17" s="714">
        <v>3.7666666666666666</v>
      </c>
      <c r="L17" s="714">
        <v>0</v>
      </c>
      <c r="M17" s="717">
        <v>8.4</v>
      </c>
      <c r="N17" s="718">
        <v>3.7333333333333334</v>
      </c>
      <c r="O17" s="715">
        <v>2.7</v>
      </c>
      <c r="P17" s="716">
        <v>1.0666666666666667</v>
      </c>
      <c r="Q17" s="714">
        <v>2.3666666666666667</v>
      </c>
      <c r="R17" s="714">
        <v>3</v>
      </c>
      <c r="S17" s="717">
        <v>6.4333333333333336</v>
      </c>
      <c r="T17" s="719">
        <v>0.56666666666666665</v>
      </c>
      <c r="U17" s="720">
        <v>15.4</v>
      </c>
      <c r="V17" s="718">
        <v>5.9</v>
      </c>
      <c r="W17" s="714">
        <v>3.1666666666666665</v>
      </c>
      <c r="X17" s="714">
        <v>4.5999999999999996</v>
      </c>
      <c r="Y17" s="714">
        <v>1.4666666666666666</v>
      </c>
      <c r="Z17" s="714">
        <v>0.26666666666666666</v>
      </c>
      <c r="AA17" s="715">
        <v>15.4</v>
      </c>
      <c r="AB17" s="716">
        <v>6.7</v>
      </c>
      <c r="AC17" s="714">
        <v>5.7</v>
      </c>
      <c r="AD17" s="714">
        <v>3</v>
      </c>
      <c r="AE17" s="717">
        <v>0</v>
      </c>
      <c r="AF17" s="721">
        <v>15.4</v>
      </c>
    </row>
    <row r="18" spans="3:33" ht="15.75" x14ac:dyDescent="0.25">
      <c r="C18" s="182"/>
      <c r="D18" s="422" t="s">
        <v>66</v>
      </c>
      <c r="E18" s="423">
        <v>92</v>
      </c>
      <c r="F18" s="423">
        <v>81</v>
      </c>
      <c r="G18" s="423">
        <v>45</v>
      </c>
      <c r="H18" s="423">
        <v>6</v>
      </c>
      <c r="I18" s="441">
        <v>42</v>
      </c>
      <c r="J18" s="447">
        <v>195</v>
      </c>
      <c r="K18" s="423">
        <v>70</v>
      </c>
      <c r="L18" s="423">
        <v>1</v>
      </c>
      <c r="M18" s="424">
        <v>266</v>
      </c>
      <c r="N18" s="444">
        <v>126</v>
      </c>
      <c r="O18" s="441">
        <v>90</v>
      </c>
      <c r="P18" s="447">
        <v>51</v>
      </c>
      <c r="Q18" s="423">
        <v>59</v>
      </c>
      <c r="R18" s="423">
        <v>106</v>
      </c>
      <c r="S18" s="424">
        <v>216</v>
      </c>
      <c r="T18" s="450">
        <v>17</v>
      </c>
      <c r="U18" s="453">
        <v>499</v>
      </c>
      <c r="V18" s="444">
        <v>127</v>
      </c>
      <c r="W18" s="423">
        <v>110</v>
      </c>
      <c r="X18" s="423">
        <v>193</v>
      </c>
      <c r="Y18" s="423">
        <v>68</v>
      </c>
      <c r="Z18" s="423">
        <v>1</v>
      </c>
      <c r="AA18" s="441">
        <v>499</v>
      </c>
      <c r="AB18" s="447">
        <v>144</v>
      </c>
      <c r="AC18" s="423">
        <v>248</v>
      </c>
      <c r="AD18" s="423">
        <v>107</v>
      </c>
      <c r="AE18" s="424">
        <v>0</v>
      </c>
      <c r="AF18" s="456">
        <v>499</v>
      </c>
    </row>
    <row r="19" spans="3:33" ht="16.5" thickBot="1" x14ac:dyDescent="0.3">
      <c r="C19" s="182">
        <v>31</v>
      </c>
      <c r="D19" s="713" t="s">
        <v>67</v>
      </c>
      <c r="E19" s="714">
        <v>2.967741935483871</v>
      </c>
      <c r="F19" s="714">
        <v>2.6129032258064515</v>
      </c>
      <c r="G19" s="714">
        <v>1.4516129032258065</v>
      </c>
      <c r="H19" s="714">
        <v>0.19354838709677419</v>
      </c>
      <c r="I19" s="715">
        <v>1.3548387096774193</v>
      </c>
      <c r="J19" s="716">
        <v>6.290322580645161</v>
      </c>
      <c r="K19" s="714">
        <v>2.2580645161290325</v>
      </c>
      <c r="L19" s="714">
        <v>3.2258064516129031E-2</v>
      </c>
      <c r="M19" s="717">
        <v>8.5806451612903221</v>
      </c>
      <c r="N19" s="718">
        <v>4.064516129032258</v>
      </c>
      <c r="O19" s="715">
        <v>2.903225806451613</v>
      </c>
      <c r="P19" s="716">
        <v>1.6451612903225807</v>
      </c>
      <c r="Q19" s="714">
        <v>1.903225806451613</v>
      </c>
      <c r="R19" s="714">
        <v>3.4193548387096775</v>
      </c>
      <c r="S19" s="717">
        <v>6.967741935483871</v>
      </c>
      <c r="T19" s="719">
        <v>0.54838709677419351</v>
      </c>
      <c r="U19" s="720">
        <v>16.096774193548388</v>
      </c>
      <c r="V19" s="718">
        <v>4.096774193548387</v>
      </c>
      <c r="W19" s="714">
        <v>3.5483870967741935</v>
      </c>
      <c r="X19" s="714">
        <v>6.225806451612903</v>
      </c>
      <c r="Y19" s="714">
        <v>2.193548387096774</v>
      </c>
      <c r="Z19" s="714">
        <v>3.2258064516129031E-2</v>
      </c>
      <c r="AA19" s="715">
        <v>16.096774193548388</v>
      </c>
      <c r="AB19" s="716">
        <v>4.645161290322581</v>
      </c>
      <c r="AC19" s="714">
        <v>8</v>
      </c>
      <c r="AD19" s="714">
        <v>3.4516129032258065</v>
      </c>
      <c r="AE19" s="717">
        <v>0</v>
      </c>
      <c r="AF19" s="721">
        <v>16.096774193548388</v>
      </c>
    </row>
    <row r="20" spans="3:33" ht="15.75" x14ac:dyDescent="0.25">
      <c r="C20" s="182"/>
      <c r="D20" s="422" t="s">
        <v>68</v>
      </c>
      <c r="E20" s="423">
        <v>95</v>
      </c>
      <c r="F20" s="423">
        <v>86</v>
      </c>
      <c r="G20" s="423">
        <v>55</v>
      </c>
      <c r="H20" s="423">
        <v>0</v>
      </c>
      <c r="I20" s="441">
        <v>41</v>
      </c>
      <c r="J20" s="447">
        <v>209</v>
      </c>
      <c r="K20" s="423">
        <v>63</v>
      </c>
      <c r="L20" s="423">
        <v>5</v>
      </c>
      <c r="M20" s="424">
        <v>277</v>
      </c>
      <c r="N20" s="444">
        <v>141</v>
      </c>
      <c r="O20" s="441">
        <v>77</v>
      </c>
      <c r="P20" s="447">
        <v>66</v>
      </c>
      <c r="Q20" s="423">
        <v>55</v>
      </c>
      <c r="R20" s="423">
        <v>97</v>
      </c>
      <c r="S20" s="424">
        <v>218</v>
      </c>
      <c r="T20" s="450">
        <v>21</v>
      </c>
      <c r="U20" s="453">
        <v>516</v>
      </c>
      <c r="V20" s="444">
        <v>138</v>
      </c>
      <c r="W20" s="423">
        <v>102</v>
      </c>
      <c r="X20" s="423">
        <v>179</v>
      </c>
      <c r="Y20" s="423">
        <v>96</v>
      </c>
      <c r="Z20" s="423">
        <v>1</v>
      </c>
      <c r="AA20" s="441">
        <v>516</v>
      </c>
      <c r="AB20" s="447">
        <v>136</v>
      </c>
      <c r="AC20" s="423">
        <v>278</v>
      </c>
      <c r="AD20" s="423">
        <v>102</v>
      </c>
      <c r="AE20" s="424">
        <v>0</v>
      </c>
      <c r="AF20" s="456">
        <v>516</v>
      </c>
    </row>
    <row r="21" spans="3:33" ht="16.5" thickBot="1" x14ac:dyDescent="0.3">
      <c r="C21" s="183">
        <v>30</v>
      </c>
      <c r="D21" s="713" t="s">
        <v>69</v>
      </c>
      <c r="E21" s="714">
        <v>3.1666666666666665</v>
      </c>
      <c r="F21" s="714">
        <v>2.8666666666666667</v>
      </c>
      <c r="G21" s="714">
        <v>1.8333333333333333</v>
      </c>
      <c r="H21" s="714">
        <v>0</v>
      </c>
      <c r="I21" s="715">
        <v>1.3666666666666667</v>
      </c>
      <c r="J21" s="716">
        <v>6.9666666666666668</v>
      </c>
      <c r="K21" s="714">
        <v>2.1</v>
      </c>
      <c r="L21" s="714">
        <v>0.16666666666666666</v>
      </c>
      <c r="M21" s="717">
        <v>9.2333333333333325</v>
      </c>
      <c r="N21" s="718">
        <v>4.7</v>
      </c>
      <c r="O21" s="715">
        <v>2.5666666666666669</v>
      </c>
      <c r="P21" s="716">
        <v>2.2000000000000002</v>
      </c>
      <c r="Q21" s="714">
        <v>1.8333333333333333</v>
      </c>
      <c r="R21" s="714">
        <v>3.2333333333333334</v>
      </c>
      <c r="S21" s="717">
        <v>7.2666666666666666</v>
      </c>
      <c r="T21" s="719">
        <v>0.7</v>
      </c>
      <c r="U21" s="720">
        <v>17.2</v>
      </c>
      <c r="V21" s="718">
        <v>4.5999999999999996</v>
      </c>
      <c r="W21" s="714">
        <v>3.4</v>
      </c>
      <c r="X21" s="714">
        <v>5.9666666666666668</v>
      </c>
      <c r="Y21" s="714">
        <v>3.2</v>
      </c>
      <c r="Z21" s="714">
        <v>3.3333333333333333E-2</v>
      </c>
      <c r="AA21" s="715">
        <v>17.2</v>
      </c>
      <c r="AB21" s="716">
        <v>4.5333333333333332</v>
      </c>
      <c r="AC21" s="714">
        <v>9.2666666666666675</v>
      </c>
      <c r="AD21" s="714">
        <v>3.4</v>
      </c>
      <c r="AE21" s="717">
        <v>0</v>
      </c>
      <c r="AF21" s="721">
        <v>17.2</v>
      </c>
    </row>
    <row r="22" spans="3:33" ht="15.75" x14ac:dyDescent="0.25">
      <c r="C22" s="183"/>
      <c r="D22" s="422" t="s">
        <v>70</v>
      </c>
      <c r="E22" s="423">
        <v>91</v>
      </c>
      <c r="F22" s="423">
        <v>87</v>
      </c>
      <c r="G22" s="423">
        <v>52</v>
      </c>
      <c r="H22" s="423">
        <v>0</v>
      </c>
      <c r="I22" s="441">
        <v>42</v>
      </c>
      <c r="J22" s="447">
        <v>202</v>
      </c>
      <c r="K22" s="423">
        <v>68</v>
      </c>
      <c r="L22" s="423">
        <v>2</v>
      </c>
      <c r="M22" s="424">
        <v>272</v>
      </c>
      <c r="N22" s="444">
        <v>144</v>
      </c>
      <c r="O22" s="441">
        <v>90</v>
      </c>
      <c r="P22" s="447">
        <v>82</v>
      </c>
      <c r="Q22" s="423">
        <v>49</v>
      </c>
      <c r="R22" s="423">
        <v>103</v>
      </c>
      <c r="S22" s="424">
        <v>234</v>
      </c>
      <c r="T22" s="450">
        <v>27</v>
      </c>
      <c r="U22" s="453">
        <v>533</v>
      </c>
      <c r="V22" s="444">
        <v>151</v>
      </c>
      <c r="W22" s="423">
        <v>105</v>
      </c>
      <c r="X22" s="423">
        <v>156</v>
      </c>
      <c r="Y22" s="423">
        <v>120</v>
      </c>
      <c r="Z22" s="423">
        <v>1</v>
      </c>
      <c r="AA22" s="441">
        <v>533</v>
      </c>
      <c r="AB22" s="447">
        <v>133</v>
      </c>
      <c r="AC22" s="423">
        <v>295</v>
      </c>
      <c r="AD22" s="423">
        <v>105</v>
      </c>
      <c r="AE22" s="424">
        <v>0</v>
      </c>
      <c r="AF22" s="456">
        <v>533</v>
      </c>
    </row>
    <row r="23" spans="3:33" ht="16.5" thickBot="1" x14ac:dyDescent="0.3">
      <c r="C23" s="183">
        <v>31</v>
      </c>
      <c r="D23" s="713" t="s">
        <v>71</v>
      </c>
      <c r="E23" s="714">
        <v>2.935483870967742</v>
      </c>
      <c r="F23" s="714">
        <v>2.806451612903226</v>
      </c>
      <c r="G23" s="714">
        <v>1.6774193548387097</v>
      </c>
      <c r="H23" s="714">
        <v>0</v>
      </c>
      <c r="I23" s="715">
        <v>1.3548387096774193</v>
      </c>
      <c r="J23" s="716">
        <v>6.5161290322580649</v>
      </c>
      <c r="K23" s="714">
        <v>2.193548387096774</v>
      </c>
      <c r="L23" s="714">
        <v>6.4516129032258063E-2</v>
      </c>
      <c r="M23" s="717">
        <v>8.7741935483870961</v>
      </c>
      <c r="N23" s="718">
        <v>4.645161290322581</v>
      </c>
      <c r="O23" s="715">
        <v>2.903225806451613</v>
      </c>
      <c r="P23" s="716">
        <v>2.6451612903225805</v>
      </c>
      <c r="Q23" s="714">
        <v>1.5806451612903225</v>
      </c>
      <c r="R23" s="714">
        <v>3.3225806451612905</v>
      </c>
      <c r="S23" s="717">
        <v>7.5483870967741939</v>
      </c>
      <c r="T23" s="719">
        <v>0.87096774193548387</v>
      </c>
      <c r="U23" s="720">
        <v>17.193548387096776</v>
      </c>
      <c r="V23" s="718">
        <v>4.870967741935484</v>
      </c>
      <c r="W23" s="714">
        <v>3.3870967741935485</v>
      </c>
      <c r="X23" s="714">
        <v>5.032258064516129</v>
      </c>
      <c r="Y23" s="714">
        <v>3.870967741935484</v>
      </c>
      <c r="Z23" s="714">
        <v>3.2258064516129031E-2</v>
      </c>
      <c r="AA23" s="715">
        <v>17.193548387096776</v>
      </c>
      <c r="AB23" s="716">
        <v>4.290322580645161</v>
      </c>
      <c r="AC23" s="714">
        <v>9.5161290322580641</v>
      </c>
      <c r="AD23" s="714">
        <v>3.3870967741935485</v>
      </c>
      <c r="AE23" s="717">
        <v>0</v>
      </c>
      <c r="AF23" s="721">
        <v>17.193548387096776</v>
      </c>
    </row>
    <row r="24" spans="3:33" ht="15.75" x14ac:dyDescent="0.25">
      <c r="C24" s="183"/>
      <c r="D24" s="422" t="s">
        <v>72</v>
      </c>
      <c r="E24" s="423">
        <v>86</v>
      </c>
      <c r="F24" s="423">
        <v>87</v>
      </c>
      <c r="G24" s="423">
        <v>55</v>
      </c>
      <c r="H24" s="423">
        <v>0</v>
      </c>
      <c r="I24" s="441">
        <v>43</v>
      </c>
      <c r="J24" s="447">
        <v>174</v>
      </c>
      <c r="K24" s="423">
        <v>67</v>
      </c>
      <c r="L24" s="423">
        <v>30</v>
      </c>
      <c r="M24" s="424">
        <v>271</v>
      </c>
      <c r="N24" s="444">
        <v>127</v>
      </c>
      <c r="O24" s="441">
        <v>90</v>
      </c>
      <c r="P24" s="447">
        <v>98</v>
      </c>
      <c r="Q24" s="423">
        <v>43</v>
      </c>
      <c r="R24" s="423">
        <v>76</v>
      </c>
      <c r="S24" s="424">
        <v>217</v>
      </c>
      <c r="T24" s="450">
        <v>24</v>
      </c>
      <c r="U24" s="453">
        <v>512</v>
      </c>
      <c r="V24" s="444">
        <v>153</v>
      </c>
      <c r="W24" s="423">
        <v>71</v>
      </c>
      <c r="X24" s="423">
        <v>159</v>
      </c>
      <c r="Y24" s="423">
        <v>128</v>
      </c>
      <c r="Z24" s="423">
        <v>1</v>
      </c>
      <c r="AA24" s="441">
        <v>512</v>
      </c>
      <c r="AB24" s="447">
        <v>125</v>
      </c>
      <c r="AC24" s="423">
        <v>279</v>
      </c>
      <c r="AD24" s="423">
        <v>108</v>
      </c>
      <c r="AE24" s="424">
        <v>0</v>
      </c>
      <c r="AF24" s="456">
        <v>512</v>
      </c>
    </row>
    <row r="25" spans="3:33" ht="16.5" thickBot="1" x14ac:dyDescent="0.3">
      <c r="C25" s="183">
        <v>31</v>
      </c>
      <c r="D25" s="713" t="s">
        <v>73</v>
      </c>
      <c r="E25" s="714">
        <v>2.774193548387097</v>
      </c>
      <c r="F25" s="714">
        <v>2.806451612903226</v>
      </c>
      <c r="G25" s="714">
        <v>1.7741935483870968</v>
      </c>
      <c r="H25" s="714">
        <v>0</v>
      </c>
      <c r="I25" s="715">
        <v>1.3870967741935485</v>
      </c>
      <c r="J25" s="716">
        <v>5.612903225806452</v>
      </c>
      <c r="K25" s="714">
        <v>2.161290322580645</v>
      </c>
      <c r="L25" s="714">
        <v>0.967741935483871</v>
      </c>
      <c r="M25" s="717">
        <v>8.741935483870968</v>
      </c>
      <c r="N25" s="718">
        <v>4.096774193548387</v>
      </c>
      <c r="O25" s="715">
        <v>2.903225806451613</v>
      </c>
      <c r="P25" s="716">
        <v>3.161290322580645</v>
      </c>
      <c r="Q25" s="714">
        <v>1.3870967741935485</v>
      </c>
      <c r="R25" s="714">
        <v>2.4516129032258065</v>
      </c>
      <c r="S25" s="717">
        <v>7</v>
      </c>
      <c r="T25" s="719">
        <v>0.77419354838709675</v>
      </c>
      <c r="U25" s="720">
        <v>16.516129032258064</v>
      </c>
      <c r="V25" s="718">
        <v>4.935483870967742</v>
      </c>
      <c r="W25" s="714">
        <v>2.2903225806451615</v>
      </c>
      <c r="X25" s="714">
        <v>5.129032258064516</v>
      </c>
      <c r="Y25" s="714">
        <v>4.129032258064516</v>
      </c>
      <c r="Z25" s="714">
        <v>3.2258064516129031E-2</v>
      </c>
      <c r="AA25" s="715">
        <v>16.516129032258064</v>
      </c>
      <c r="AB25" s="716">
        <v>4.032258064516129</v>
      </c>
      <c r="AC25" s="714">
        <v>9</v>
      </c>
      <c r="AD25" s="714">
        <v>3.4838709677419355</v>
      </c>
      <c r="AE25" s="717">
        <v>0</v>
      </c>
      <c r="AF25" s="721">
        <v>16.516129032258064</v>
      </c>
    </row>
    <row r="26" spans="3:33" ht="15.75" x14ac:dyDescent="0.25">
      <c r="D26" s="422" t="s">
        <v>74</v>
      </c>
      <c r="E26" s="423">
        <v>90</v>
      </c>
      <c r="F26" s="423">
        <v>90</v>
      </c>
      <c r="G26" s="423">
        <v>55</v>
      </c>
      <c r="H26" s="423">
        <v>0</v>
      </c>
      <c r="I26" s="441">
        <v>43</v>
      </c>
      <c r="J26" s="447">
        <v>160</v>
      </c>
      <c r="K26" s="423">
        <v>50</v>
      </c>
      <c r="L26" s="423">
        <v>68</v>
      </c>
      <c r="M26" s="424">
        <v>278</v>
      </c>
      <c r="N26" s="444">
        <v>115</v>
      </c>
      <c r="O26" s="441">
        <v>81</v>
      </c>
      <c r="P26" s="447">
        <v>91</v>
      </c>
      <c r="Q26" s="423">
        <v>62</v>
      </c>
      <c r="R26" s="423">
        <v>43</v>
      </c>
      <c r="S26" s="424">
        <v>196</v>
      </c>
      <c r="T26" s="450">
        <v>21</v>
      </c>
      <c r="U26" s="453">
        <v>495</v>
      </c>
      <c r="V26" s="444">
        <v>145</v>
      </c>
      <c r="W26" s="423">
        <v>73</v>
      </c>
      <c r="X26" s="423">
        <v>152</v>
      </c>
      <c r="Y26" s="423">
        <v>120</v>
      </c>
      <c r="Z26" s="423">
        <v>5</v>
      </c>
      <c r="AA26" s="441">
        <v>495</v>
      </c>
      <c r="AB26" s="447">
        <v>126</v>
      </c>
      <c r="AC26" s="423">
        <v>256</v>
      </c>
      <c r="AD26" s="423">
        <v>113</v>
      </c>
      <c r="AE26" s="424">
        <v>0</v>
      </c>
      <c r="AF26" s="456">
        <v>495</v>
      </c>
    </row>
    <row r="27" spans="3:33" ht="16.5" thickBot="1" x14ac:dyDescent="0.3">
      <c r="C27" s="183">
        <v>28</v>
      </c>
      <c r="D27" s="722" t="s">
        <v>75</v>
      </c>
      <c r="E27" s="723">
        <v>3.2142857142857144</v>
      </c>
      <c r="F27" s="723">
        <v>3.2142857142857144</v>
      </c>
      <c r="G27" s="723">
        <v>1.9642857142857142</v>
      </c>
      <c r="H27" s="723">
        <v>0</v>
      </c>
      <c r="I27" s="724">
        <v>1.5357142857142858</v>
      </c>
      <c r="J27" s="725">
        <v>5.7142857142857144</v>
      </c>
      <c r="K27" s="723">
        <v>1.7857142857142858</v>
      </c>
      <c r="L27" s="723">
        <v>2.4285714285714284</v>
      </c>
      <c r="M27" s="726">
        <v>9.9285714285714288</v>
      </c>
      <c r="N27" s="727">
        <v>4.1071428571428568</v>
      </c>
      <c r="O27" s="724">
        <v>2.8928571428571428</v>
      </c>
      <c r="P27" s="725">
        <v>3.25</v>
      </c>
      <c r="Q27" s="723">
        <v>2.2142857142857144</v>
      </c>
      <c r="R27" s="723">
        <v>1.5357142857142858</v>
      </c>
      <c r="S27" s="726">
        <v>7</v>
      </c>
      <c r="T27" s="728">
        <v>0.75</v>
      </c>
      <c r="U27" s="729">
        <v>17.678571428571427</v>
      </c>
      <c r="V27" s="727">
        <v>5.1785714285714288</v>
      </c>
      <c r="W27" s="723">
        <v>2.6071428571428572</v>
      </c>
      <c r="X27" s="723">
        <v>5.4285714285714288</v>
      </c>
      <c r="Y27" s="723">
        <v>4.2857142857142856</v>
      </c>
      <c r="Z27" s="723">
        <v>0.17857142857142858</v>
      </c>
      <c r="AA27" s="724">
        <v>17.678571428571427</v>
      </c>
      <c r="AB27" s="725">
        <v>4.5</v>
      </c>
      <c r="AC27" s="723">
        <v>9.1428571428571423</v>
      </c>
      <c r="AD27" s="723">
        <v>4.0357142857142856</v>
      </c>
      <c r="AE27" s="726">
        <v>0</v>
      </c>
      <c r="AF27" s="730">
        <v>17.678571428571427</v>
      </c>
    </row>
    <row r="28" spans="3:33" ht="15.75" x14ac:dyDescent="0.25">
      <c r="C28" s="183"/>
      <c r="D28" s="422" t="s">
        <v>76</v>
      </c>
      <c r="E28" s="423">
        <v>83</v>
      </c>
      <c r="F28" s="423">
        <v>83</v>
      </c>
      <c r="G28" s="423">
        <v>49</v>
      </c>
      <c r="H28" s="423">
        <v>4</v>
      </c>
      <c r="I28" s="441">
        <v>46</v>
      </c>
      <c r="J28" s="447">
        <v>145</v>
      </c>
      <c r="K28" s="423">
        <v>46</v>
      </c>
      <c r="L28" s="423">
        <v>74</v>
      </c>
      <c r="M28" s="424">
        <v>265</v>
      </c>
      <c r="N28" s="444">
        <v>144</v>
      </c>
      <c r="O28" s="441">
        <v>94</v>
      </c>
      <c r="P28" s="447">
        <v>107</v>
      </c>
      <c r="Q28" s="423">
        <v>81</v>
      </c>
      <c r="R28" s="423">
        <v>50</v>
      </c>
      <c r="S28" s="424">
        <v>238</v>
      </c>
      <c r="T28" s="450">
        <v>10</v>
      </c>
      <c r="U28" s="453">
        <v>513</v>
      </c>
      <c r="V28" s="444">
        <v>174</v>
      </c>
      <c r="W28" s="423">
        <v>88</v>
      </c>
      <c r="X28" s="423">
        <v>141</v>
      </c>
      <c r="Y28" s="423">
        <v>108</v>
      </c>
      <c r="Z28" s="423">
        <v>2</v>
      </c>
      <c r="AA28" s="441">
        <v>513</v>
      </c>
      <c r="AB28" s="447">
        <v>134</v>
      </c>
      <c r="AC28" s="423">
        <v>254</v>
      </c>
      <c r="AD28" s="423">
        <v>125</v>
      </c>
      <c r="AE28" s="424"/>
      <c r="AF28" s="456">
        <v>513</v>
      </c>
    </row>
    <row r="29" spans="3:33" ht="16.5" thickBot="1" x14ac:dyDescent="0.3">
      <c r="C29" s="183">
        <v>31</v>
      </c>
      <c r="D29" s="713" t="s">
        <v>77</v>
      </c>
      <c r="E29" s="731">
        <v>2.68</v>
      </c>
      <c r="F29" s="731">
        <v>2.68</v>
      </c>
      <c r="G29" s="731">
        <v>1.58</v>
      </c>
      <c r="H29" s="731">
        <v>0.13</v>
      </c>
      <c r="I29" s="732">
        <v>1.48</v>
      </c>
      <c r="J29" s="733">
        <v>4.68</v>
      </c>
      <c r="K29" s="731">
        <v>1.48</v>
      </c>
      <c r="L29" s="731">
        <v>2.39</v>
      </c>
      <c r="M29" s="734">
        <v>8.5500000000000007</v>
      </c>
      <c r="N29" s="735">
        <v>4.6500000000000004</v>
      </c>
      <c r="O29" s="732">
        <v>3.03</v>
      </c>
      <c r="P29" s="733">
        <v>3.45</v>
      </c>
      <c r="Q29" s="731">
        <v>2.61</v>
      </c>
      <c r="R29" s="731">
        <v>1.61</v>
      </c>
      <c r="S29" s="734">
        <v>7.68</v>
      </c>
      <c r="T29" s="736">
        <v>0.32</v>
      </c>
      <c r="U29" s="737">
        <v>16.55</v>
      </c>
      <c r="V29" s="735">
        <v>5.61</v>
      </c>
      <c r="W29" s="731">
        <v>2.84</v>
      </c>
      <c r="X29" s="731">
        <v>4.55</v>
      </c>
      <c r="Y29" s="731">
        <v>3.48</v>
      </c>
      <c r="Z29" s="731">
        <v>0.06</v>
      </c>
      <c r="AA29" s="732">
        <v>16.55</v>
      </c>
      <c r="AB29" s="733">
        <v>4.32</v>
      </c>
      <c r="AC29" s="731">
        <v>8.19</v>
      </c>
      <c r="AD29" s="731">
        <v>4.03</v>
      </c>
      <c r="AE29" s="734"/>
      <c r="AF29" s="738">
        <v>16.55</v>
      </c>
    </row>
    <row r="30" spans="3:33" ht="18.75" x14ac:dyDescent="0.3">
      <c r="C30" s="182">
        <f>SUM(C7:C29)</f>
        <v>365</v>
      </c>
      <c r="D30" s="644" t="s">
        <v>78</v>
      </c>
      <c r="E30" s="645">
        <f>+E26+E24+E22+E20+E18+E16+E14+E12+E10+E8+E6+E28</f>
        <v>1063</v>
      </c>
      <c r="F30" s="645">
        <f t="shared" ref="F30:AE30" si="0">+F26+F24+F22+F20+F18+F16+F14+F12+F10+F8+F6+F28</f>
        <v>1014</v>
      </c>
      <c r="G30" s="645">
        <f t="shared" si="0"/>
        <v>483</v>
      </c>
      <c r="H30" s="645">
        <f t="shared" si="0"/>
        <v>86</v>
      </c>
      <c r="I30" s="646">
        <f t="shared" si="0"/>
        <v>460</v>
      </c>
      <c r="J30" s="647">
        <f t="shared" si="0"/>
        <v>2003</v>
      </c>
      <c r="K30" s="645">
        <f t="shared" si="0"/>
        <v>867</v>
      </c>
      <c r="L30" s="645">
        <f t="shared" si="0"/>
        <v>236</v>
      </c>
      <c r="M30" s="648">
        <f t="shared" si="0"/>
        <v>3106</v>
      </c>
      <c r="N30" s="649">
        <f t="shared" si="0"/>
        <v>1569</v>
      </c>
      <c r="O30" s="646">
        <f t="shared" si="0"/>
        <v>1062</v>
      </c>
      <c r="P30" s="647">
        <f t="shared" si="0"/>
        <v>924</v>
      </c>
      <c r="Q30" s="645">
        <f t="shared" si="0"/>
        <v>650</v>
      </c>
      <c r="R30" s="645">
        <f t="shared" si="0"/>
        <v>1057</v>
      </c>
      <c r="S30" s="648">
        <f t="shared" si="0"/>
        <v>2631</v>
      </c>
      <c r="T30" s="650">
        <f t="shared" si="0"/>
        <v>203</v>
      </c>
      <c r="U30" s="651">
        <f t="shared" si="0"/>
        <v>5940</v>
      </c>
      <c r="V30" s="649">
        <f t="shared" si="0"/>
        <v>1803</v>
      </c>
      <c r="W30" s="645">
        <f t="shared" si="0"/>
        <v>1156</v>
      </c>
      <c r="X30" s="645">
        <f t="shared" si="0"/>
        <v>1774</v>
      </c>
      <c r="Y30" s="645">
        <f t="shared" si="0"/>
        <v>1182</v>
      </c>
      <c r="Z30" s="645">
        <f t="shared" si="0"/>
        <v>25</v>
      </c>
      <c r="AA30" s="646">
        <f t="shared" si="0"/>
        <v>5940</v>
      </c>
      <c r="AB30" s="647">
        <f t="shared" si="0"/>
        <v>1682</v>
      </c>
      <c r="AC30" s="645">
        <f t="shared" si="0"/>
        <v>2959</v>
      </c>
      <c r="AD30" s="645">
        <f t="shared" si="0"/>
        <v>1299</v>
      </c>
      <c r="AE30" s="648">
        <f t="shared" si="0"/>
        <v>0</v>
      </c>
      <c r="AF30" s="652">
        <f>+AF26+AF24+AF22+AF20+AF18+AF16+AF14+AF12+AF10+AF8+AF6+AF28</f>
        <v>5940</v>
      </c>
    </row>
    <row r="31" spans="3:33" ht="19.5" thickBot="1" x14ac:dyDescent="0.3">
      <c r="C31" s="180"/>
      <c r="D31" s="184" t="s">
        <v>79</v>
      </c>
      <c r="E31" s="185">
        <f>+E30/$C$30</f>
        <v>2.9123287671232876</v>
      </c>
      <c r="F31" s="185">
        <f t="shared" ref="F31:AF31" si="1">+F30/$C$30</f>
        <v>2.7780821917808218</v>
      </c>
      <c r="G31" s="185">
        <f t="shared" si="1"/>
        <v>1.3232876712328767</v>
      </c>
      <c r="H31" s="185">
        <f t="shared" si="1"/>
        <v>0.23561643835616439</v>
      </c>
      <c r="I31" s="443">
        <f t="shared" si="1"/>
        <v>1.2602739726027397</v>
      </c>
      <c r="J31" s="449">
        <f t="shared" si="1"/>
        <v>5.4876712328767123</v>
      </c>
      <c r="K31" s="185">
        <f t="shared" si="1"/>
        <v>2.3753424657534246</v>
      </c>
      <c r="L31" s="185">
        <f t="shared" si="1"/>
        <v>0.64657534246575343</v>
      </c>
      <c r="M31" s="186">
        <f t="shared" si="1"/>
        <v>8.5095890410958912</v>
      </c>
      <c r="N31" s="446">
        <f t="shared" si="1"/>
        <v>4.2986301369863016</v>
      </c>
      <c r="O31" s="443">
        <f t="shared" si="1"/>
        <v>2.9095890410958902</v>
      </c>
      <c r="P31" s="449">
        <f t="shared" si="1"/>
        <v>2.5315068493150683</v>
      </c>
      <c r="Q31" s="185">
        <f t="shared" si="1"/>
        <v>1.7808219178082192</v>
      </c>
      <c r="R31" s="185">
        <f t="shared" si="1"/>
        <v>2.8958904109589043</v>
      </c>
      <c r="S31" s="186">
        <f t="shared" si="1"/>
        <v>7.2082191780821914</v>
      </c>
      <c r="T31" s="452">
        <f t="shared" si="1"/>
        <v>0.55616438356164388</v>
      </c>
      <c r="U31" s="455">
        <f t="shared" si="1"/>
        <v>16.273972602739725</v>
      </c>
      <c r="V31" s="446">
        <f t="shared" si="1"/>
        <v>4.9397260273972599</v>
      </c>
      <c r="W31" s="185">
        <f t="shared" si="1"/>
        <v>3.1671232876712327</v>
      </c>
      <c r="X31" s="185">
        <f t="shared" si="1"/>
        <v>4.86027397260274</v>
      </c>
      <c r="Y31" s="185">
        <f t="shared" si="1"/>
        <v>3.2383561643835614</v>
      </c>
      <c r="Z31" s="185">
        <f t="shared" si="1"/>
        <v>6.8493150684931503E-2</v>
      </c>
      <c r="AA31" s="443">
        <f t="shared" si="1"/>
        <v>16.273972602739725</v>
      </c>
      <c r="AB31" s="449">
        <f t="shared" si="1"/>
        <v>4.6082191780821917</v>
      </c>
      <c r="AC31" s="185">
        <f t="shared" si="1"/>
        <v>8.1068493150684926</v>
      </c>
      <c r="AD31" s="185">
        <f t="shared" si="1"/>
        <v>3.558904109589041</v>
      </c>
      <c r="AE31" s="186">
        <f t="shared" si="1"/>
        <v>0</v>
      </c>
      <c r="AF31" s="458">
        <f t="shared" si="1"/>
        <v>16.273972602739725</v>
      </c>
    </row>
    <row r="32" spans="3:33" s="189" customFormat="1" ht="15" hidden="1" x14ac:dyDescent="0.25">
      <c r="C32" s="187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</row>
    <row r="33" spans="3:33" ht="15" hidden="1" x14ac:dyDescent="0.25"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</row>
    <row r="34" spans="3:33" ht="15" hidden="1" x14ac:dyDescent="0.25"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</row>
    <row r="35" spans="3:33" ht="15" hidden="1" x14ac:dyDescent="0.25"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</row>
    <row r="36" spans="3:33" ht="15" x14ac:dyDescent="0.25"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</row>
    <row r="37" spans="3:33" ht="15.75" thickBot="1" x14ac:dyDescent="0.3"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</row>
    <row r="38" spans="3:33" ht="16.5" thickBot="1" x14ac:dyDescent="0.3">
      <c r="C38" s="188"/>
      <c r="D38" s="695"/>
      <c r="E38" s="695"/>
      <c r="F38" s="695"/>
      <c r="G38" s="695"/>
      <c r="H38" s="695"/>
      <c r="I38" s="695"/>
      <c r="J38" s="783" t="s">
        <v>39</v>
      </c>
      <c r="K38" s="784"/>
      <c r="L38" s="784"/>
      <c r="M38" s="785"/>
      <c r="N38" s="695"/>
      <c r="O38" s="695"/>
      <c r="P38" s="786" t="s">
        <v>40</v>
      </c>
      <c r="Q38" s="787"/>
      <c r="R38" s="787"/>
      <c r="S38" s="788"/>
      <c r="T38" s="695"/>
      <c r="U38" s="695"/>
      <c r="V38" s="695"/>
      <c r="W38" s="695"/>
      <c r="X38" s="695"/>
      <c r="Y38" s="695"/>
      <c r="Z38" s="695"/>
      <c r="AA38" s="695"/>
      <c r="AB38" s="695"/>
      <c r="AC38" s="695"/>
      <c r="AD38" s="695"/>
      <c r="AE38" s="695"/>
      <c r="AF38" s="695"/>
      <c r="AG38" s="188"/>
    </row>
    <row r="39" spans="3:33" ht="32.25" thickBot="1" x14ac:dyDescent="0.3">
      <c r="C39" s="188"/>
      <c r="D39" s="697" t="s">
        <v>41</v>
      </c>
      <c r="E39" s="698" t="s">
        <v>42</v>
      </c>
      <c r="F39" s="699" t="s">
        <v>26</v>
      </c>
      <c r="G39" s="699" t="s">
        <v>29</v>
      </c>
      <c r="H39" s="699" t="s">
        <v>30</v>
      </c>
      <c r="I39" s="700" t="s">
        <v>31</v>
      </c>
      <c r="J39" s="701" t="s">
        <v>43</v>
      </c>
      <c r="K39" s="702" t="s">
        <v>44</v>
      </c>
      <c r="L39" s="702" t="s">
        <v>45</v>
      </c>
      <c r="M39" s="703" t="s">
        <v>46</v>
      </c>
      <c r="N39" s="704" t="s">
        <v>27</v>
      </c>
      <c r="O39" s="700" t="s">
        <v>28</v>
      </c>
      <c r="P39" s="705" t="s">
        <v>43</v>
      </c>
      <c r="Q39" s="706" t="s">
        <v>44</v>
      </c>
      <c r="R39" s="706" t="s">
        <v>45</v>
      </c>
      <c r="S39" s="707" t="s">
        <v>46</v>
      </c>
      <c r="T39" s="708" t="s">
        <v>32</v>
      </c>
      <c r="U39" s="709" t="s">
        <v>46</v>
      </c>
      <c r="V39" s="704" t="s">
        <v>1</v>
      </c>
      <c r="W39" s="699" t="s">
        <v>2</v>
      </c>
      <c r="X39" s="699" t="s">
        <v>3</v>
      </c>
      <c r="Y39" s="699" t="s">
        <v>47</v>
      </c>
      <c r="Z39" s="700" t="s">
        <v>48</v>
      </c>
      <c r="AA39" s="710" t="s">
        <v>46</v>
      </c>
      <c r="AB39" s="698" t="s">
        <v>49</v>
      </c>
      <c r="AC39" s="699" t="s">
        <v>50</v>
      </c>
      <c r="AD39" s="699" t="s">
        <v>51</v>
      </c>
      <c r="AE39" s="711" t="s">
        <v>52</v>
      </c>
      <c r="AF39" s="712" t="s">
        <v>46</v>
      </c>
      <c r="AG39" s="188"/>
    </row>
    <row r="40" spans="3:33" ht="15.75" x14ac:dyDescent="0.25">
      <c r="C40" s="183">
        <v>30</v>
      </c>
      <c r="D40" s="422" t="s">
        <v>159</v>
      </c>
      <c r="E40" s="423">
        <v>104</v>
      </c>
      <c r="F40" s="423">
        <v>108</v>
      </c>
      <c r="G40" s="423">
        <v>23</v>
      </c>
      <c r="H40" s="423">
        <v>14</v>
      </c>
      <c r="I40" s="441">
        <v>50</v>
      </c>
      <c r="J40" s="447">
        <v>148</v>
      </c>
      <c r="K40" s="423">
        <v>31</v>
      </c>
      <c r="L40" s="423">
        <v>118</v>
      </c>
      <c r="M40" s="424">
        <v>299</v>
      </c>
      <c r="N40" s="444">
        <v>125</v>
      </c>
      <c r="O40" s="441">
        <v>94</v>
      </c>
      <c r="P40" s="447">
        <v>85</v>
      </c>
      <c r="Q40" s="423">
        <v>104</v>
      </c>
      <c r="R40" s="423">
        <v>2</v>
      </c>
      <c r="S40" s="424">
        <v>219</v>
      </c>
      <c r="T40" s="450">
        <v>23</v>
      </c>
      <c r="U40" s="453">
        <v>541</v>
      </c>
      <c r="V40" s="444">
        <v>185</v>
      </c>
      <c r="W40" s="423">
        <v>90</v>
      </c>
      <c r="X40" s="423">
        <v>160</v>
      </c>
      <c r="Y40" s="423">
        <v>84</v>
      </c>
      <c r="Z40" s="423">
        <v>22</v>
      </c>
      <c r="AA40" s="441">
        <v>541</v>
      </c>
      <c r="AB40" s="447">
        <v>144</v>
      </c>
      <c r="AC40" s="423">
        <v>246</v>
      </c>
      <c r="AD40" s="423">
        <v>120</v>
      </c>
      <c r="AE40" s="424">
        <v>31</v>
      </c>
      <c r="AF40" s="456">
        <v>541</v>
      </c>
    </row>
    <row r="41" spans="3:33" ht="16.5" thickBot="1" x14ac:dyDescent="0.3">
      <c r="C41" s="183"/>
      <c r="D41" s="713" t="s">
        <v>160</v>
      </c>
      <c r="E41" s="714">
        <v>3.4666666666666668</v>
      </c>
      <c r="F41" s="714">
        <v>3.6</v>
      </c>
      <c r="G41" s="714">
        <v>0.76666666666666672</v>
      </c>
      <c r="H41" s="714">
        <v>0.46666666666666667</v>
      </c>
      <c r="I41" s="715">
        <v>1.6666666666666667</v>
      </c>
      <c r="J41" s="716">
        <v>4.9333333333333336</v>
      </c>
      <c r="K41" s="714">
        <v>1.0333333333333334</v>
      </c>
      <c r="L41" s="714">
        <v>3.9333333333333331</v>
      </c>
      <c r="M41" s="717">
        <v>9.9666666666666668</v>
      </c>
      <c r="N41" s="718">
        <v>4.166666666666667</v>
      </c>
      <c r="O41" s="715">
        <v>3.1333333333333333</v>
      </c>
      <c r="P41" s="716">
        <v>2.8333333333333335</v>
      </c>
      <c r="Q41" s="714">
        <v>3.4666666666666668</v>
      </c>
      <c r="R41" s="714">
        <v>6.6666666666666666E-2</v>
      </c>
      <c r="S41" s="717">
        <v>7.3</v>
      </c>
      <c r="T41" s="719">
        <v>0.76666666666666672</v>
      </c>
      <c r="U41" s="720">
        <v>18.033333333333335</v>
      </c>
      <c r="V41" s="718">
        <v>6.166666666666667</v>
      </c>
      <c r="W41" s="714">
        <v>3</v>
      </c>
      <c r="X41" s="714">
        <v>5.333333333333333</v>
      </c>
      <c r="Y41" s="714">
        <v>2.8</v>
      </c>
      <c r="Z41" s="714">
        <v>0.73333333333333328</v>
      </c>
      <c r="AA41" s="715">
        <v>18.033333333333335</v>
      </c>
      <c r="AB41" s="716">
        <v>4.8</v>
      </c>
      <c r="AC41" s="714">
        <v>8.1999999999999993</v>
      </c>
      <c r="AD41" s="714">
        <v>4</v>
      </c>
      <c r="AE41" s="717">
        <v>1.0333333333333334</v>
      </c>
      <c r="AF41" s="721">
        <v>18.033333333333335</v>
      </c>
    </row>
    <row r="42" spans="3:33" ht="15.75" x14ac:dyDescent="0.25">
      <c r="C42" s="183">
        <v>31</v>
      </c>
      <c r="D42" s="422" t="s">
        <v>161</v>
      </c>
      <c r="E42" s="423">
        <v>99</v>
      </c>
      <c r="F42" s="423">
        <v>101</v>
      </c>
      <c r="G42" s="423">
        <v>36</v>
      </c>
      <c r="H42" s="423">
        <v>13</v>
      </c>
      <c r="I42" s="441">
        <v>50</v>
      </c>
      <c r="J42" s="447">
        <v>161</v>
      </c>
      <c r="K42" s="423">
        <v>33</v>
      </c>
      <c r="L42" s="423">
        <v>104</v>
      </c>
      <c r="M42" s="424">
        <v>299</v>
      </c>
      <c r="N42" s="444">
        <v>144</v>
      </c>
      <c r="O42" s="441">
        <v>94</v>
      </c>
      <c r="P42" s="447">
        <v>69</v>
      </c>
      <c r="Q42" s="423">
        <v>133</v>
      </c>
      <c r="R42" s="423">
        <v>22</v>
      </c>
      <c r="S42" s="424">
        <v>238</v>
      </c>
      <c r="T42" s="450">
        <v>18</v>
      </c>
      <c r="U42" s="453">
        <v>555</v>
      </c>
      <c r="V42" s="444">
        <v>173</v>
      </c>
      <c r="W42" s="423">
        <v>96</v>
      </c>
      <c r="X42" s="423">
        <v>173</v>
      </c>
      <c r="Y42" s="423">
        <v>87</v>
      </c>
      <c r="Z42" s="423">
        <v>26</v>
      </c>
      <c r="AA42" s="441">
        <v>555</v>
      </c>
      <c r="AB42" s="447">
        <v>182</v>
      </c>
      <c r="AC42" s="423">
        <v>232</v>
      </c>
      <c r="AD42" s="423">
        <v>126</v>
      </c>
      <c r="AE42" s="424">
        <v>15</v>
      </c>
      <c r="AF42" s="456">
        <v>555</v>
      </c>
    </row>
    <row r="43" spans="3:33" ht="16.5" thickBot="1" x14ac:dyDescent="0.3">
      <c r="C43" s="183"/>
      <c r="D43" s="713" t="s">
        <v>162</v>
      </c>
      <c r="E43" s="714">
        <v>3.193548387096774</v>
      </c>
      <c r="F43" s="714">
        <v>3.2580645161290325</v>
      </c>
      <c r="G43" s="714">
        <v>1.1612903225806452</v>
      </c>
      <c r="H43" s="714">
        <v>0.41935483870967744</v>
      </c>
      <c r="I43" s="715">
        <v>1.6129032258064515</v>
      </c>
      <c r="J43" s="716">
        <v>5.193548387096774</v>
      </c>
      <c r="K43" s="714">
        <v>1.064516129032258</v>
      </c>
      <c r="L43" s="714">
        <v>3.3548387096774195</v>
      </c>
      <c r="M43" s="717">
        <v>9.6451612903225801</v>
      </c>
      <c r="N43" s="718">
        <v>4.645161290322581</v>
      </c>
      <c r="O43" s="715">
        <v>3.032258064516129</v>
      </c>
      <c r="P43" s="716">
        <v>2.225806451612903</v>
      </c>
      <c r="Q43" s="714">
        <v>4.290322580645161</v>
      </c>
      <c r="R43" s="714">
        <v>0.70967741935483875</v>
      </c>
      <c r="S43" s="717">
        <v>7.67741935483871</v>
      </c>
      <c r="T43" s="719">
        <v>0.58064516129032262</v>
      </c>
      <c r="U43" s="720">
        <v>17.903225806451612</v>
      </c>
      <c r="V43" s="718">
        <v>5.580645161290323</v>
      </c>
      <c r="W43" s="714">
        <v>3.096774193548387</v>
      </c>
      <c r="X43" s="714">
        <v>5.580645161290323</v>
      </c>
      <c r="Y43" s="714">
        <v>2.806451612903226</v>
      </c>
      <c r="Z43" s="714">
        <v>0.83870967741935487</v>
      </c>
      <c r="AA43" s="715">
        <v>17.903225806451612</v>
      </c>
      <c r="AB43" s="716">
        <v>5.870967741935484</v>
      </c>
      <c r="AC43" s="714">
        <v>7.4838709677419351</v>
      </c>
      <c r="AD43" s="714">
        <v>4.064516129032258</v>
      </c>
      <c r="AE43" s="717">
        <v>0.4838709677419355</v>
      </c>
      <c r="AF43" s="721">
        <v>17.903225806451612</v>
      </c>
    </row>
    <row r="44" spans="3:33" ht="15.75" x14ac:dyDescent="0.25">
      <c r="C44" s="183">
        <v>30</v>
      </c>
      <c r="D44" s="422" t="s">
        <v>163</v>
      </c>
      <c r="E44" s="423">
        <v>104</v>
      </c>
      <c r="F44" s="423">
        <v>93</v>
      </c>
      <c r="G44" s="423">
        <v>54</v>
      </c>
      <c r="H44" s="423">
        <v>11</v>
      </c>
      <c r="I44" s="441">
        <v>28</v>
      </c>
      <c r="J44" s="447">
        <v>126</v>
      </c>
      <c r="K44" s="423">
        <v>56</v>
      </c>
      <c r="L44" s="423">
        <v>99</v>
      </c>
      <c r="M44" s="424">
        <v>290</v>
      </c>
      <c r="N44" s="444">
        <v>152</v>
      </c>
      <c r="O44" s="441">
        <v>92</v>
      </c>
      <c r="P44" s="447">
        <v>77</v>
      </c>
      <c r="Q44" s="423">
        <v>142</v>
      </c>
      <c r="R44" s="423">
        <v>20</v>
      </c>
      <c r="S44" s="424">
        <v>244</v>
      </c>
      <c r="T44" s="450">
        <v>8</v>
      </c>
      <c r="U44" s="453">
        <v>542</v>
      </c>
      <c r="V44" s="444">
        <v>168</v>
      </c>
      <c r="W44" s="423">
        <v>107</v>
      </c>
      <c r="X44" s="423">
        <v>144</v>
      </c>
      <c r="Y44" s="423">
        <v>108</v>
      </c>
      <c r="Z44" s="423">
        <v>15</v>
      </c>
      <c r="AA44" s="441">
        <v>542</v>
      </c>
      <c r="AB44" s="447">
        <v>206</v>
      </c>
      <c r="AC44" s="423">
        <v>203</v>
      </c>
      <c r="AD44" s="423">
        <v>119</v>
      </c>
      <c r="AE44" s="424">
        <v>14</v>
      </c>
      <c r="AF44" s="456">
        <v>542</v>
      </c>
    </row>
    <row r="45" spans="3:33" ht="16.5" thickBot="1" x14ac:dyDescent="0.3">
      <c r="C45" s="183"/>
      <c r="D45" s="713" t="s">
        <v>164</v>
      </c>
      <c r="E45" s="714">
        <v>3.47</v>
      </c>
      <c r="F45" s="714">
        <v>3.1</v>
      </c>
      <c r="G45" s="714">
        <v>1.8</v>
      </c>
      <c r="H45" s="714">
        <v>0.37</v>
      </c>
      <c r="I45" s="715">
        <v>0.93</v>
      </c>
      <c r="J45" s="716">
        <v>4.2</v>
      </c>
      <c r="K45" s="714">
        <v>1.87</v>
      </c>
      <c r="L45" s="714">
        <v>3.3</v>
      </c>
      <c r="M45" s="717">
        <v>9.67</v>
      </c>
      <c r="N45" s="718">
        <v>5.07</v>
      </c>
      <c r="O45" s="715">
        <v>3.07</v>
      </c>
      <c r="P45" s="716">
        <v>2.57</v>
      </c>
      <c r="Q45" s="714">
        <v>4.7300000000000004</v>
      </c>
      <c r="R45" s="714">
        <v>0.67</v>
      </c>
      <c r="S45" s="717">
        <v>8.1300000000000008</v>
      </c>
      <c r="T45" s="719">
        <v>0.27</v>
      </c>
      <c r="U45" s="720">
        <v>18.07</v>
      </c>
      <c r="V45" s="718">
        <v>5.6</v>
      </c>
      <c r="W45" s="714">
        <v>3.57</v>
      </c>
      <c r="X45" s="714">
        <v>4.8</v>
      </c>
      <c r="Y45" s="714">
        <v>3.6</v>
      </c>
      <c r="Z45" s="714">
        <v>0.5</v>
      </c>
      <c r="AA45" s="715">
        <v>18.07</v>
      </c>
      <c r="AB45" s="716">
        <v>6.87</v>
      </c>
      <c r="AC45" s="714">
        <v>6.77</v>
      </c>
      <c r="AD45" s="714">
        <v>3.97</v>
      </c>
      <c r="AE45" s="717">
        <v>0.47</v>
      </c>
      <c r="AF45" s="721">
        <v>18.07</v>
      </c>
    </row>
    <row r="46" spans="3:33" ht="15.75" x14ac:dyDescent="0.25">
      <c r="C46" s="183">
        <v>31</v>
      </c>
      <c r="D46" s="422" t="s">
        <v>165</v>
      </c>
      <c r="E46" s="423">
        <v>103</v>
      </c>
      <c r="F46" s="423">
        <v>96</v>
      </c>
      <c r="G46" s="423">
        <v>36</v>
      </c>
      <c r="H46" s="423">
        <v>21</v>
      </c>
      <c r="I46" s="441">
        <v>33</v>
      </c>
      <c r="J46" s="447">
        <v>127</v>
      </c>
      <c r="K46" s="423">
        <v>58</v>
      </c>
      <c r="L46" s="423">
        <v>104</v>
      </c>
      <c r="M46" s="424">
        <v>289</v>
      </c>
      <c r="N46" s="444">
        <v>144</v>
      </c>
      <c r="O46" s="441">
        <v>84</v>
      </c>
      <c r="P46" s="447">
        <v>55</v>
      </c>
      <c r="Q46" s="423">
        <v>167</v>
      </c>
      <c r="R46" s="423">
        <v>5</v>
      </c>
      <c r="S46" s="424">
        <v>228</v>
      </c>
      <c r="T46" s="450">
        <v>15</v>
      </c>
      <c r="U46" s="453">
        <v>532</v>
      </c>
      <c r="V46" s="444">
        <v>167</v>
      </c>
      <c r="W46" s="423">
        <v>88</v>
      </c>
      <c r="X46" s="423">
        <v>146</v>
      </c>
      <c r="Y46" s="423">
        <v>115</v>
      </c>
      <c r="Z46" s="423">
        <v>16</v>
      </c>
      <c r="AA46" s="441">
        <v>532</v>
      </c>
      <c r="AB46" s="447">
        <v>238</v>
      </c>
      <c r="AC46" s="423">
        <v>184</v>
      </c>
      <c r="AD46" s="423">
        <v>109</v>
      </c>
      <c r="AE46" s="424">
        <v>1</v>
      </c>
      <c r="AF46" s="456">
        <v>532</v>
      </c>
    </row>
    <row r="47" spans="3:33" ht="16.5" thickBot="1" x14ac:dyDescent="0.3">
      <c r="C47" s="183"/>
      <c r="D47" s="713" t="s">
        <v>166</v>
      </c>
      <c r="E47" s="714">
        <v>3.3225806451612905</v>
      </c>
      <c r="F47" s="714">
        <v>3.096774193548387</v>
      </c>
      <c r="G47" s="714">
        <v>1.1612903225806452</v>
      </c>
      <c r="H47" s="714">
        <v>0.67741935483870963</v>
      </c>
      <c r="I47" s="715">
        <v>1.064516129032258</v>
      </c>
      <c r="J47" s="716">
        <v>4.096774193548387</v>
      </c>
      <c r="K47" s="714">
        <v>1.8709677419354838</v>
      </c>
      <c r="L47" s="714">
        <v>3.3548387096774195</v>
      </c>
      <c r="M47" s="717">
        <v>9.32258064516129</v>
      </c>
      <c r="N47" s="718">
        <v>4.645161290322581</v>
      </c>
      <c r="O47" s="715">
        <v>2.7096774193548385</v>
      </c>
      <c r="P47" s="716">
        <v>1.7741935483870968</v>
      </c>
      <c r="Q47" s="714">
        <v>5.387096774193548</v>
      </c>
      <c r="R47" s="714">
        <v>0.16129032258064516</v>
      </c>
      <c r="S47" s="717">
        <v>7.354838709677419</v>
      </c>
      <c r="T47" s="719">
        <v>0.4838709677419355</v>
      </c>
      <c r="U47" s="720">
        <v>17.161290322580644</v>
      </c>
      <c r="V47" s="718">
        <v>5.387096774193548</v>
      </c>
      <c r="W47" s="714">
        <v>2.838709677419355</v>
      </c>
      <c r="X47" s="714">
        <v>4.709677419354839</v>
      </c>
      <c r="Y47" s="714">
        <v>3.7096774193548385</v>
      </c>
      <c r="Z47" s="714">
        <v>0.5161290322580645</v>
      </c>
      <c r="AA47" s="715">
        <v>17.161290322580644</v>
      </c>
      <c r="AB47" s="716">
        <v>7.67741935483871</v>
      </c>
      <c r="AC47" s="714">
        <v>5.935483870967742</v>
      </c>
      <c r="AD47" s="714">
        <v>3.5161290322580645</v>
      </c>
      <c r="AE47" s="717">
        <v>3.2258064516129031E-2</v>
      </c>
      <c r="AF47" s="721">
        <v>17.161290322580644</v>
      </c>
    </row>
    <row r="48" spans="3:33" ht="15.75" x14ac:dyDescent="0.25">
      <c r="C48" s="183">
        <v>31</v>
      </c>
      <c r="D48" s="422" t="s">
        <v>167</v>
      </c>
      <c r="E48" s="423">
        <v>89</v>
      </c>
      <c r="F48" s="423">
        <v>85</v>
      </c>
      <c r="G48" s="423">
        <v>39</v>
      </c>
      <c r="H48" s="423">
        <v>11</v>
      </c>
      <c r="I48" s="441">
        <v>10</v>
      </c>
      <c r="J48" s="447">
        <v>99</v>
      </c>
      <c r="K48" s="423">
        <v>37</v>
      </c>
      <c r="L48" s="423">
        <v>98</v>
      </c>
      <c r="M48" s="424">
        <v>234</v>
      </c>
      <c r="N48" s="444">
        <v>139</v>
      </c>
      <c r="O48" s="441">
        <v>90</v>
      </c>
      <c r="P48" s="447">
        <v>51</v>
      </c>
      <c r="Q48" s="423">
        <v>175</v>
      </c>
      <c r="R48" s="423">
        <v>3</v>
      </c>
      <c r="S48" s="424">
        <v>229</v>
      </c>
      <c r="T48" s="450">
        <v>9</v>
      </c>
      <c r="U48" s="453">
        <v>472</v>
      </c>
      <c r="V48" s="444">
        <v>139</v>
      </c>
      <c r="W48" s="423">
        <v>93</v>
      </c>
      <c r="X48" s="423">
        <v>108</v>
      </c>
      <c r="Y48" s="423">
        <v>115</v>
      </c>
      <c r="Z48" s="423">
        <v>17</v>
      </c>
      <c r="AA48" s="441">
        <v>472</v>
      </c>
      <c r="AB48" s="447">
        <v>221</v>
      </c>
      <c r="AC48" s="423">
        <v>150</v>
      </c>
      <c r="AD48" s="423">
        <v>101</v>
      </c>
      <c r="AE48" s="424">
        <v>0</v>
      </c>
      <c r="AF48" s="456">
        <v>472</v>
      </c>
    </row>
    <row r="49" spans="3:34" ht="16.5" thickBot="1" x14ac:dyDescent="0.3">
      <c r="C49" s="183"/>
      <c r="D49" s="713" t="s">
        <v>168</v>
      </c>
      <c r="E49" s="714">
        <v>2.870967741935484</v>
      </c>
      <c r="F49" s="714">
        <v>2.7419354838709675</v>
      </c>
      <c r="G49" s="714">
        <v>1.2580645161290323</v>
      </c>
      <c r="H49" s="714">
        <v>0.35483870967741937</v>
      </c>
      <c r="I49" s="715">
        <v>0.32258064516129031</v>
      </c>
      <c r="J49" s="716">
        <v>3.193548387096774</v>
      </c>
      <c r="K49" s="714">
        <v>1.1935483870967742</v>
      </c>
      <c r="L49" s="714">
        <v>3.161290322580645</v>
      </c>
      <c r="M49" s="717">
        <v>7.5483870967741939</v>
      </c>
      <c r="N49" s="718">
        <v>4.4838709677419351</v>
      </c>
      <c r="O49" s="715">
        <v>2.903225806451613</v>
      </c>
      <c r="P49" s="716">
        <v>1.6451612903225807</v>
      </c>
      <c r="Q49" s="714">
        <v>5.645161290322581</v>
      </c>
      <c r="R49" s="714">
        <v>9.6774193548387094E-2</v>
      </c>
      <c r="S49" s="717">
        <v>7.387096774193548</v>
      </c>
      <c r="T49" s="719">
        <v>0.29032258064516131</v>
      </c>
      <c r="U49" s="720">
        <v>15.225806451612904</v>
      </c>
      <c r="V49" s="718">
        <v>4.4838709677419351</v>
      </c>
      <c r="W49" s="714">
        <v>3</v>
      </c>
      <c r="X49" s="714">
        <v>3.4838709677419355</v>
      </c>
      <c r="Y49" s="714">
        <v>3.7096774193548385</v>
      </c>
      <c r="Z49" s="714">
        <v>0.54838709677419351</v>
      </c>
      <c r="AA49" s="715">
        <v>15.225806451612904</v>
      </c>
      <c r="AB49" s="716">
        <v>7.129032258064516</v>
      </c>
      <c r="AC49" s="714">
        <v>4.838709677419355</v>
      </c>
      <c r="AD49" s="714">
        <v>3.2580645161290325</v>
      </c>
      <c r="AE49" s="717">
        <v>0</v>
      </c>
      <c r="AF49" s="721">
        <v>15.225806451612904</v>
      </c>
    </row>
    <row r="50" spans="3:34" ht="15.75" x14ac:dyDescent="0.25">
      <c r="C50" s="183">
        <v>30</v>
      </c>
      <c r="D50" s="422" t="s">
        <v>169</v>
      </c>
      <c r="E50" s="423">
        <v>84</v>
      </c>
      <c r="F50" s="423">
        <v>77</v>
      </c>
      <c r="G50" s="423">
        <v>34</v>
      </c>
      <c r="H50" s="423">
        <v>25</v>
      </c>
      <c r="I50" s="441">
        <v>2</v>
      </c>
      <c r="J50" s="447">
        <v>92</v>
      </c>
      <c r="K50" s="423">
        <v>38</v>
      </c>
      <c r="L50" s="423">
        <v>92</v>
      </c>
      <c r="M50" s="424">
        <v>222</v>
      </c>
      <c r="N50" s="444">
        <v>107</v>
      </c>
      <c r="O50" s="441">
        <v>80</v>
      </c>
      <c r="P50" s="447">
        <v>40</v>
      </c>
      <c r="Q50" s="423">
        <v>145</v>
      </c>
      <c r="R50" s="423">
        <v>2</v>
      </c>
      <c r="S50" s="424">
        <v>187</v>
      </c>
      <c r="T50" s="450">
        <v>18</v>
      </c>
      <c r="U50" s="453">
        <v>427</v>
      </c>
      <c r="V50" s="444">
        <v>122</v>
      </c>
      <c r="W50" s="423">
        <v>72</v>
      </c>
      <c r="X50" s="423">
        <v>123</v>
      </c>
      <c r="Y50" s="423">
        <v>96</v>
      </c>
      <c r="Z50" s="423">
        <v>14</v>
      </c>
      <c r="AA50" s="441">
        <v>427</v>
      </c>
      <c r="AB50" s="447">
        <v>190</v>
      </c>
      <c r="AC50" s="423">
        <v>143</v>
      </c>
      <c r="AD50" s="423">
        <v>94</v>
      </c>
      <c r="AE50" s="424">
        <v>0</v>
      </c>
      <c r="AF50" s="456">
        <v>427</v>
      </c>
    </row>
    <row r="51" spans="3:34" ht="16.5" thickBot="1" x14ac:dyDescent="0.3">
      <c r="C51" s="183"/>
      <c r="D51" s="713" t="s">
        <v>170</v>
      </c>
      <c r="E51" s="714">
        <v>2.8</v>
      </c>
      <c r="F51" s="714">
        <v>2.5666666666666669</v>
      </c>
      <c r="G51" s="714">
        <v>1.1333333333333333</v>
      </c>
      <c r="H51" s="714">
        <v>0.83333333333333337</v>
      </c>
      <c r="I51" s="715">
        <v>6.6666666666666666E-2</v>
      </c>
      <c r="J51" s="716">
        <v>3.0666666666666669</v>
      </c>
      <c r="K51" s="714">
        <v>1.2666666666666666</v>
      </c>
      <c r="L51" s="714">
        <v>3.0666666666666669</v>
      </c>
      <c r="M51" s="717">
        <v>7.4</v>
      </c>
      <c r="N51" s="718">
        <v>3.5666666666666669</v>
      </c>
      <c r="O51" s="715">
        <v>2.6666666666666665</v>
      </c>
      <c r="P51" s="716">
        <v>1.3333333333333333</v>
      </c>
      <c r="Q51" s="714">
        <v>4.833333333333333</v>
      </c>
      <c r="R51" s="714">
        <v>6.6666666666666666E-2</v>
      </c>
      <c r="S51" s="717">
        <v>6.2333333333333334</v>
      </c>
      <c r="T51" s="719">
        <v>0.6</v>
      </c>
      <c r="U51" s="720">
        <v>14.233333333333333</v>
      </c>
      <c r="V51" s="718">
        <v>4.0666666666666664</v>
      </c>
      <c r="W51" s="714">
        <v>2.4</v>
      </c>
      <c r="X51" s="714">
        <v>4.0999999999999996</v>
      </c>
      <c r="Y51" s="714">
        <v>3.2</v>
      </c>
      <c r="Z51" s="714">
        <v>0.46666666666666667</v>
      </c>
      <c r="AA51" s="715">
        <v>14.233333333333333</v>
      </c>
      <c r="AB51" s="716">
        <v>6.333333333333333</v>
      </c>
      <c r="AC51" s="714">
        <v>4.7666666666666666</v>
      </c>
      <c r="AD51" s="714">
        <v>3.1333333333333333</v>
      </c>
      <c r="AE51" s="717">
        <v>0</v>
      </c>
      <c r="AF51" s="721">
        <v>14.233333333333333</v>
      </c>
    </row>
    <row r="52" spans="3:34" ht="15.75" x14ac:dyDescent="0.25">
      <c r="C52" s="183">
        <v>31</v>
      </c>
      <c r="D52" s="422" t="s">
        <v>171</v>
      </c>
      <c r="E52" s="423">
        <v>90</v>
      </c>
      <c r="F52" s="423">
        <v>91</v>
      </c>
      <c r="G52" s="423">
        <v>52</v>
      </c>
      <c r="H52" s="423">
        <v>25</v>
      </c>
      <c r="I52" s="441">
        <v>27</v>
      </c>
      <c r="J52" s="447">
        <v>130</v>
      </c>
      <c r="K52" s="423">
        <v>62</v>
      </c>
      <c r="L52" s="423">
        <v>92</v>
      </c>
      <c r="M52" s="424">
        <v>285</v>
      </c>
      <c r="N52" s="444">
        <v>117</v>
      </c>
      <c r="O52" s="441">
        <v>80</v>
      </c>
      <c r="P52" s="447">
        <v>41</v>
      </c>
      <c r="Q52" s="423">
        <v>154</v>
      </c>
      <c r="R52" s="423">
        <v>2</v>
      </c>
      <c r="S52" s="424">
        <v>197</v>
      </c>
      <c r="T52" s="450">
        <v>22</v>
      </c>
      <c r="U52" s="453">
        <v>504</v>
      </c>
      <c r="V52" s="444">
        <v>148</v>
      </c>
      <c r="W52" s="423">
        <v>89</v>
      </c>
      <c r="X52" s="423">
        <v>149</v>
      </c>
      <c r="Y52" s="423">
        <v>94</v>
      </c>
      <c r="Z52" s="423">
        <v>23</v>
      </c>
      <c r="AA52" s="441">
        <v>503</v>
      </c>
      <c r="AB52" s="447">
        <v>230</v>
      </c>
      <c r="AC52" s="423">
        <v>179</v>
      </c>
      <c r="AD52" s="423">
        <v>94</v>
      </c>
      <c r="AE52" s="424">
        <v>0</v>
      </c>
      <c r="AF52" s="456">
        <v>503</v>
      </c>
    </row>
    <row r="53" spans="3:34" ht="16.5" thickBot="1" x14ac:dyDescent="0.3">
      <c r="C53" s="183"/>
      <c r="D53" s="713" t="s">
        <v>172</v>
      </c>
      <c r="E53" s="714">
        <v>2.903225806451613</v>
      </c>
      <c r="F53" s="714">
        <v>2.935483870967742</v>
      </c>
      <c r="G53" s="714">
        <v>1.6774193548387097</v>
      </c>
      <c r="H53" s="714">
        <v>0.80645161290322576</v>
      </c>
      <c r="I53" s="715">
        <v>0.87096774193548387</v>
      </c>
      <c r="J53" s="716">
        <v>4.193548387096774</v>
      </c>
      <c r="K53" s="714">
        <v>2</v>
      </c>
      <c r="L53" s="714">
        <v>2.967741935483871</v>
      </c>
      <c r="M53" s="717">
        <v>9.193548387096774</v>
      </c>
      <c r="N53" s="718">
        <v>3.774193548387097</v>
      </c>
      <c r="O53" s="715">
        <v>2.5806451612903225</v>
      </c>
      <c r="P53" s="716">
        <v>1.3225806451612903</v>
      </c>
      <c r="Q53" s="714">
        <v>4.967741935483871</v>
      </c>
      <c r="R53" s="714">
        <v>6.4516129032258063E-2</v>
      </c>
      <c r="S53" s="717">
        <v>6.354838709677419</v>
      </c>
      <c r="T53" s="719">
        <v>0.70967741935483875</v>
      </c>
      <c r="U53" s="720">
        <v>16.258064516129032</v>
      </c>
      <c r="V53" s="718">
        <v>4.774193548387097</v>
      </c>
      <c r="W53" s="714">
        <v>2.870967741935484</v>
      </c>
      <c r="X53" s="714">
        <v>4.806451612903226</v>
      </c>
      <c r="Y53" s="714">
        <v>3.032258064516129</v>
      </c>
      <c r="Z53" s="714">
        <v>0.74193548387096775</v>
      </c>
      <c r="AA53" s="715">
        <v>16.225806451612904</v>
      </c>
      <c r="AB53" s="716">
        <v>7.419354838709677</v>
      </c>
      <c r="AC53" s="714">
        <v>5.774193548387097</v>
      </c>
      <c r="AD53" s="714">
        <v>3.032258064516129</v>
      </c>
      <c r="AE53" s="717">
        <v>0</v>
      </c>
      <c r="AF53" s="721">
        <v>16.225806451612904</v>
      </c>
    </row>
    <row r="54" spans="3:34" ht="15.75" x14ac:dyDescent="0.25">
      <c r="C54" s="183">
        <v>30</v>
      </c>
      <c r="D54" s="422" t="s">
        <v>175</v>
      </c>
      <c r="E54" s="423">
        <v>83</v>
      </c>
      <c r="F54" s="423">
        <v>80</v>
      </c>
      <c r="G54" s="423">
        <v>44</v>
      </c>
      <c r="H54" s="423">
        <v>36</v>
      </c>
      <c r="I54" s="441">
        <v>46</v>
      </c>
      <c r="J54" s="447">
        <v>120</v>
      </c>
      <c r="K54" s="423">
        <v>74</v>
      </c>
      <c r="L54" s="423">
        <v>95</v>
      </c>
      <c r="M54" s="424">
        <v>289</v>
      </c>
      <c r="N54" s="444">
        <v>129</v>
      </c>
      <c r="O54" s="441">
        <v>93</v>
      </c>
      <c r="P54" s="447">
        <v>59</v>
      </c>
      <c r="Q54" s="423">
        <v>160</v>
      </c>
      <c r="R54" s="423">
        <v>3</v>
      </c>
      <c r="S54" s="424">
        <v>222</v>
      </c>
      <c r="T54" s="450">
        <v>18</v>
      </c>
      <c r="U54" s="453">
        <v>529</v>
      </c>
      <c r="V54" s="444">
        <v>137</v>
      </c>
      <c r="W54" s="423">
        <v>99</v>
      </c>
      <c r="X54" s="423">
        <v>144</v>
      </c>
      <c r="Y54" s="423">
        <v>116</v>
      </c>
      <c r="Z54" s="423">
        <v>33</v>
      </c>
      <c r="AA54" s="441">
        <v>529</v>
      </c>
      <c r="AB54" s="447">
        <v>250</v>
      </c>
      <c r="AC54" s="423">
        <v>181</v>
      </c>
      <c r="AD54" s="423">
        <v>98</v>
      </c>
      <c r="AE54" s="424">
        <v>0</v>
      </c>
      <c r="AF54" s="456">
        <v>529</v>
      </c>
    </row>
    <row r="55" spans="3:34" ht="16.5" thickBot="1" x14ac:dyDescent="0.3">
      <c r="C55" s="183"/>
      <c r="D55" s="713" t="s">
        <v>176</v>
      </c>
      <c r="E55" s="714">
        <v>2.7666666666666666</v>
      </c>
      <c r="F55" s="714">
        <v>2.6666666666666665</v>
      </c>
      <c r="G55" s="714">
        <v>1.4666666666666666</v>
      </c>
      <c r="H55" s="714">
        <v>1.2</v>
      </c>
      <c r="I55" s="715">
        <v>1.5333333333333334</v>
      </c>
      <c r="J55" s="716">
        <v>4</v>
      </c>
      <c r="K55" s="714">
        <v>2.4666666666666668</v>
      </c>
      <c r="L55" s="714">
        <v>3.1666666666666665</v>
      </c>
      <c r="M55" s="717">
        <v>9.6333333333333329</v>
      </c>
      <c r="N55" s="718">
        <v>4.3</v>
      </c>
      <c r="O55" s="715">
        <v>3.1</v>
      </c>
      <c r="P55" s="716">
        <v>1.9666666666666666</v>
      </c>
      <c r="Q55" s="714">
        <v>5.333333333333333</v>
      </c>
      <c r="R55" s="714">
        <v>0.1</v>
      </c>
      <c r="S55" s="717">
        <v>7.4</v>
      </c>
      <c r="T55" s="719">
        <v>0.6</v>
      </c>
      <c r="U55" s="720">
        <v>17.633333333333333</v>
      </c>
      <c r="V55" s="718">
        <v>4.5666666666666664</v>
      </c>
      <c r="W55" s="714">
        <v>3.3</v>
      </c>
      <c r="X55" s="714">
        <v>4.8</v>
      </c>
      <c r="Y55" s="714">
        <v>3.8666666666666667</v>
      </c>
      <c r="Z55" s="714">
        <v>1.1000000000000001</v>
      </c>
      <c r="AA55" s="715">
        <v>17.633333333333333</v>
      </c>
      <c r="AB55" s="716">
        <v>8.3333333333333339</v>
      </c>
      <c r="AC55" s="714">
        <v>6.0333333333333332</v>
      </c>
      <c r="AD55" s="714">
        <v>3.2666666666666666</v>
      </c>
      <c r="AE55" s="717">
        <v>0</v>
      </c>
      <c r="AF55" s="721">
        <v>17.633333333333333</v>
      </c>
    </row>
    <row r="56" spans="3:34" ht="15.75" x14ac:dyDescent="0.25">
      <c r="C56" s="183">
        <v>31</v>
      </c>
      <c r="D56" s="422" t="s">
        <v>177</v>
      </c>
      <c r="E56" s="423">
        <v>63</v>
      </c>
      <c r="F56" s="423">
        <v>62</v>
      </c>
      <c r="G56" s="423">
        <v>60</v>
      </c>
      <c r="H56" s="423">
        <v>38</v>
      </c>
      <c r="I56" s="441">
        <v>54</v>
      </c>
      <c r="J56" s="447">
        <v>151</v>
      </c>
      <c r="K56" s="423">
        <v>47</v>
      </c>
      <c r="L56" s="423">
        <v>79</v>
      </c>
      <c r="M56" s="424">
        <v>277</v>
      </c>
      <c r="N56" s="444">
        <v>164</v>
      </c>
      <c r="O56" s="441">
        <v>50</v>
      </c>
      <c r="P56" s="447">
        <v>57</v>
      </c>
      <c r="Q56" s="423">
        <v>132</v>
      </c>
      <c r="R56" s="423">
        <v>25</v>
      </c>
      <c r="S56" s="424">
        <v>214</v>
      </c>
      <c r="T56" s="450">
        <v>16</v>
      </c>
      <c r="U56" s="453">
        <v>507</v>
      </c>
      <c r="V56" s="444">
        <v>128</v>
      </c>
      <c r="W56" s="423">
        <v>89</v>
      </c>
      <c r="X56" s="423">
        <v>155</v>
      </c>
      <c r="Y56" s="423">
        <v>111</v>
      </c>
      <c r="Z56" s="423">
        <v>24</v>
      </c>
      <c r="AA56" s="441">
        <v>507</v>
      </c>
      <c r="AB56" s="447">
        <v>189</v>
      </c>
      <c r="AC56" s="423">
        <v>209</v>
      </c>
      <c r="AD56" s="423">
        <v>109</v>
      </c>
      <c r="AE56" s="424">
        <v>0</v>
      </c>
      <c r="AF56" s="456">
        <v>507</v>
      </c>
    </row>
    <row r="57" spans="3:34" ht="16.5" thickBot="1" x14ac:dyDescent="0.3">
      <c r="C57" s="183"/>
      <c r="D57" s="713" t="s">
        <v>178</v>
      </c>
      <c r="E57" s="714">
        <v>2.032258064516129</v>
      </c>
      <c r="F57" s="714">
        <v>2</v>
      </c>
      <c r="G57" s="714">
        <v>1.935483870967742</v>
      </c>
      <c r="H57" s="714">
        <v>1.2258064516129032</v>
      </c>
      <c r="I57" s="715">
        <v>1.7419354838709677</v>
      </c>
      <c r="J57" s="716">
        <v>4.870967741935484</v>
      </c>
      <c r="K57" s="714">
        <v>1.5161290322580645</v>
      </c>
      <c r="L57" s="714">
        <v>2.5483870967741935</v>
      </c>
      <c r="M57" s="717">
        <v>8.935483870967742</v>
      </c>
      <c r="N57" s="718">
        <v>5.290322580645161</v>
      </c>
      <c r="O57" s="715">
        <v>1.6129032258064515</v>
      </c>
      <c r="P57" s="716">
        <v>1.8387096774193548</v>
      </c>
      <c r="Q57" s="714">
        <v>4.258064516129032</v>
      </c>
      <c r="R57" s="714">
        <v>0.80645161290322576</v>
      </c>
      <c r="S57" s="717">
        <v>6.903225806451613</v>
      </c>
      <c r="T57" s="719">
        <v>0.5161290322580645</v>
      </c>
      <c r="U57" s="720">
        <v>16.35483870967742</v>
      </c>
      <c r="V57" s="718">
        <v>4.129032258064516</v>
      </c>
      <c r="W57" s="714">
        <v>2.870967741935484</v>
      </c>
      <c r="X57" s="714">
        <v>5</v>
      </c>
      <c r="Y57" s="714">
        <v>3.5806451612903225</v>
      </c>
      <c r="Z57" s="714">
        <v>0.77419354838709675</v>
      </c>
      <c r="AA57" s="715">
        <v>16.35483870967742</v>
      </c>
      <c r="AB57" s="716">
        <v>6.096774193548387</v>
      </c>
      <c r="AC57" s="714">
        <v>6.741935483870968</v>
      </c>
      <c r="AD57" s="714">
        <v>3.5161290322580645</v>
      </c>
      <c r="AE57" s="717">
        <v>0</v>
      </c>
      <c r="AF57" s="721">
        <v>16.35483870967742</v>
      </c>
    </row>
    <row r="58" spans="3:34" ht="15.75" x14ac:dyDescent="0.25">
      <c r="C58" s="183">
        <v>31</v>
      </c>
      <c r="D58" s="422" t="s">
        <v>179</v>
      </c>
      <c r="E58" s="423">
        <v>87</v>
      </c>
      <c r="F58" s="423">
        <v>94</v>
      </c>
      <c r="G58" s="423">
        <v>52</v>
      </c>
      <c r="H58" s="423">
        <v>47</v>
      </c>
      <c r="I58" s="441">
        <v>65</v>
      </c>
      <c r="J58" s="447">
        <v>150</v>
      </c>
      <c r="K58" s="423">
        <v>77</v>
      </c>
      <c r="L58" s="423">
        <v>118</v>
      </c>
      <c r="M58" s="424">
        <v>345</v>
      </c>
      <c r="N58" s="444">
        <v>130</v>
      </c>
      <c r="O58" s="441">
        <v>95</v>
      </c>
      <c r="P58" s="447">
        <v>75</v>
      </c>
      <c r="Q58" s="423">
        <v>149</v>
      </c>
      <c r="R58" s="423">
        <v>1</v>
      </c>
      <c r="S58" s="424">
        <v>225</v>
      </c>
      <c r="T58" s="450">
        <v>17</v>
      </c>
      <c r="U58" s="453">
        <v>587</v>
      </c>
      <c r="V58" s="444">
        <v>148</v>
      </c>
      <c r="W58" s="423">
        <v>101</v>
      </c>
      <c r="X58" s="423">
        <v>167</v>
      </c>
      <c r="Y58" s="423">
        <v>137</v>
      </c>
      <c r="Z58" s="423">
        <v>34</v>
      </c>
      <c r="AA58" s="441">
        <v>587</v>
      </c>
      <c r="AB58" s="447">
        <v>239</v>
      </c>
      <c r="AC58" s="423">
        <v>227</v>
      </c>
      <c r="AD58" s="423">
        <v>121</v>
      </c>
      <c r="AE58" s="424">
        <v>0</v>
      </c>
      <c r="AF58" s="456">
        <v>587</v>
      </c>
    </row>
    <row r="59" spans="3:34" ht="16.5" thickBot="1" x14ac:dyDescent="0.3">
      <c r="C59" s="183"/>
      <c r="D59" s="713" t="s">
        <v>180</v>
      </c>
      <c r="E59" s="714">
        <v>2.806451612903226</v>
      </c>
      <c r="F59" s="714">
        <v>3.032258064516129</v>
      </c>
      <c r="G59" s="714">
        <v>1.6774193548387097</v>
      </c>
      <c r="H59" s="714">
        <v>1.5161290322580645</v>
      </c>
      <c r="I59" s="715">
        <v>2.096774193548387</v>
      </c>
      <c r="J59" s="716">
        <v>4.838709677419355</v>
      </c>
      <c r="K59" s="714">
        <v>2.4838709677419355</v>
      </c>
      <c r="L59" s="714">
        <v>3.806451612903226</v>
      </c>
      <c r="M59" s="717">
        <v>11.129032258064516</v>
      </c>
      <c r="N59" s="718">
        <v>4.193548387096774</v>
      </c>
      <c r="O59" s="715">
        <v>3.064516129032258</v>
      </c>
      <c r="P59" s="716">
        <v>2.4193548387096775</v>
      </c>
      <c r="Q59" s="714">
        <v>4.806451612903226</v>
      </c>
      <c r="R59" s="714">
        <v>3.2258064516129031E-2</v>
      </c>
      <c r="S59" s="717">
        <v>7.258064516129032</v>
      </c>
      <c r="T59" s="719">
        <v>0.54838709677419351</v>
      </c>
      <c r="U59" s="720">
        <v>18.93548387096774</v>
      </c>
      <c r="V59" s="718">
        <v>4.774193548387097</v>
      </c>
      <c r="W59" s="714">
        <v>3.2580645161290325</v>
      </c>
      <c r="X59" s="714">
        <v>5.387096774193548</v>
      </c>
      <c r="Y59" s="714">
        <v>4.419354838709677</v>
      </c>
      <c r="Z59" s="714">
        <v>1.096774193548387</v>
      </c>
      <c r="AA59" s="715">
        <v>18.93548387096774</v>
      </c>
      <c r="AB59" s="716">
        <v>7.709677419354839</v>
      </c>
      <c r="AC59" s="714">
        <v>7.32258064516129</v>
      </c>
      <c r="AD59" s="714">
        <v>3.903225806451613</v>
      </c>
      <c r="AE59" s="717">
        <v>0</v>
      </c>
      <c r="AF59" s="721">
        <v>18.93548387096774</v>
      </c>
    </row>
    <row r="60" spans="3:34" ht="15.75" x14ac:dyDescent="0.25">
      <c r="C60" s="183">
        <v>29</v>
      </c>
      <c r="D60" s="422" t="s">
        <v>207</v>
      </c>
      <c r="E60" s="423">
        <v>92</v>
      </c>
      <c r="F60" s="423">
        <v>87</v>
      </c>
      <c r="G60" s="423">
        <v>61</v>
      </c>
      <c r="H60" s="423">
        <v>40</v>
      </c>
      <c r="I60" s="441">
        <v>64</v>
      </c>
      <c r="J60" s="447">
        <v>147</v>
      </c>
      <c r="K60" s="423">
        <v>89</v>
      </c>
      <c r="L60" s="423">
        <v>108</v>
      </c>
      <c r="M60" s="424">
        <v>344</v>
      </c>
      <c r="N60" s="444">
        <v>120</v>
      </c>
      <c r="O60" s="441">
        <v>93</v>
      </c>
      <c r="P60" s="447">
        <v>60</v>
      </c>
      <c r="Q60" s="423">
        <v>146</v>
      </c>
      <c r="R60" s="423">
        <v>7</v>
      </c>
      <c r="S60" s="424">
        <v>213</v>
      </c>
      <c r="T60" s="450">
        <v>19</v>
      </c>
      <c r="U60" s="453">
        <v>576</v>
      </c>
      <c r="V60" s="444">
        <v>147</v>
      </c>
      <c r="W60" s="423">
        <v>94</v>
      </c>
      <c r="X60" s="423">
        <v>175</v>
      </c>
      <c r="Y60" s="423">
        <v>117</v>
      </c>
      <c r="Z60" s="423">
        <v>43</v>
      </c>
      <c r="AA60" s="441">
        <v>576</v>
      </c>
      <c r="AB60" s="447">
        <v>253</v>
      </c>
      <c r="AC60" s="423">
        <v>208</v>
      </c>
      <c r="AD60" s="423">
        <v>115</v>
      </c>
      <c r="AE60" s="424">
        <v>0</v>
      </c>
      <c r="AF60" s="456">
        <v>576</v>
      </c>
    </row>
    <row r="61" spans="3:34" ht="16.5" thickBot="1" x14ac:dyDescent="0.3">
      <c r="C61" s="183"/>
      <c r="D61" s="722" t="s">
        <v>208</v>
      </c>
      <c r="E61" s="723">
        <v>3.1724137931034484</v>
      </c>
      <c r="F61" s="723">
        <v>3</v>
      </c>
      <c r="G61" s="723">
        <v>2.103448275862069</v>
      </c>
      <c r="H61" s="723">
        <v>1.3793103448275863</v>
      </c>
      <c r="I61" s="724">
        <v>2.2068965517241379</v>
      </c>
      <c r="J61" s="725">
        <v>5.068965517241379</v>
      </c>
      <c r="K61" s="723">
        <v>3.0689655172413794</v>
      </c>
      <c r="L61" s="723">
        <v>3.7241379310344827</v>
      </c>
      <c r="M61" s="726">
        <v>11.862068965517242</v>
      </c>
      <c r="N61" s="727">
        <v>4.1379310344827589</v>
      </c>
      <c r="O61" s="724">
        <v>3.2068965517241379</v>
      </c>
      <c r="P61" s="725">
        <v>2.0689655172413794</v>
      </c>
      <c r="Q61" s="723">
        <v>5.0344827586206895</v>
      </c>
      <c r="R61" s="723">
        <v>0.2413793103448276</v>
      </c>
      <c r="S61" s="726">
        <v>7.3448275862068968</v>
      </c>
      <c r="T61" s="728">
        <v>0.65517241379310343</v>
      </c>
      <c r="U61" s="729">
        <v>19.862068965517242</v>
      </c>
      <c r="V61" s="727">
        <v>5.068965517241379</v>
      </c>
      <c r="W61" s="723">
        <v>3.2413793103448274</v>
      </c>
      <c r="X61" s="723">
        <v>6.0344827586206895</v>
      </c>
      <c r="Y61" s="723">
        <v>4.0344827586206895</v>
      </c>
      <c r="Z61" s="723">
        <v>1.4827586206896552</v>
      </c>
      <c r="AA61" s="724">
        <v>19.862068965517242</v>
      </c>
      <c r="AB61" s="725">
        <v>8.7241379310344822</v>
      </c>
      <c r="AC61" s="723">
        <v>7.1724137931034484</v>
      </c>
      <c r="AD61" s="723">
        <v>3.9655172413793105</v>
      </c>
      <c r="AE61" s="726">
        <v>0</v>
      </c>
      <c r="AF61" s="730">
        <v>19.862068965517242</v>
      </c>
    </row>
    <row r="62" spans="3:34" ht="15.75" x14ac:dyDescent="0.25">
      <c r="C62" s="183">
        <v>31</v>
      </c>
      <c r="D62" s="422" t="s">
        <v>209</v>
      </c>
      <c r="E62" s="423">
        <v>92</v>
      </c>
      <c r="F62" s="423">
        <v>97</v>
      </c>
      <c r="G62" s="423">
        <v>58</v>
      </c>
      <c r="H62" s="423">
        <v>13</v>
      </c>
      <c r="I62" s="441">
        <v>68</v>
      </c>
      <c r="J62" s="447">
        <v>147</v>
      </c>
      <c r="K62" s="423">
        <v>65</v>
      </c>
      <c r="L62" s="423">
        <v>116</v>
      </c>
      <c r="M62" s="424">
        <v>328</v>
      </c>
      <c r="N62" s="444">
        <v>107</v>
      </c>
      <c r="O62" s="441">
        <v>107</v>
      </c>
      <c r="P62" s="447">
        <v>59</v>
      </c>
      <c r="Q62" s="423">
        <v>148</v>
      </c>
      <c r="R62" s="423">
        <v>7</v>
      </c>
      <c r="S62" s="424">
        <v>214</v>
      </c>
      <c r="T62" s="450">
        <v>13</v>
      </c>
      <c r="U62" s="453">
        <v>555</v>
      </c>
      <c r="V62" s="444">
        <v>152</v>
      </c>
      <c r="W62" s="423">
        <v>78</v>
      </c>
      <c r="X62" s="423">
        <v>161</v>
      </c>
      <c r="Y62" s="423">
        <v>128</v>
      </c>
      <c r="Z62" s="423">
        <v>28</v>
      </c>
      <c r="AA62" s="441">
        <v>547</v>
      </c>
      <c r="AB62" s="447">
        <v>223</v>
      </c>
      <c r="AC62" s="423">
        <v>207</v>
      </c>
      <c r="AD62" s="423">
        <v>125</v>
      </c>
      <c r="AE62" s="424">
        <v>0</v>
      </c>
      <c r="AF62" s="456">
        <v>555</v>
      </c>
    </row>
    <row r="63" spans="3:34" ht="16.5" thickBot="1" x14ac:dyDescent="0.3">
      <c r="C63" s="183"/>
      <c r="D63" s="713" t="s">
        <v>210</v>
      </c>
      <c r="E63" s="731">
        <v>2.967741935483871</v>
      </c>
      <c r="F63" s="731">
        <v>3.129032258064516</v>
      </c>
      <c r="G63" s="731">
        <v>1.8709677419354838</v>
      </c>
      <c r="H63" s="731">
        <v>0.41935483870967744</v>
      </c>
      <c r="I63" s="732">
        <v>2.193548387096774</v>
      </c>
      <c r="J63" s="733">
        <v>4.741935483870968</v>
      </c>
      <c r="K63" s="731">
        <v>2.096774193548387</v>
      </c>
      <c r="L63" s="731">
        <v>3.7419354838709675</v>
      </c>
      <c r="M63" s="734">
        <v>10.580645161290322</v>
      </c>
      <c r="N63" s="735">
        <v>3.4516129032258065</v>
      </c>
      <c r="O63" s="732">
        <v>3.4516129032258065</v>
      </c>
      <c r="P63" s="733">
        <v>1.903225806451613</v>
      </c>
      <c r="Q63" s="731">
        <v>4.774193548387097</v>
      </c>
      <c r="R63" s="731">
        <v>0.22580645161290322</v>
      </c>
      <c r="S63" s="734">
        <v>6.903225806451613</v>
      </c>
      <c r="T63" s="736">
        <v>0.41935483870967744</v>
      </c>
      <c r="U63" s="737">
        <v>17.903225806451612</v>
      </c>
      <c r="V63" s="735">
        <v>4.903225806451613</v>
      </c>
      <c r="W63" s="731">
        <v>2.5161290322580645</v>
      </c>
      <c r="X63" s="731">
        <v>5.193548387096774</v>
      </c>
      <c r="Y63" s="731">
        <v>4.129032258064516</v>
      </c>
      <c r="Z63" s="731">
        <v>0.90322580645161288</v>
      </c>
      <c r="AA63" s="732">
        <v>17.64516129032258</v>
      </c>
      <c r="AB63" s="733">
        <v>7.193548387096774</v>
      </c>
      <c r="AC63" s="731">
        <v>6.67741935483871</v>
      </c>
      <c r="AD63" s="731">
        <v>4.032258064516129</v>
      </c>
      <c r="AE63" s="734">
        <v>0</v>
      </c>
      <c r="AF63" s="738">
        <v>17.903225806451612</v>
      </c>
    </row>
    <row r="64" spans="3:34" ht="18.75" x14ac:dyDescent="0.3">
      <c r="C64" s="183">
        <f>SUM(C40:C63)</f>
        <v>366</v>
      </c>
      <c r="D64" s="644" t="s">
        <v>174</v>
      </c>
      <c r="E64" s="645">
        <f>E48+E46+E44+E42+E40+E50+E52+E54+E56+E58+E60+E62</f>
        <v>1090</v>
      </c>
      <c r="F64" s="645">
        <f t="shared" ref="F64:AE64" si="2">F48+F46+F44+F42+F40+F50+F52+F54+F56+F58+F60+F62</f>
        <v>1071</v>
      </c>
      <c r="G64" s="645">
        <f t="shared" si="2"/>
        <v>549</v>
      </c>
      <c r="H64" s="645">
        <f t="shared" si="2"/>
        <v>294</v>
      </c>
      <c r="I64" s="646">
        <f t="shared" si="2"/>
        <v>497</v>
      </c>
      <c r="J64" s="647">
        <f t="shared" si="2"/>
        <v>1598</v>
      </c>
      <c r="K64" s="645">
        <f t="shared" si="2"/>
        <v>667</v>
      </c>
      <c r="L64" s="645">
        <f t="shared" si="2"/>
        <v>1223</v>
      </c>
      <c r="M64" s="648">
        <f t="shared" si="2"/>
        <v>3501</v>
      </c>
      <c r="N64" s="649">
        <f t="shared" si="2"/>
        <v>1578</v>
      </c>
      <c r="O64" s="646">
        <f t="shared" si="2"/>
        <v>1052</v>
      </c>
      <c r="P64" s="647">
        <f t="shared" si="2"/>
        <v>728</v>
      </c>
      <c r="Q64" s="645">
        <f t="shared" si="2"/>
        <v>1755</v>
      </c>
      <c r="R64" s="645">
        <f t="shared" si="2"/>
        <v>99</v>
      </c>
      <c r="S64" s="648">
        <f t="shared" si="2"/>
        <v>2630</v>
      </c>
      <c r="T64" s="650">
        <f t="shared" si="2"/>
        <v>196</v>
      </c>
      <c r="U64" s="651">
        <f t="shared" si="2"/>
        <v>6327</v>
      </c>
      <c r="V64" s="649">
        <f t="shared" si="2"/>
        <v>1814</v>
      </c>
      <c r="W64" s="645">
        <f t="shared" si="2"/>
        <v>1096</v>
      </c>
      <c r="X64" s="645">
        <f t="shared" si="2"/>
        <v>1805</v>
      </c>
      <c r="Y64" s="645">
        <f t="shared" si="2"/>
        <v>1308</v>
      </c>
      <c r="Z64" s="645">
        <f t="shared" si="2"/>
        <v>295</v>
      </c>
      <c r="AA64" s="646">
        <f t="shared" si="2"/>
        <v>6318</v>
      </c>
      <c r="AB64" s="647">
        <f t="shared" si="2"/>
        <v>2565</v>
      </c>
      <c r="AC64" s="645">
        <f t="shared" si="2"/>
        <v>2369</v>
      </c>
      <c r="AD64" s="645">
        <f t="shared" si="2"/>
        <v>1331</v>
      </c>
      <c r="AE64" s="648">
        <f t="shared" si="2"/>
        <v>61</v>
      </c>
      <c r="AF64" s="652">
        <f>AF48+AF46+AF44+AF42+AF40+AF50+AF52+AF54+AF56+AF58+AF60+AF62</f>
        <v>6326</v>
      </c>
      <c r="AH64" s="179">
        <f>+AF64-AF62-AF60-AF58+AF28+AF26+AF24</f>
        <v>6128</v>
      </c>
    </row>
    <row r="65" spans="3:33" ht="19.5" thickBot="1" x14ac:dyDescent="0.3">
      <c r="D65" s="184" t="s">
        <v>173</v>
      </c>
      <c r="E65" s="185">
        <f>+E64/$C64</f>
        <v>2.9781420765027322</v>
      </c>
      <c r="F65" s="185">
        <f t="shared" ref="F65:AF65" si="3">+F64/$C64</f>
        <v>2.9262295081967213</v>
      </c>
      <c r="G65" s="185">
        <f t="shared" si="3"/>
        <v>1.5</v>
      </c>
      <c r="H65" s="185">
        <f t="shared" si="3"/>
        <v>0.80327868852459017</v>
      </c>
      <c r="I65" s="443">
        <f t="shared" si="3"/>
        <v>1.3579234972677596</v>
      </c>
      <c r="J65" s="449">
        <f t="shared" si="3"/>
        <v>4.3661202185792352</v>
      </c>
      <c r="K65" s="185">
        <f t="shared" si="3"/>
        <v>1.8224043715846994</v>
      </c>
      <c r="L65" s="185">
        <f t="shared" si="3"/>
        <v>3.3415300546448088</v>
      </c>
      <c r="M65" s="186">
        <f t="shared" si="3"/>
        <v>9.5655737704918025</v>
      </c>
      <c r="N65" s="446">
        <f t="shared" si="3"/>
        <v>4.3114754098360653</v>
      </c>
      <c r="O65" s="443">
        <f t="shared" si="3"/>
        <v>2.8743169398907105</v>
      </c>
      <c r="P65" s="449">
        <f t="shared" si="3"/>
        <v>1.9890710382513661</v>
      </c>
      <c r="Q65" s="185">
        <f t="shared" si="3"/>
        <v>4.7950819672131146</v>
      </c>
      <c r="R65" s="185">
        <f t="shared" si="3"/>
        <v>0.27049180327868855</v>
      </c>
      <c r="S65" s="186">
        <f t="shared" si="3"/>
        <v>7.1857923497267757</v>
      </c>
      <c r="T65" s="452">
        <f t="shared" si="3"/>
        <v>0.53551912568306015</v>
      </c>
      <c r="U65" s="455">
        <f t="shared" si="3"/>
        <v>17.28688524590164</v>
      </c>
      <c r="V65" s="446">
        <f t="shared" si="3"/>
        <v>4.9562841530054644</v>
      </c>
      <c r="W65" s="185">
        <f t="shared" si="3"/>
        <v>2.9945355191256833</v>
      </c>
      <c r="X65" s="185">
        <f t="shared" si="3"/>
        <v>4.9316939890710385</v>
      </c>
      <c r="Y65" s="185">
        <f t="shared" si="3"/>
        <v>3.5737704918032787</v>
      </c>
      <c r="Z65" s="185">
        <f t="shared" si="3"/>
        <v>0.80601092896174864</v>
      </c>
      <c r="AA65" s="443">
        <f t="shared" si="3"/>
        <v>17.262295081967213</v>
      </c>
      <c r="AB65" s="449">
        <f t="shared" si="3"/>
        <v>7.0081967213114753</v>
      </c>
      <c r="AC65" s="185">
        <f t="shared" si="3"/>
        <v>6.472677595628415</v>
      </c>
      <c r="AD65" s="185">
        <f t="shared" si="3"/>
        <v>3.6366120218579234</v>
      </c>
      <c r="AE65" s="186">
        <f t="shared" si="3"/>
        <v>0.16666666666666666</v>
      </c>
      <c r="AF65" s="458">
        <f t="shared" si="3"/>
        <v>17.284153005464482</v>
      </c>
    </row>
    <row r="67" spans="3:33" ht="15.75" thickBot="1" x14ac:dyDescent="0.3"/>
    <row r="68" spans="3:33" ht="16.5" thickBot="1" x14ac:dyDescent="0.3">
      <c r="C68" s="188"/>
      <c r="D68" s="695"/>
      <c r="E68" s="695"/>
      <c r="F68" s="695"/>
      <c r="G68" s="695"/>
      <c r="H68" s="695"/>
      <c r="I68" s="695"/>
      <c r="J68" s="783" t="s">
        <v>39</v>
      </c>
      <c r="K68" s="784"/>
      <c r="L68" s="784"/>
      <c r="M68" s="785"/>
      <c r="N68" s="695"/>
      <c r="O68" s="695"/>
      <c r="P68" s="786" t="s">
        <v>40</v>
      </c>
      <c r="Q68" s="787"/>
      <c r="R68" s="787"/>
      <c r="S68" s="788"/>
      <c r="T68" s="695"/>
      <c r="U68" s="695"/>
      <c r="V68" s="695"/>
      <c r="W68" s="695"/>
      <c r="X68" s="695"/>
      <c r="Y68" s="695"/>
      <c r="Z68" s="695"/>
      <c r="AA68" s="695"/>
      <c r="AB68" s="695"/>
      <c r="AC68" s="695"/>
      <c r="AD68" s="695"/>
      <c r="AE68" s="695"/>
      <c r="AF68" s="695"/>
      <c r="AG68" s="696"/>
    </row>
    <row r="69" spans="3:33" ht="32.25" thickBot="1" x14ac:dyDescent="0.3">
      <c r="C69" s="188"/>
      <c r="D69" s="697" t="s">
        <v>41</v>
      </c>
      <c r="E69" s="698" t="s">
        <v>42</v>
      </c>
      <c r="F69" s="699" t="s">
        <v>26</v>
      </c>
      <c r="G69" s="699" t="s">
        <v>29</v>
      </c>
      <c r="H69" s="699" t="s">
        <v>30</v>
      </c>
      <c r="I69" s="700" t="s">
        <v>31</v>
      </c>
      <c r="J69" s="701" t="s">
        <v>43</v>
      </c>
      <c r="K69" s="702" t="s">
        <v>44</v>
      </c>
      <c r="L69" s="702" t="s">
        <v>45</v>
      </c>
      <c r="M69" s="703" t="s">
        <v>46</v>
      </c>
      <c r="N69" s="704" t="s">
        <v>27</v>
      </c>
      <c r="O69" s="700" t="s">
        <v>28</v>
      </c>
      <c r="P69" s="705" t="s">
        <v>43</v>
      </c>
      <c r="Q69" s="706" t="s">
        <v>44</v>
      </c>
      <c r="R69" s="706" t="s">
        <v>45</v>
      </c>
      <c r="S69" s="707" t="s">
        <v>46</v>
      </c>
      <c r="T69" s="708" t="s">
        <v>32</v>
      </c>
      <c r="U69" s="709" t="s">
        <v>46</v>
      </c>
      <c r="V69" s="704" t="s">
        <v>1</v>
      </c>
      <c r="W69" s="699" t="s">
        <v>2</v>
      </c>
      <c r="X69" s="699" t="s">
        <v>3</v>
      </c>
      <c r="Y69" s="699" t="s">
        <v>47</v>
      </c>
      <c r="Z69" s="700" t="s">
        <v>48</v>
      </c>
      <c r="AA69" s="700" t="s">
        <v>182</v>
      </c>
      <c r="AB69" s="710" t="s">
        <v>46</v>
      </c>
      <c r="AC69" s="698" t="s">
        <v>49</v>
      </c>
      <c r="AD69" s="699" t="s">
        <v>50</v>
      </c>
      <c r="AE69" s="699" t="s">
        <v>51</v>
      </c>
      <c r="AF69" s="711" t="s">
        <v>52</v>
      </c>
      <c r="AG69" s="712" t="s">
        <v>46</v>
      </c>
    </row>
    <row r="70" spans="3:33" ht="18.75" x14ac:dyDescent="0.3">
      <c r="C70" s="183">
        <v>30</v>
      </c>
      <c r="D70" s="677" t="s">
        <v>217</v>
      </c>
      <c r="E70" s="678">
        <v>47</v>
      </c>
      <c r="F70" s="678">
        <v>38</v>
      </c>
      <c r="G70" s="678">
        <v>29</v>
      </c>
      <c r="H70" s="678">
        <v>19</v>
      </c>
      <c r="I70" s="679">
        <v>94</v>
      </c>
      <c r="J70" s="680">
        <v>119</v>
      </c>
      <c r="K70" s="678">
        <v>23</v>
      </c>
      <c r="L70" s="678">
        <v>85</v>
      </c>
      <c r="M70" s="681">
        <v>227</v>
      </c>
      <c r="N70" s="682">
        <v>80</v>
      </c>
      <c r="O70" s="679">
        <v>61</v>
      </c>
      <c r="P70" s="680">
        <v>42</v>
      </c>
      <c r="Q70" s="678">
        <v>95</v>
      </c>
      <c r="R70" s="678">
        <v>4</v>
      </c>
      <c r="S70" s="681">
        <v>141</v>
      </c>
      <c r="T70" s="683">
        <v>11</v>
      </c>
      <c r="U70" s="684">
        <v>379</v>
      </c>
      <c r="V70" s="682">
        <v>97</v>
      </c>
      <c r="W70" s="678">
        <v>54</v>
      </c>
      <c r="X70" s="678">
        <v>127</v>
      </c>
      <c r="Y70" s="678">
        <v>73</v>
      </c>
      <c r="Z70" s="678">
        <v>15</v>
      </c>
      <c r="AA70" s="678">
        <v>13</v>
      </c>
      <c r="AB70" s="679">
        <v>379</v>
      </c>
      <c r="AC70" s="680">
        <v>126</v>
      </c>
      <c r="AD70" s="678">
        <v>162</v>
      </c>
      <c r="AE70" s="678">
        <v>91</v>
      </c>
      <c r="AF70" s="681">
        <v>0</v>
      </c>
      <c r="AG70" s="685">
        <v>379</v>
      </c>
    </row>
    <row r="71" spans="3:33" ht="19.5" thickBot="1" x14ac:dyDescent="0.3">
      <c r="C71" s="183"/>
      <c r="D71" s="686" t="s">
        <v>218</v>
      </c>
      <c r="E71" s="687">
        <v>1.5666666666666667</v>
      </c>
      <c r="F71" s="687">
        <v>1.2666666666666666</v>
      </c>
      <c r="G71" s="687">
        <v>0.96666666666666667</v>
      </c>
      <c r="H71" s="687">
        <v>0.6333333333333333</v>
      </c>
      <c r="I71" s="688">
        <v>3.1333333333333333</v>
      </c>
      <c r="J71" s="689">
        <v>3.9666666666666668</v>
      </c>
      <c r="K71" s="687">
        <v>0.76666666666666672</v>
      </c>
      <c r="L71" s="687">
        <v>2.8333333333333335</v>
      </c>
      <c r="M71" s="690">
        <v>7.5666666666666664</v>
      </c>
      <c r="N71" s="691">
        <v>2.6666666666666665</v>
      </c>
      <c r="O71" s="688">
        <v>2.0333333333333332</v>
      </c>
      <c r="P71" s="689">
        <v>1.4</v>
      </c>
      <c r="Q71" s="687">
        <v>3.1666666666666665</v>
      </c>
      <c r="R71" s="687">
        <v>0.13333333333333333</v>
      </c>
      <c r="S71" s="690">
        <v>4.7</v>
      </c>
      <c r="T71" s="692">
        <v>0.36666666666666664</v>
      </c>
      <c r="U71" s="693">
        <v>12.633333333333333</v>
      </c>
      <c r="V71" s="691">
        <v>3.2333333333333334</v>
      </c>
      <c r="W71" s="687">
        <v>1.8</v>
      </c>
      <c r="X71" s="687">
        <v>4.2333333333333334</v>
      </c>
      <c r="Y71" s="687">
        <v>2.4333333333333331</v>
      </c>
      <c r="Z71" s="687">
        <v>0.5</v>
      </c>
      <c r="AA71" s="687">
        <v>0.43333333333333335</v>
      </c>
      <c r="AB71" s="688">
        <v>12.633333333333333</v>
      </c>
      <c r="AC71" s="689">
        <v>4.2</v>
      </c>
      <c r="AD71" s="687">
        <v>5.4</v>
      </c>
      <c r="AE71" s="687">
        <v>3.0333333333333332</v>
      </c>
      <c r="AF71" s="690">
        <v>0</v>
      </c>
      <c r="AG71" s="694">
        <v>12.633333333333333</v>
      </c>
    </row>
    <row r="72" spans="3:33" ht="18.75" x14ac:dyDescent="0.3">
      <c r="C72" s="183">
        <v>31</v>
      </c>
      <c r="D72" s="677" t="s">
        <v>219</v>
      </c>
      <c r="E72" s="678">
        <v>41</v>
      </c>
      <c r="F72" s="678">
        <v>21</v>
      </c>
      <c r="G72" s="678">
        <v>17</v>
      </c>
      <c r="H72" s="678">
        <v>18</v>
      </c>
      <c r="I72" s="679">
        <v>51</v>
      </c>
      <c r="J72" s="680">
        <v>78</v>
      </c>
      <c r="K72" s="678">
        <v>13</v>
      </c>
      <c r="L72" s="678">
        <v>57</v>
      </c>
      <c r="M72" s="681">
        <v>148</v>
      </c>
      <c r="N72" s="682">
        <v>87</v>
      </c>
      <c r="O72" s="679">
        <v>13</v>
      </c>
      <c r="P72" s="680">
        <v>38</v>
      </c>
      <c r="Q72" s="678">
        <v>62</v>
      </c>
      <c r="R72" s="678">
        <v>0</v>
      </c>
      <c r="S72" s="681">
        <v>100</v>
      </c>
      <c r="T72" s="683">
        <v>5</v>
      </c>
      <c r="U72" s="684">
        <v>253</v>
      </c>
      <c r="V72" s="682">
        <v>63</v>
      </c>
      <c r="W72" s="678">
        <v>39</v>
      </c>
      <c r="X72" s="678">
        <v>77</v>
      </c>
      <c r="Y72" s="678">
        <v>68</v>
      </c>
      <c r="Z72" s="678">
        <v>6</v>
      </c>
      <c r="AA72" s="678">
        <v>0</v>
      </c>
      <c r="AB72" s="679">
        <v>253</v>
      </c>
      <c r="AC72" s="680">
        <v>79</v>
      </c>
      <c r="AD72" s="678">
        <v>116</v>
      </c>
      <c r="AE72" s="678">
        <v>58</v>
      </c>
      <c r="AF72" s="681">
        <v>0</v>
      </c>
      <c r="AG72" s="685">
        <v>253</v>
      </c>
    </row>
    <row r="73" spans="3:33" ht="19.5" thickBot="1" x14ac:dyDescent="0.3">
      <c r="C73" s="183"/>
      <c r="D73" s="686" t="s">
        <v>220</v>
      </c>
      <c r="E73" s="687">
        <v>1.3225806451612903</v>
      </c>
      <c r="F73" s="687">
        <v>0.67741935483870963</v>
      </c>
      <c r="G73" s="687">
        <v>0.54838709677419351</v>
      </c>
      <c r="H73" s="687">
        <v>0.58064516129032262</v>
      </c>
      <c r="I73" s="688">
        <v>1.6451612903225807</v>
      </c>
      <c r="J73" s="689">
        <v>2.5161290322580645</v>
      </c>
      <c r="K73" s="687">
        <v>0.41935483870967744</v>
      </c>
      <c r="L73" s="687">
        <v>1.8387096774193548</v>
      </c>
      <c r="M73" s="690">
        <v>4.774193548387097</v>
      </c>
      <c r="N73" s="691">
        <v>2.806451612903226</v>
      </c>
      <c r="O73" s="688">
        <v>0.41935483870967744</v>
      </c>
      <c r="P73" s="689">
        <v>1.2258064516129032</v>
      </c>
      <c r="Q73" s="687">
        <v>2</v>
      </c>
      <c r="R73" s="687">
        <v>0</v>
      </c>
      <c r="S73" s="690">
        <v>3.225806451612903</v>
      </c>
      <c r="T73" s="692">
        <v>0.16129032258064516</v>
      </c>
      <c r="U73" s="693">
        <v>8.1612903225806459</v>
      </c>
      <c r="V73" s="691">
        <v>2.032258064516129</v>
      </c>
      <c r="W73" s="687">
        <v>1.2580645161290323</v>
      </c>
      <c r="X73" s="687">
        <v>2.4838709677419355</v>
      </c>
      <c r="Y73" s="687">
        <v>2.193548387096774</v>
      </c>
      <c r="Z73" s="687">
        <v>0.19354838709677419</v>
      </c>
      <c r="AA73" s="687">
        <v>0</v>
      </c>
      <c r="AB73" s="688">
        <v>8.1612903225806459</v>
      </c>
      <c r="AC73" s="689">
        <v>2.5483870967741935</v>
      </c>
      <c r="AD73" s="687">
        <v>3.7419354838709675</v>
      </c>
      <c r="AE73" s="687">
        <v>1.8709677419354838</v>
      </c>
      <c r="AF73" s="690">
        <v>0</v>
      </c>
      <c r="AG73" s="694">
        <v>8.1612903225806459</v>
      </c>
    </row>
    <row r="74" spans="3:33" ht="18.5" x14ac:dyDescent="0.45">
      <c r="C74" s="183">
        <v>30</v>
      </c>
      <c r="D74" s="677" t="s">
        <v>221</v>
      </c>
      <c r="E74" s="678">
        <v>54</v>
      </c>
      <c r="F74" s="678">
        <v>14</v>
      </c>
      <c r="G74" s="678">
        <v>33</v>
      </c>
      <c r="H74" s="678">
        <v>19</v>
      </c>
      <c r="I74" s="679">
        <v>44</v>
      </c>
      <c r="J74" s="680">
        <v>67</v>
      </c>
      <c r="K74" s="678">
        <v>20</v>
      </c>
      <c r="L74" s="678">
        <v>77</v>
      </c>
      <c r="M74" s="681">
        <v>164</v>
      </c>
      <c r="N74" s="682">
        <v>99</v>
      </c>
      <c r="O74" s="679">
        <v>43</v>
      </c>
      <c r="P74" s="680">
        <v>44</v>
      </c>
      <c r="Q74" s="678">
        <v>98</v>
      </c>
      <c r="R74" s="678">
        <v>0</v>
      </c>
      <c r="S74" s="681">
        <v>142</v>
      </c>
      <c r="T74" s="683">
        <v>14</v>
      </c>
      <c r="U74" s="684">
        <v>320</v>
      </c>
      <c r="V74" s="682">
        <v>81</v>
      </c>
      <c r="W74" s="678">
        <v>60</v>
      </c>
      <c r="X74" s="678">
        <v>78</v>
      </c>
      <c r="Y74" s="678">
        <v>80</v>
      </c>
      <c r="Z74" s="678">
        <v>8</v>
      </c>
      <c r="AA74" s="678">
        <v>13</v>
      </c>
      <c r="AB74" s="679">
        <v>320</v>
      </c>
      <c r="AC74" s="680">
        <v>123</v>
      </c>
      <c r="AD74" s="678">
        <v>116</v>
      </c>
      <c r="AE74" s="678">
        <v>81</v>
      </c>
      <c r="AF74" s="681">
        <v>0</v>
      </c>
      <c r="AG74" s="685">
        <v>320</v>
      </c>
    </row>
    <row r="75" spans="3:33" ht="19" thickBot="1" x14ac:dyDescent="0.4">
      <c r="C75" s="183"/>
      <c r="D75" s="686" t="s">
        <v>222</v>
      </c>
      <c r="E75" s="687">
        <v>1.8</v>
      </c>
      <c r="F75" s="687">
        <v>0.46666666666666667</v>
      </c>
      <c r="G75" s="687">
        <v>1.1000000000000001</v>
      </c>
      <c r="H75" s="687">
        <v>0.6333333333333333</v>
      </c>
      <c r="I75" s="688">
        <v>1.4666666666666666</v>
      </c>
      <c r="J75" s="689">
        <v>2.2333333333333334</v>
      </c>
      <c r="K75" s="687">
        <v>0.66666666666666663</v>
      </c>
      <c r="L75" s="687">
        <v>2.5666666666666669</v>
      </c>
      <c r="M75" s="690">
        <v>5.4666666666666668</v>
      </c>
      <c r="N75" s="691">
        <v>3.3</v>
      </c>
      <c r="O75" s="688">
        <v>1.4333333333333333</v>
      </c>
      <c r="P75" s="689">
        <v>1.4666666666666666</v>
      </c>
      <c r="Q75" s="687">
        <v>3.2666666666666666</v>
      </c>
      <c r="R75" s="687">
        <v>0</v>
      </c>
      <c r="S75" s="690">
        <v>4.7333333333333334</v>
      </c>
      <c r="T75" s="692">
        <v>0.46666666666666667</v>
      </c>
      <c r="U75" s="693">
        <v>10.666666666666666</v>
      </c>
      <c r="V75" s="691">
        <v>2.7</v>
      </c>
      <c r="W75" s="687">
        <v>2</v>
      </c>
      <c r="X75" s="687">
        <v>2.6</v>
      </c>
      <c r="Y75" s="687">
        <v>2.6666666666666665</v>
      </c>
      <c r="Z75" s="687">
        <v>0.26666666666666666</v>
      </c>
      <c r="AA75" s="687">
        <v>0.43333333333333335</v>
      </c>
      <c r="AB75" s="688">
        <v>10.666666666666666</v>
      </c>
      <c r="AC75" s="689">
        <v>4.0999999999999996</v>
      </c>
      <c r="AD75" s="687">
        <v>3.8666666666666667</v>
      </c>
      <c r="AE75" s="687">
        <v>2.7</v>
      </c>
      <c r="AF75" s="690">
        <v>0</v>
      </c>
      <c r="AG75" s="694">
        <v>10.666666666666666</v>
      </c>
    </row>
    <row r="76" spans="3:33" ht="18.5" x14ac:dyDescent="0.45">
      <c r="C76" s="183">
        <v>31</v>
      </c>
      <c r="D76" s="677" t="s">
        <v>223</v>
      </c>
      <c r="E76" s="678">
        <v>65</v>
      </c>
      <c r="F76" s="678">
        <v>52</v>
      </c>
      <c r="G76" s="678">
        <v>59</v>
      </c>
      <c r="H76" s="678">
        <v>31</v>
      </c>
      <c r="I76" s="679">
        <v>54</v>
      </c>
      <c r="J76" s="680">
        <v>139</v>
      </c>
      <c r="K76" s="678">
        <v>34</v>
      </c>
      <c r="L76" s="678">
        <v>88</v>
      </c>
      <c r="M76" s="681">
        <v>261</v>
      </c>
      <c r="N76" s="682">
        <v>125</v>
      </c>
      <c r="O76" s="679">
        <v>69</v>
      </c>
      <c r="P76" s="680">
        <v>50</v>
      </c>
      <c r="Q76" s="678">
        <v>117</v>
      </c>
      <c r="R76" s="678">
        <v>27</v>
      </c>
      <c r="S76" s="681">
        <v>194</v>
      </c>
      <c r="T76" s="683">
        <v>7</v>
      </c>
      <c r="U76" s="684">
        <v>462</v>
      </c>
      <c r="V76" s="682">
        <v>122</v>
      </c>
      <c r="W76" s="678">
        <v>74</v>
      </c>
      <c r="X76" s="678">
        <v>145</v>
      </c>
      <c r="Y76" s="678">
        <v>107</v>
      </c>
      <c r="Z76" s="678">
        <v>9</v>
      </c>
      <c r="AA76" s="678">
        <v>5</v>
      </c>
      <c r="AB76" s="679">
        <v>462</v>
      </c>
      <c r="AC76" s="680">
        <v>153</v>
      </c>
      <c r="AD76" s="678">
        <v>192</v>
      </c>
      <c r="AE76" s="678">
        <v>117</v>
      </c>
      <c r="AF76" s="681">
        <v>0</v>
      </c>
      <c r="AG76" s="685">
        <v>462</v>
      </c>
    </row>
    <row r="77" spans="3:33" ht="19" thickBot="1" x14ac:dyDescent="0.4">
      <c r="C77" s="183"/>
      <c r="D77" s="686" t="s">
        <v>224</v>
      </c>
      <c r="E77" s="687">
        <v>2.096774193548387</v>
      </c>
      <c r="F77" s="687">
        <v>1.6774193548387097</v>
      </c>
      <c r="G77" s="687">
        <v>1.903225806451613</v>
      </c>
      <c r="H77" s="687">
        <v>1</v>
      </c>
      <c r="I77" s="688">
        <v>1.7419354838709677</v>
      </c>
      <c r="J77" s="689">
        <v>4.4838709677419351</v>
      </c>
      <c r="K77" s="687">
        <v>1.096774193548387</v>
      </c>
      <c r="L77" s="687">
        <v>2.838709677419355</v>
      </c>
      <c r="M77" s="690">
        <v>8.4193548387096779</v>
      </c>
      <c r="N77" s="691">
        <v>4.032258064516129</v>
      </c>
      <c r="O77" s="688">
        <v>2.225806451612903</v>
      </c>
      <c r="P77" s="689">
        <v>1.6129032258064515</v>
      </c>
      <c r="Q77" s="687">
        <v>3.774193548387097</v>
      </c>
      <c r="R77" s="687">
        <v>0.87096774193548387</v>
      </c>
      <c r="S77" s="690">
        <v>6.258064516129032</v>
      </c>
      <c r="T77" s="692">
        <v>0.22580645161290322</v>
      </c>
      <c r="U77" s="693">
        <v>14.903225806451612</v>
      </c>
      <c r="V77" s="691">
        <v>3.935483870967742</v>
      </c>
      <c r="W77" s="687">
        <v>2.3870967741935485</v>
      </c>
      <c r="X77" s="687">
        <v>4.67741935483871</v>
      </c>
      <c r="Y77" s="687">
        <v>3.4516129032258065</v>
      </c>
      <c r="Z77" s="687">
        <v>0.29032258064516131</v>
      </c>
      <c r="AA77" s="687">
        <v>0.16129032258064516</v>
      </c>
      <c r="AB77" s="688">
        <v>14.903225806451612</v>
      </c>
      <c r="AC77" s="689">
        <v>4.935483870967742</v>
      </c>
      <c r="AD77" s="687">
        <v>6.193548387096774</v>
      </c>
      <c r="AE77" s="687">
        <v>3.774193548387097</v>
      </c>
      <c r="AF77" s="690">
        <v>0</v>
      </c>
      <c r="AG77" s="694">
        <v>14.903225806451612</v>
      </c>
    </row>
    <row r="78" spans="3:33" ht="18.5" x14ac:dyDescent="0.45">
      <c r="C78" s="183">
        <v>31</v>
      </c>
      <c r="D78" s="677" t="s">
        <v>225</v>
      </c>
      <c r="E78" s="678">
        <v>72</v>
      </c>
      <c r="F78" s="678">
        <v>60</v>
      </c>
      <c r="G78" s="678">
        <v>58</v>
      </c>
      <c r="H78" s="678">
        <v>20</v>
      </c>
      <c r="I78" s="679">
        <v>43</v>
      </c>
      <c r="J78" s="680">
        <v>127</v>
      </c>
      <c r="K78" s="678">
        <v>28</v>
      </c>
      <c r="L78" s="678">
        <v>98</v>
      </c>
      <c r="M78" s="681">
        <v>253</v>
      </c>
      <c r="N78" s="682">
        <v>128</v>
      </c>
      <c r="O78" s="679">
        <v>75</v>
      </c>
      <c r="P78" s="680">
        <v>45</v>
      </c>
      <c r="Q78" s="678">
        <v>138</v>
      </c>
      <c r="R78" s="678">
        <v>20</v>
      </c>
      <c r="S78" s="681">
        <v>203</v>
      </c>
      <c r="T78" s="683">
        <v>0</v>
      </c>
      <c r="U78" s="684">
        <v>456</v>
      </c>
      <c r="V78" s="682">
        <v>126</v>
      </c>
      <c r="W78" s="678">
        <v>89</v>
      </c>
      <c r="X78" s="678">
        <v>129</v>
      </c>
      <c r="Y78" s="678">
        <v>90</v>
      </c>
      <c r="Z78" s="678">
        <v>10</v>
      </c>
      <c r="AA78" s="678">
        <v>12</v>
      </c>
      <c r="AB78" s="679">
        <v>456</v>
      </c>
      <c r="AC78" s="680">
        <v>166</v>
      </c>
      <c r="AD78" s="678">
        <v>172</v>
      </c>
      <c r="AE78" s="678">
        <v>118</v>
      </c>
      <c r="AF78" s="681">
        <v>0</v>
      </c>
      <c r="AG78" s="685">
        <v>456</v>
      </c>
    </row>
    <row r="79" spans="3:33" ht="19" thickBot="1" x14ac:dyDescent="0.4">
      <c r="C79" s="183"/>
      <c r="D79" s="686" t="s">
        <v>226</v>
      </c>
      <c r="E79" s="687">
        <v>2.3225806451612905</v>
      </c>
      <c r="F79" s="687">
        <v>1.935483870967742</v>
      </c>
      <c r="G79" s="687">
        <v>1.8709677419354838</v>
      </c>
      <c r="H79" s="687">
        <v>0.64516129032258063</v>
      </c>
      <c r="I79" s="688">
        <v>1.3870967741935485</v>
      </c>
      <c r="J79" s="689">
        <v>4.096774193548387</v>
      </c>
      <c r="K79" s="687">
        <v>0.90322580645161288</v>
      </c>
      <c r="L79" s="687">
        <v>3.161290322580645</v>
      </c>
      <c r="M79" s="690">
        <v>8.1612903225806459</v>
      </c>
      <c r="N79" s="691">
        <v>4.129032258064516</v>
      </c>
      <c r="O79" s="688">
        <v>2.4193548387096775</v>
      </c>
      <c r="P79" s="689">
        <v>1.4516129032258065</v>
      </c>
      <c r="Q79" s="687">
        <v>4.4516129032258061</v>
      </c>
      <c r="R79" s="687">
        <v>0.64516129032258063</v>
      </c>
      <c r="S79" s="690">
        <v>6.5483870967741939</v>
      </c>
      <c r="T79" s="692">
        <v>0</v>
      </c>
      <c r="U79" s="693">
        <v>14.709677419354838</v>
      </c>
      <c r="V79" s="691">
        <v>4.064516129032258</v>
      </c>
      <c r="W79" s="687">
        <v>2.870967741935484</v>
      </c>
      <c r="X79" s="687">
        <v>4.161290322580645</v>
      </c>
      <c r="Y79" s="687">
        <v>2.903225806451613</v>
      </c>
      <c r="Z79" s="687">
        <v>0.32258064516129031</v>
      </c>
      <c r="AA79" s="687">
        <v>0.38709677419354838</v>
      </c>
      <c r="AB79" s="688">
        <v>14.709677419354838</v>
      </c>
      <c r="AC79" s="689">
        <v>5.354838709677419</v>
      </c>
      <c r="AD79" s="687">
        <v>5.5483870967741939</v>
      </c>
      <c r="AE79" s="687">
        <v>3.806451612903226</v>
      </c>
      <c r="AF79" s="690">
        <v>0</v>
      </c>
      <c r="AG79" s="694">
        <v>14.709677419354838</v>
      </c>
    </row>
    <row r="80" spans="3:33" ht="18.5" x14ac:dyDescent="0.45">
      <c r="C80" s="183">
        <v>30</v>
      </c>
      <c r="D80" s="677" t="s">
        <v>227</v>
      </c>
      <c r="E80" s="678">
        <v>91</v>
      </c>
      <c r="F80" s="678">
        <v>74</v>
      </c>
      <c r="G80" s="678">
        <v>72</v>
      </c>
      <c r="H80" s="678">
        <v>24</v>
      </c>
      <c r="I80" s="679">
        <v>45</v>
      </c>
      <c r="J80" s="680">
        <v>140</v>
      </c>
      <c r="K80" s="678">
        <v>76</v>
      </c>
      <c r="L80" s="678">
        <v>90</v>
      </c>
      <c r="M80" s="681">
        <v>306</v>
      </c>
      <c r="N80" s="682">
        <v>185</v>
      </c>
      <c r="O80" s="679">
        <v>69</v>
      </c>
      <c r="P80" s="680">
        <v>33</v>
      </c>
      <c r="Q80" s="678">
        <v>191</v>
      </c>
      <c r="R80" s="678">
        <v>30</v>
      </c>
      <c r="S80" s="681">
        <v>254</v>
      </c>
      <c r="T80" s="683">
        <v>0</v>
      </c>
      <c r="U80" s="684">
        <v>560</v>
      </c>
      <c r="V80" s="682">
        <v>144</v>
      </c>
      <c r="W80" s="678">
        <v>95</v>
      </c>
      <c r="X80" s="678">
        <v>152</v>
      </c>
      <c r="Y80" s="678">
        <v>81</v>
      </c>
      <c r="Z80" s="678">
        <v>4</v>
      </c>
      <c r="AA80" s="678">
        <v>84</v>
      </c>
      <c r="AB80" s="679">
        <v>560</v>
      </c>
      <c r="AC80" s="680">
        <v>267</v>
      </c>
      <c r="AD80" s="678">
        <v>173</v>
      </c>
      <c r="AE80" s="678">
        <v>120</v>
      </c>
      <c r="AF80" s="681">
        <v>0</v>
      </c>
      <c r="AG80" s="685">
        <v>560</v>
      </c>
    </row>
    <row r="81" spans="3:33" ht="19" thickBot="1" x14ac:dyDescent="0.4">
      <c r="C81" s="183"/>
      <c r="D81" s="686" t="s">
        <v>228</v>
      </c>
      <c r="E81" s="687">
        <v>3.0333333333333332</v>
      </c>
      <c r="F81" s="687">
        <v>2.4666666666666668</v>
      </c>
      <c r="G81" s="687">
        <v>2.4</v>
      </c>
      <c r="H81" s="687">
        <v>0.8</v>
      </c>
      <c r="I81" s="688">
        <v>1.5</v>
      </c>
      <c r="J81" s="689">
        <v>4.666666666666667</v>
      </c>
      <c r="K81" s="687">
        <v>2.5333333333333332</v>
      </c>
      <c r="L81" s="687">
        <v>3</v>
      </c>
      <c r="M81" s="690">
        <v>10.199999999999999</v>
      </c>
      <c r="N81" s="691">
        <v>6.166666666666667</v>
      </c>
      <c r="O81" s="688">
        <v>2.2999999999999998</v>
      </c>
      <c r="P81" s="689">
        <v>1.1000000000000001</v>
      </c>
      <c r="Q81" s="687">
        <v>6.3666666666666663</v>
      </c>
      <c r="R81" s="687">
        <v>1</v>
      </c>
      <c r="S81" s="690">
        <v>8.4666666666666668</v>
      </c>
      <c r="T81" s="692">
        <v>0</v>
      </c>
      <c r="U81" s="693">
        <v>18.666666666666668</v>
      </c>
      <c r="V81" s="691">
        <v>4.8</v>
      </c>
      <c r="W81" s="687">
        <v>3.1666666666666665</v>
      </c>
      <c r="X81" s="687">
        <v>5.0666666666666664</v>
      </c>
      <c r="Y81" s="687">
        <v>2.7</v>
      </c>
      <c r="Z81" s="687">
        <v>0.13333333333333333</v>
      </c>
      <c r="AA81" s="687">
        <v>2.8</v>
      </c>
      <c r="AB81" s="688">
        <v>18.666666666666668</v>
      </c>
      <c r="AC81" s="689">
        <v>8.9</v>
      </c>
      <c r="AD81" s="687">
        <v>5.7666666666666666</v>
      </c>
      <c r="AE81" s="687">
        <v>4</v>
      </c>
      <c r="AF81" s="690">
        <v>0</v>
      </c>
      <c r="AG81" s="694">
        <v>18.666666666666668</v>
      </c>
    </row>
    <row r="82" spans="3:33" ht="18.5" x14ac:dyDescent="0.45">
      <c r="C82" s="183"/>
      <c r="D82" s="677" t="s">
        <v>229</v>
      </c>
      <c r="E82" s="678">
        <v>94</v>
      </c>
      <c r="F82" s="678">
        <v>87</v>
      </c>
      <c r="G82" s="678">
        <v>55</v>
      </c>
      <c r="H82" s="678">
        <v>26</v>
      </c>
      <c r="I82" s="679">
        <v>56</v>
      </c>
      <c r="J82" s="680">
        <v>177</v>
      </c>
      <c r="K82" s="678">
        <v>75</v>
      </c>
      <c r="L82" s="678">
        <v>66</v>
      </c>
      <c r="M82" s="681">
        <v>318</v>
      </c>
      <c r="N82" s="682">
        <v>184</v>
      </c>
      <c r="O82" s="679">
        <v>90</v>
      </c>
      <c r="P82" s="680">
        <v>16</v>
      </c>
      <c r="Q82" s="678">
        <v>206</v>
      </c>
      <c r="R82" s="678">
        <v>52</v>
      </c>
      <c r="S82" s="681">
        <v>274</v>
      </c>
      <c r="T82" s="683">
        <v>2</v>
      </c>
      <c r="U82" s="684">
        <v>594</v>
      </c>
      <c r="V82" s="682">
        <v>140</v>
      </c>
      <c r="W82" s="678">
        <v>94</v>
      </c>
      <c r="X82" s="678">
        <v>186</v>
      </c>
      <c r="Y82" s="678">
        <v>60</v>
      </c>
      <c r="Z82" s="678">
        <v>3</v>
      </c>
      <c r="AA82" s="678">
        <v>111</v>
      </c>
      <c r="AB82" s="679">
        <v>594</v>
      </c>
      <c r="AC82" s="680">
        <v>283</v>
      </c>
      <c r="AD82" s="678">
        <v>193</v>
      </c>
      <c r="AE82" s="678">
        <v>118</v>
      </c>
      <c r="AF82" s="681">
        <v>0</v>
      </c>
      <c r="AG82" s="685">
        <v>594</v>
      </c>
    </row>
    <row r="83" spans="3:33" ht="19" thickBot="1" x14ac:dyDescent="0.4">
      <c r="C83" s="183">
        <v>31</v>
      </c>
      <c r="D83" s="686" t="s">
        <v>230</v>
      </c>
      <c r="E83" s="687">
        <v>3.032258064516129</v>
      </c>
      <c r="F83" s="687">
        <v>2.806451612903226</v>
      </c>
      <c r="G83" s="687">
        <v>1.7741935483870968</v>
      </c>
      <c r="H83" s="687">
        <v>0.83870967741935487</v>
      </c>
      <c r="I83" s="688">
        <v>1.8064516129032258</v>
      </c>
      <c r="J83" s="689">
        <v>5.709677419354839</v>
      </c>
      <c r="K83" s="687">
        <v>2.4193548387096775</v>
      </c>
      <c r="L83" s="687">
        <v>2.129032258064516</v>
      </c>
      <c r="M83" s="690">
        <v>10.258064516129032</v>
      </c>
      <c r="N83" s="691">
        <v>5.935483870967742</v>
      </c>
      <c r="O83" s="688">
        <v>2.903225806451613</v>
      </c>
      <c r="P83" s="689">
        <v>0.5161290322580645</v>
      </c>
      <c r="Q83" s="687">
        <v>6.645161290322581</v>
      </c>
      <c r="R83" s="687">
        <v>1.6774193548387097</v>
      </c>
      <c r="S83" s="690">
        <v>8.8387096774193541</v>
      </c>
      <c r="T83" s="692">
        <v>6.4516129032258063E-2</v>
      </c>
      <c r="U83" s="693">
        <v>19.161290322580644</v>
      </c>
      <c r="V83" s="691">
        <v>4.5161290322580649</v>
      </c>
      <c r="W83" s="687">
        <v>3.032258064516129</v>
      </c>
      <c r="X83" s="687">
        <v>6</v>
      </c>
      <c r="Y83" s="687">
        <v>1.935483870967742</v>
      </c>
      <c r="Z83" s="687">
        <v>9.6774193548387094E-2</v>
      </c>
      <c r="AA83" s="687">
        <v>3.5806451612903225</v>
      </c>
      <c r="AB83" s="688">
        <v>19.161290322580644</v>
      </c>
      <c r="AC83" s="689">
        <v>9.129032258064516</v>
      </c>
      <c r="AD83" s="687">
        <v>6.225806451612903</v>
      </c>
      <c r="AE83" s="687">
        <v>3.806451612903226</v>
      </c>
      <c r="AF83" s="690">
        <v>0</v>
      </c>
      <c r="AG83" s="694">
        <v>19.161290322580644</v>
      </c>
    </row>
    <row r="84" spans="3:33" ht="15.5" x14ac:dyDescent="0.35">
      <c r="C84" s="183"/>
      <c r="D84" s="422" t="s">
        <v>231</v>
      </c>
      <c r="E84" s="423">
        <v>110</v>
      </c>
      <c r="F84" s="423">
        <v>101</v>
      </c>
      <c r="G84" s="423">
        <v>59</v>
      </c>
      <c r="H84" s="423">
        <v>25</v>
      </c>
      <c r="I84" s="441">
        <v>63</v>
      </c>
      <c r="J84" s="447">
        <v>180</v>
      </c>
      <c r="K84" s="423">
        <v>85</v>
      </c>
      <c r="L84" s="423">
        <v>93</v>
      </c>
      <c r="M84" s="424">
        <v>358</v>
      </c>
      <c r="N84" s="444">
        <v>177</v>
      </c>
      <c r="O84" s="441">
        <v>88</v>
      </c>
      <c r="P84" s="447">
        <v>57</v>
      </c>
      <c r="Q84" s="423">
        <v>187</v>
      </c>
      <c r="R84" s="423">
        <v>21</v>
      </c>
      <c r="S84" s="424">
        <v>265</v>
      </c>
      <c r="T84" s="450">
        <v>25</v>
      </c>
      <c r="U84" s="453">
        <v>648</v>
      </c>
      <c r="V84" s="444">
        <v>158</v>
      </c>
      <c r="W84" s="423">
        <v>99</v>
      </c>
      <c r="X84" s="423">
        <v>182</v>
      </c>
      <c r="Y84" s="423">
        <v>100</v>
      </c>
      <c r="Z84" s="423">
        <v>18</v>
      </c>
      <c r="AA84" s="423">
        <v>91</v>
      </c>
      <c r="AB84" s="441">
        <v>648</v>
      </c>
      <c r="AC84" s="447">
        <v>290</v>
      </c>
      <c r="AD84" s="423">
        <v>240</v>
      </c>
      <c r="AE84" s="423">
        <v>118</v>
      </c>
      <c r="AF84" s="424">
        <v>0</v>
      </c>
      <c r="AG84" s="456">
        <v>648</v>
      </c>
    </row>
    <row r="85" spans="3:33" ht="15" thickBot="1" x14ac:dyDescent="0.4">
      <c r="C85" s="183">
        <v>30</v>
      </c>
      <c r="D85" s="425" t="s">
        <v>232</v>
      </c>
      <c r="E85" s="426">
        <v>3.6666666666666665</v>
      </c>
      <c r="F85" s="426">
        <v>3.3666666666666667</v>
      </c>
      <c r="G85" s="426">
        <v>1.9666666666666666</v>
      </c>
      <c r="H85" s="426">
        <v>0.83333333333333337</v>
      </c>
      <c r="I85" s="442">
        <v>2.1</v>
      </c>
      <c r="J85" s="448">
        <v>6</v>
      </c>
      <c r="K85" s="426">
        <v>2.8333333333333335</v>
      </c>
      <c r="L85" s="426">
        <v>3.1</v>
      </c>
      <c r="M85" s="427">
        <v>11.933333333333334</v>
      </c>
      <c r="N85" s="445">
        <v>5.9</v>
      </c>
      <c r="O85" s="442">
        <v>2.9333333333333331</v>
      </c>
      <c r="P85" s="448">
        <v>1.9</v>
      </c>
      <c r="Q85" s="426">
        <v>6.2333333333333334</v>
      </c>
      <c r="R85" s="426">
        <v>0.7</v>
      </c>
      <c r="S85" s="427">
        <v>8.8333333333333339</v>
      </c>
      <c r="T85" s="451">
        <v>0.83333333333333337</v>
      </c>
      <c r="U85" s="454">
        <v>21.6</v>
      </c>
      <c r="V85" s="445">
        <v>5.2666666666666666</v>
      </c>
      <c r="W85" s="426">
        <v>3.3</v>
      </c>
      <c r="X85" s="426">
        <v>6.0666666666666664</v>
      </c>
      <c r="Y85" s="426">
        <v>3.3333333333333335</v>
      </c>
      <c r="Z85" s="426">
        <v>0.6</v>
      </c>
      <c r="AA85" s="426">
        <v>3.0333333333333332</v>
      </c>
      <c r="AB85" s="442">
        <v>21.6</v>
      </c>
      <c r="AC85" s="448">
        <v>9.6666666666666661</v>
      </c>
      <c r="AD85" s="426">
        <v>8</v>
      </c>
      <c r="AE85" s="426">
        <v>3.9333333333333331</v>
      </c>
      <c r="AF85" s="427">
        <v>0</v>
      </c>
      <c r="AG85" s="457">
        <v>21.6</v>
      </c>
    </row>
    <row r="86" spans="3:33" ht="15.5" x14ac:dyDescent="0.35">
      <c r="C86" s="183"/>
      <c r="D86" s="422" t="s">
        <v>233</v>
      </c>
      <c r="E86" s="423">
        <v>99</v>
      </c>
      <c r="F86" s="423">
        <v>88</v>
      </c>
      <c r="G86" s="423">
        <v>56</v>
      </c>
      <c r="H86" s="423">
        <v>25</v>
      </c>
      <c r="I86" s="441">
        <v>73</v>
      </c>
      <c r="J86" s="447">
        <v>197</v>
      </c>
      <c r="K86" s="423">
        <v>78</v>
      </c>
      <c r="L86" s="423">
        <v>66</v>
      </c>
      <c r="M86" s="424">
        <v>341</v>
      </c>
      <c r="N86" s="444">
        <v>181</v>
      </c>
      <c r="O86" s="441">
        <v>82</v>
      </c>
      <c r="P86" s="447">
        <v>52</v>
      </c>
      <c r="Q86" s="423">
        <v>173</v>
      </c>
      <c r="R86" s="423">
        <v>38</v>
      </c>
      <c r="S86" s="424">
        <v>263</v>
      </c>
      <c r="T86" s="450">
        <v>26</v>
      </c>
      <c r="U86" s="453">
        <v>630</v>
      </c>
      <c r="V86" s="444">
        <v>144</v>
      </c>
      <c r="W86" s="423">
        <v>106</v>
      </c>
      <c r="X86" s="423">
        <v>200</v>
      </c>
      <c r="Y86" s="423">
        <v>105</v>
      </c>
      <c r="Z86" s="423">
        <v>19</v>
      </c>
      <c r="AA86" s="423">
        <v>56</v>
      </c>
      <c r="AB86" s="441">
        <v>630</v>
      </c>
      <c r="AC86" s="447">
        <v>257</v>
      </c>
      <c r="AD86" s="423">
        <v>249</v>
      </c>
      <c r="AE86" s="423">
        <v>124</v>
      </c>
      <c r="AF86" s="424">
        <v>0</v>
      </c>
      <c r="AG86" s="456">
        <v>630</v>
      </c>
    </row>
    <row r="87" spans="3:33" ht="15" thickBot="1" x14ac:dyDescent="0.4">
      <c r="C87" s="183">
        <v>31</v>
      </c>
      <c r="D87" s="425" t="s">
        <v>234</v>
      </c>
      <c r="E87" s="426">
        <v>3.193548387096774</v>
      </c>
      <c r="F87" s="426">
        <v>2.838709677419355</v>
      </c>
      <c r="G87" s="426">
        <v>1.8064516129032258</v>
      </c>
      <c r="H87" s="426">
        <v>0.80645161290322576</v>
      </c>
      <c r="I87" s="442">
        <v>2.3548387096774195</v>
      </c>
      <c r="J87" s="448">
        <v>6.354838709677419</v>
      </c>
      <c r="K87" s="426">
        <v>2.5161290322580645</v>
      </c>
      <c r="L87" s="426">
        <v>2.129032258064516</v>
      </c>
      <c r="M87" s="427">
        <v>11</v>
      </c>
      <c r="N87" s="445">
        <v>5.838709677419355</v>
      </c>
      <c r="O87" s="442">
        <v>2.6451612903225805</v>
      </c>
      <c r="P87" s="448">
        <v>1.6774193548387097</v>
      </c>
      <c r="Q87" s="426">
        <v>5.580645161290323</v>
      </c>
      <c r="R87" s="426">
        <v>1.2258064516129032</v>
      </c>
      <c r="S87" s="427">
        <v>8.4838709677419359</v>
      </c>
      <c r="T87" s="451">
        <v>0.83870967741935487</v>
      </c>
      <c r="U87" s="454">
        <v>20.322580645161292</v>
      </c>
      <c r="V87" s="445">
        <v>4.645161290322581</v>
      </c>
      <c r="W87" s="426">
        <v>3.4193548387096775</v>
      </c>
      <c r="X87" s="426">
        <v>6.4516129032258061</v>
      </c>
      <c r="Y87" s="426">
        <v>3.3870967741935485</v>
      </c>
      <c r="Z87" s="426">
        <v>0.61290322580645162</v>
      </c>
      <c r="AA87" s="426">
        <v>1.8064516129032258</v>
      </c>
      <c r="AB87" s="442">
        <v>20.322580645161292</v>
      </c>
      <c r="AC87" s="448">
        <v>8.2903225806451619</v>
      </c>
      <c r="AD87" s="426">
        <v>8.0322580645161299</v>
      </c>
      <c r="AE87" s="426">
        <v>4</v>
      </c>
      <c r="AF87" s="427">
        <v>0</v>
      </c>
      <c r="AG87" s="457">
        <v>20.322580645161292</v>
      </c>
    </row>
    <row r="88" spans="3:33" ht="15.5" x14ac:dyDescent="0.35">
      <c r="C88" s="183"/>
      <c r="D88" s="422" t="s">
        <v>211</v>
      </c>
      <c r="E88" s="423">
        <v>111</v>
      </c>
      <c r="F88" s="423">
        <v>89</v>
      </c>
      <c r="G88" s="423">
        <v>61</v>
      </c>
      <c r="H88" s="423">
        <v>34</v>
      </c>
      <c r="I88" s="441">
        <v>86</v>
      </c>
      <c r="J88" s="447">
        <v>199</v>
      </c>
      <c r="K88" s="423">
        <v>88</v>
      </c>
      <c r="L88" s="423">
        <v>94</v>
      </c>
      <c r="M88" s="424">
        <v>381</v>
      </c>
      <c r="N88" s="444">
        <v>179</v>
      </c>
      <c r="O88" s="441">
        <v>82</v>
      </c>
      <c r="P88" s="447">
        <v>68</v>
      </c>
      <c r="Q88" s="423">
        <v>176</v>
      </c>
      <c r="R88" s="423">
        <v>17</v>
      </c>
      <c r="S88" s="424">
        <v>261</v>
      </c>
      <c r="T88" s="450">
        <v>22</v>
      </c>
      <c r="U88" s="453">
        <v>664</v>
      </c>
      <c r="V88" s="444">
        <v>159</v>
      </c>
      <c r="W88" s="423">
        <v>104</v>
      </c>
      <c r="X88" s="423">
        <v>198</v>
      </c>
      <c r="Y88" s="423">
        <v>120</v>
      </c>
      <c r="Z88" s="423">
        <v>29</v>
      </c>
      <c r="AA88" s="423">
        <v>54</v>
      </c>
      <c r="AB88" s="441">
        <v>664</v>
      </c>
      <c r="AC88" s="447">
        <v>277</v>
      </c>
      <c r="AD88" s="423">
        <v>267</v>
      </c>
      <c r="AE88" s="423">
        <v>120</v>
      </c>
      <c r="AF88" s="424">
        <v>0</v>
      </c>
      <c r="AG88" s="456">
        <v>664</v>
      </c>
    </row>
    <row r="89" spans="3:33" ht="15" thickBot="1" x14ac:dyDescent="0.4">
      <c r="C89" s="183">
        <v>31</v>
      </c>
      <c r="D89" s="425" t="s">
        <v>212</v>
      </c>
      <c r="E89" s="426">
        <v>3.5806451612903225</v>
      </c>
      <c r="F89" s="426">
        <v>2.870967741935484</v>
      </c>
      <c r="G89" s="426">
        <v>1.967741935483871</v>
      </c>
      <c r="H89" s="426">
        <v>1.096774193548387</v>
      </c>
      <c r="I89" s="442">
        <v>2.774193548387097</v>
      </c>
      <c r="J89" s="448">
        <v>6.419354838709677</v>
      </c>
      <c r="K89" s="426">
        <v>2.838709677419355</v>
      </c>
      <c r="L89" s="426">
        <v>3.032258064516129</v>
      </c>
      <c r="M89" s="427">
        <v>12.290322580645162</v>
      </c>
      <c r="N89" s="445">
        <v>5.774193548387097</v>
      </c>
      <c r="O89" s="442">
        <v>2.6451612903225805</v>
      </c>
      <c r="P89" s="448">
        <v>2.193548387096774</v>
      </c>
      <c r="Q89" s="426">
        <v>5.67741935483871</v>
      </c>
      <c r="R89" s="426">
        <v>0.54838709677419351</v>
      </c>
      <c r="S89" s="427">
        <v>8.4193548387096779</v>
      </c>
      <c r="T89" s="451">
        <v>0.70967741935483875</v>
      </c>
      <c r="U89" s="454">
        <v>21.419354838709676</v>
      </c>
      <c r="V89" s="445">
        <v>5.129032258064516</v>
      </c>
      <c r="W89" s="426">
        <v>3.3548387096774195</v>
      </c>
      <c r="X89" s="426">
        <v>6.387096774193548</v>
      </c>
      <c r="Y89" s="426">
        <v>3.870967741935484</v>
      </c>
      <c r="Z89" s="426">
        <v>0.93548387096774188</v>
      </c>
      <c r="AA89" s="426">
        <v>1.7419354838709677</v>
      </c>
      <c r="AB89" s="442">
        <v>21.419354838709676</v>
      </c>
      <c r="AC89" s="448">
        <v>8.935483870967742</v>
      </c>
      <c r="AD89" s="426">
        <v>8.612903225806452</v>
      </c>
      <c r="AE89" s="426">
        <v>3.870967741935484</v>
      </c>
      <c r="AF89" s="427">
        <v>0</v>
      </c>
      <c r="AG89" s="457">
        <v>21.419354838709676</v>
      </c>
    </row>
    <row r="90" spans="3:33" ht="15.5" x14ac:dyDescent="0.35">
      <c r="C90" s="183"/>
      <c r="D90" s="422" t="s">
        <v>213</v>
      </c>
      <c r="E90" s="423">
        <v>93</v>
      </c>
      <c r="F90" s="423">
        <v>87</v>
      </c>
      <c r="G90" s="423">
        <v>52</v>
      </c>
      <c r="H90" s="423">
        <v>36</v>
      </c>
      <c r="I90" s="441">
        <v>49</v>
      </c>
      <c r="J90" s="447">
        <v>159</v>
      </c>
      <c r="K90" s="423">
        <v>75</v>
      </c>
      <c r="L90" s="423">
        <v>83</v>
      </c>
      <c r="M90" s="424">
        <v>317</v>
      </c>
      <c r="N90" s="444">
        <v>156</v>
      </c>
      <c r="O90" s="441">
        <v>82</v>
      </c>
      <c r="P90" s="447">
        <v>56</v>
      </c>
      <c r="Q90" s="423">
        <v>169</v>
      </c>
      <c r="R90" s="423">
        <v>13</v>
      </c>
      <c r="S90" s="424">
        <v>238</v>
      </c>
      <c r="T90" s="450">
        <v>22</v>
      </c>
      <c r="U90" s="453">
        <v>577</v>
      </c>
      <c r="V90" s="444">
        <v>126</v>
      </c>
      <c r="W90" s="423">
        <v>86</v>
      </c>
      <c r="X90" s="423">
        <v>161</v>
      </c>
      <c r="Y90" s="423">
        <v>104</v>
      </c>
      <c r="Z90" s="423">
        <v>23</v>
      </c>
      <c r="AA90" s="423">
        <v>77</v>
      </c>
      <c r="AB90" s="441">
        <v>577</v>
      </c>
      <c r="AC90" s="447">
        <v>245</v>
      </c>
      <c r="AD90" s="423">
        <v>215</v>
      </c>
      <c r="AE90" s="423">
        <v>117</v>
      </c>
      <c r="AF90" s="424">
        <v>0</v>
      </c>
      <c r="AG90" s="456">
        <v>577</v>
      </c>
    </row>
    <row r="91" spans="3:33" ht="15" thickBot="1" x14ac:dyDescent="0.4">
      <c r="C91" s="183">
        <v>28</v>
      </c>
      <c r="D91" s="635" t="s">
        <v>214</v>
      </c>
      <c r="E91" s="627">
        <v>3.3214285714285716</v>
      </c>
      <c r="F91" s="627">
        <v>3.1071428571428572</v>
      </c>
      <c r="G91" s="627">
        <v>1.8571428571428572</v>
      </c>
      <c r="H91" s="627">
        <v>1.2857142857142858</v>
      </c>
      <c r="I91" s="628">
        <v>1.75</v>
      </c>
      <c r="J91" s="629">
        <v>5.6785714285714288</v>
      </c>
      <c r="K91" s="627">
        <v>2.6785714285714284</v>
      </c>
      <c r="L91" s="627">
        <v>2.9642857142857144</v>
      </c>
      <c r="M91" s="630">
        <v>11.321428571428571</v>
      </c>
      <c r="N91" s="631">
        <v>5.5714285714285712</v>
      </c>
      <c r="O91" s="628">
        <v>2.9285714285714284</v>
      </c>
      <c r="P91" s="629">
        <v>2</v>
      </c>
      <c r="Q91" s="627">
        <v>6.0357142857142856</v>
      </c>
      <c r="R91" s="627">
        <v>0.4642857142857143</v>
      </c>
      <c r="S91" s="630">
        <v>8.5</v>
      </c>
      <c r="T91" s="632">
        <v>0.7857142857142857</v>
      </c>
      <c r="U91" s="633">
        <v>20.607142857142858</v>
      </c>
      <c r="V91" s="631">
        <v>4.5</v>
      </c>
      <c r="W91" s="627">
        <v>3.0714285714285716</v>
      </c>
      <c r="X91" s="627">
        <v>5.75</v>
      </c>
      <c r="Y91" s="627">
        <v>3.7142857142857144</v>
      </c>
      <c r="Z91" s="627">
        <v>0.8214285714285714</v>
      </c>
      <c r="AA91" s="627">
        <v>2.75</v>
      </c>
      <c r="AB91" s="628">
        <v>20.607142857142858</v>
      </c>
      <c r="AC91" s="629">
        <v>8.75</v>
      </c>
      <c r="AD91" s="627">
        <v>7.6785714285714288</v>
      </c>
      <c r="AE91" s="627">
        <v>4.1785714285714288</v>
      </c>
      <c r="AF91" s="630">
        <v>0</v>
      </c>
      <c r="AG91" s="634">
        <v>20.607142857142858</v>
      </c>
    </row>
    <row r="92" spans="3:33" ht="15.5" x14ac:dyDescent="0.35">
      <c r="C92" s="183"/>
      <c r="D92" s="422" t="s">
        <v>215</v>
      </c>
      <c r="E92" s="423"/>
      <c r="F92" s="423"/>
      <c r="G92" s="423"/>
      <c r="H92" s="423"/>
      <c r="I92" s="441"/>
      <c r="J92" s="447"/>
      <c r="K92" s="423"/>
      <c r="L92" s="423"/>
      <c r="M92" s="424"/>
      <c r="N92" s="444"/>
      <c r="O92" s="441"/>
      <c r="P92" s="447"/>
      <c r="Q92" s="423"/>
      <c r="R92" s="423"/>
      <c r="S92" s="424"/>
      <c r="T92" s="450"/>
      <c r="U92" s="453"/>
      <c r="V92" s="444"/>
      <c r="W92" s="423"/>
      <c r="X92" s="423"/>
      <c r="Y92" s="423"/>
      <c r="Z92" s="423"/>
      <c r="AA92" s="423"/>
      <c r="AB92" s="441"/>
      <c r="AC92" s="447"/>
      <c r="AD92" s="423"/>
      <c r="AE92" s="423"/>
      <c r="AF92" s="424"/>
      <c r="AG92" s="456"/>
    </row>
    <row r="93" spans="3:33" ht="15" thickBot="1" x14ac:dyDescent="0.4">
      <c r="C93" s="183"/>
      <c r="D93" s="425" t="s">
        <v>216</v>
      </c>
      <c r="E93" s="636"/>
      <c r="F93" s="636"/>
      <c r="G93" s="636"/>
      <c r="H93" s="636"/>
      <c r="I93" s="637"/>
      <c r="J93" s="638"/>
      <c r="K93" s="636"/>
      <c r="L93" s="636"/>
      <c r="M93" s="639"/>
      <c r="N93" s="640"/>
      <c r="O93" s="637"/>
      <c r="P93" s="638"/>
      <c r="Q93" s="636"/>
      <c r="R93" s="636"/>
      <c r="S93" s="639"/>
      <c r="T93" s="641"/>
      <c r="U93" s="642"/>
      <c r="V93" s="640"/>
      <c r="W93" s="636"/>
      <c r="X93" s="636"/>
      <c r="Y93" s="636"/>
      <c r="Z93" s="636"/>
      <c r="AA93" s="636"/>
      <c r="AB93" s="637"/>
      <c r="AC93" s="638"/>
      <c r="AD93" s="636"/>
      <c r="AE93" s="636"/>
      <c r="AF93" s="639"/>
      <c r="AG93" s="643"/>
    </row>
    <row r="94" spans="3:33" ht="18.5" x14ac:dyDescent="0.45">
      <c r="C94" s="183">
        <f>SUM(C70:C93)</f>
        <v>334</v>
      </c>
      <c r="D94" s="644" t="s">
        <v>235</v>
      </c>
      <c r="E94" s="645">
        <f>E78+E76+E74+E72+E70+E80+E82+E84+E86+E88+E90+E92</f>
        <v>877</v>
      </c>
      <c r="F94" s="645">
        <f t="shared" ref="F94:Z94" si="4">F78+F76+F74+F72+F70+F80+F82+F84+F86+F88+F90+F92</f>
        <v>711</v>
      </c>
      <c r="G94" s="645">
        <f t="shared" si="4"/>
        <v>551</v>
      </c>
      <c r="H94" s="645">
        <f t="shared" si="4"/>
        <v>277</v>
      </c>
      <c r="I94" s="646">
        <f t="shared" si="4"/>
        <v>658</v>
      </c>
      <c r="J94" s="647">
        <f t="shared" si="4"/>
        <v>1582</v>
      </c>
      <c r="K94" s="645">
        <f t="shared" si="4"/>
        <v>595</v>
      </c>
      <c r="L94" s="645">
        <f t="shared" si="4"/>
        <v>897</v>
      </c>
      <c r="M94" s="648">
        <f t="shared" si="4"/>
        <v>3074</v>
      </c>
      <c r="N94" s="649">
        <f t="shared" si="4"/>
        <v>1581</v>
      </c>
      <c r="O94" s="646">
        <f t="shared" si="4"/>
        <v>754</v>
      </c>
      <c r="P94" s="647">
        <f t="shared" si="4"/>
        <v>501</v>
      </c>
      <c r="Q94" s="645">
        <f t="shared" si="4"/>
        <v>1612</v>
      </c>
      <c r="R94" s="645">
        <f t="shared" si="4"/>
        <v>222</v>
      </c>
      <c r="S94" s="648">
        <f t="shared" si="4"/>
        <v>2335</v>
      </c>
      <c r="T94" s="650">
        <f t="shared" si="4"/>
        <v>134</v>
      </c>
      <c r="U94" s="651">
        <f t="shared" si="4"/>
        <v>5543</v>
      </c>
      <c r="V94" s="649">
        <f t="shared" si="4"/>
        <v>1360</v>
      </c>
      <c r="W94" s="645">
        <f t="shared" si="4"/>
        <v>900</v>
      </c>
      <c r="X94" s="645">
        <f t="shared" si="4"/>
        <v>1635</v>
      </c>
      <c r="Y94" s="645">
        <f t="shared" si="4"/>
        <v>988</v>
      </c>
      <c r="Z94" s="645">
        <f t="shared" si="4"/>
        <v>144</v>
      </c>
      <c r="AA94" s="645">
        <f t="shared" ref="AA94" si="5">AA78+AA76+AA74+AA72+AA70+AA80+AA82+AA84+AA86+AA88+AA90+AA92</f>
        <v>516</v>
      </c>
      <c r="AB94" s="646">
        <f t="shared" ref="AB94:AG94" si="6">AB78+AB76+AB74+AB72+AB70+AB80+AB82+AB84+AB86+AB88+AB90+AB92</f>
        <v>5543</v>
      </c>
      <c r="AC94" s="647">
        <f t="shared" si="6"/>
        <v>2266</v>
      </c>
      <c r="AD94" s="645">
        <f t="shared" si="6"/>
        <v>2095</v>
      </c>
      <c r="AE94" s="645">
        <f t="shared" si="6"/>
        <v>1182</v>
      </c>
      <c r="AF94" s="648">
        <f t="shared" si="6"/>
        <v>0</v>
      </c>
      <c r="AG94" s="652">
        <f t="shared" si="6"/>
        <v>5543</v>
      </c>
    </row>
    <row r="95" spans="3:33" ht="19" thickBot="1" x14ac:dyDescent="0.4">
      <c r="D95" s="184" t="s">
        <v>236</v>
      </c>
      <c r="E95" s="185">
        <f>+E94/$C94</f>
        <v>2.625748502994012</v>
      </c>
      <c r="F95" s="185">
        <f t="shared" ref="F95:Z95" si="7">+F94/$C94</f>
        <v>2.1287425149700598</v>
      </c>
      <c r="G95" s="185">
        <f t="shared" si="7"/>
        <v>1.6497005988023952</v>
      </c>
      <c r="H95" s="185">
        <f t="shared" si="7"/>
        <v>0.8293413173652695</v>
      </c>
      <c r="I95" s="443">
        <f t="shared" si="7"/>
        <v>1.9700598802395211</v>
      </c>
      <c r="J95" s="449">
        <f t="shared" si="7"/>
        <v>4.7365269461077846</v>
      </c>
      <c r="K95" s="185">
        <f t="shared" si="7"/>
        <v>1.7814371257485031</v>
      </c>
      <c r="L95" s="185">
        <f t="shared" si="7"/>
        <v>2.6856287425149699</v>
      </c>
      <c r="M95" s="186">
        <f t="shared" si="7"/>
        <v>9.2035928143712571</v>
      </c>
      <c r="N95" s="446">
        <f t="shared" si="7"/>
        <v>4.7335329341317367</v>
      </c>
      <c r="O95" s="443">
        <f t="shared" si="7"/>
        <v>2.2574850299401197</v>
      </c>
      <c r="P95" s="449">
        <f t="shared" si="7"/>
        <v>1.5</v>
      </c>
      <c r="Q95" s="185">
        <f t="shared" si="7"/>
        <v>4.8263473053892216</v>
      </c>
      <c r="R95" s="185">
        <f t="shared" si="7"/>
        <v>0.66467065868263475</v>
      </c>
      <c r="S95" s="186">
        <f t="shared" si="7"/>
        <v>6.9910179640718564</v>
      </c>
      <c r="T95" s="452">
        <f t="shared" si="7"/>
        <v>0.40119760479041916</v>
      </c>
      <c r="U95" s="455">
        <f t="shared" si="7"/>
        <v>16.595808383233532</v>
      </c>
      <c r="V95" s="446">
        <f t="shared" si="7"/>
        <v>4.0718562874251498</v>
      </c>
      <c r="W95" s="185">
        <f t="shared" si="7"/>
        <v>2.6946107784431139</v>
      </c>
      <c r="X95" s="185">
        <f t="shared" si="7"/>
        <v>4.8952095808383236</v>
      </c>
      <c r="Y95" s="185">
        <f t="shared" si="7"/>
        <v>2.9580838323353293</v>
      </c>
      <c r="Z95" s="185">
        <f t="shared" si="7"/>
        <v>0.43113772455089822</v>
      </c>
      <c r="AA95" s="185">
        <f t="shared" ref="AA95" si="8">+AA94/$C94</f>
        <v>1.5449101796407185</v>
      </c>
      <c r="AB95" s="443">
        <f t="shared" ref="AB95:AG95" si="9">+AB94/$C94</f>
        <v>16.595808383233532</v>
      </c>
      <c r="AC95" s="449">
        <f t="shared" si="9"/>
        <v>6.7844311377245505</v>
      </c>
      <c r="AD95" s="185">
        <f t="shared" si="9"/>
        <v>6.272455089820359</v>
      </c>
      <c r="AE95" s="185">
        <f t="shared" si="9"/>
        <v>3.5389221556886228</v>
      </c>
      <c r="AF95" s="186">
        <f t="shared" si="9"/>
        <v>0</v>
      </c>
      <c r="AG95" s="458">
        <f t="shared" si="9"/>
        <v>16.595808383233532</v>
      </c>
    </row>
  </sheetData>
  <mergeCells count="6">
    <mergeCell ref="J4:M4"/>
    <mergeCell ref="P4:S4"/>
    <mergeCell ref="J38:M38"/>
    <mergeCell ref="P38:S38"/>
    <mergeCell ref="J68:M68"/>
    <mergeCell ref="P68:S68"/>
  </mergeCells>
  <phoneticPr fontId="42" type="noConversion"/>
  <printOptions horizontalCentered="1" verticalCentered="1"/>
  <pageMargins left="0.2" right="0.15748031496062992" top="0.23" bottom="0.28000000000000003" header="0.2" footer="0.2"/>
  <pageSetup scale="37" orientation="landscape" blackAndWhite="1" r:id="rId1"/>
  <headerFooter>
    <oddFooter>&amp;L&amp;Z&amp;F&amp;C&amp;F&amp;R&amp;D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3:AO131"/>
  <sheetViews>
    <sheetView workbookViewId="0">
      <selection activeCell="AD130" sqref="AD130"/>
    </sheetView>
  </sheetViews>
  <sheetFormatPr defaultRowHeight="14.5" x14ac:dyDescent="0.35"/>
  <cols>
    <col min="4" max="4" width="6.54296875" customWidth="1"/>
    <col min="5" max="5" width="7.26953125" customWidth="1"/>
    <col min="6" max="6" width="6.54296875" hidden="1" customWidth="1"/>
    <col min="7" max="7" width="7.26953125" customWidth="1"/>
    <col min="8" max="8" width="6.54296875" hidden="1" customWidth="1"/>
    <col min="9" max="9" width="7.26953125" customWidth="1"/>
    <col min="10" max="10" width="6.54296875" hidden="1" customWidth="1"/>
    <col min="11" max="11" width="7.26953125" customWidth="1"/>
    <col min="12" max="12" width="6.54296875" hidden="1" customWidth="1"/>
    <col min="13" max="13" width="7.26953125" customWidth="1"/>
    <col min="14" max="14" width="6.54296875" hidden="1" customWidth="1"/>
    <col min="15" max="15" width="7.26953125" customWidth="1"/>
    <col min="16" max="16" width="6.54296875" hidden="1" customWidth="1"/>
    <col min="17" max="17" width="7.26953125" customWidth="1"/>
    <col min="18" max="18" width="6.1796875" hidden="1" customWidth="1"/>
    <col min="19" max="19" width="7.26953125" customWidth="1"/>
    <col min="20" max="20" width="6.1796875" hidden="1" customWidth="1"/>
    <col min="21" max="21" width="7.26953125" customWidth="1"/>
    <col min="22" max="22" width="6.1796875" hidden="1" customWidth="1"/>
    <col min="23" max="23" width="7.26953125" customWidth="1"/>
    <col min="24" max="24" width="6.1796875" hidden="1" customWidth="1"/>
    <col min="25" max="25" width="7.26953125" customWidth="1"/>
    <col min="26" max="26" width="8.26953125" hidden="1" customWidth="1"/>
    <col min="27" max="27" width="8.26953125" customWidth="1"/>
    <col min="28" max="28" width="11" hidden="1" customWidth="1"/>
    <col min="29" max="29" width="7.54296875" customWidth="1"/>
    <col min="30" max="33" width="5.54296875" customWidth="1"/>
  </cols>
  <sheetData>
    <row r="3" spans="2:24" ht="21" x14ac:dyDescent="0.35">
      <c r="B3" s="810" t="s">
        <v>202</v>
      </c>
      <c r="C3" s="810"/>
      <c r="D3" s="810"/>
      <c r="E3" s="810"/>
      <c r="F3" s="810"/>
      <c r="G3" s="810"/>
      <c r="H3" s="810"/>
      <c r="I3" s="810"/>
      <c r="J3" s="810"/>
      <c r="K3" s="810"/>
      <c r="L3" s="810"/>
      <c r="M3" s="810"/>
      <c r="N3" s="810"/>
      <c r="O3" s="810"/>
      <c r="P3" s="810"/>
      <c r="Q3" s="810"/>
      <c r="R3" s="810"/>
      <c r="S3" s="810"/>
      <c r="T3" s="810"/>
      <c r="U3" s="810"/>
      <c r="V3" s="810"/>
      <c r="W3" s="810"/>
      <c r="X3" s="810"/>
    </row>
    <row r="4" spans="2:24" ht="1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ht="15.75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ht="48" thickBot="1" x14ac:dyDescent="0.3">
      <c r="B6" s="3"/>
      <c r="C6" s="4"/>
      <c r="D6" s="150" t="s">
        <v>1</v>
      </c>
      <c r="E6" s="151" t="s">
        <v>2</v>
      </c>
      <c r="F6" s="151" t="s">
        <v>3</v>
      </c>
      <c r="G6" s="151" t="s">
        <v>4</v>
      </c>
      <c r="H6" s="151" t="s">
        <v>5</v>
      </c>
      <c r="I6" s="151" t="s">
        <v>237</v>
      </c>
      <c r="J6" s="151" t="s">
        <v>6</v>
      </c>
      <c r="K6" s="664" t="s">
        <v>8</v>
      </c>
      <c r="L6" s="12" t="s">
        <v>9</v>
      </c>
      <c r="M6" s="661"/>
      <c r="N6" s="661"/>
      <c r="O6" s="661"/>
      <c r="P6" s="661"/>
      <c r="Q6" s="661"/>
      <c r="R6" s="661"/>
      <c r="S6" s="661"/>
      <c r="T6" s="661"/>
      <c r="U6" s="661"/>
    </row>
    <row r="7" spans="2:24" ht="16" thickBot="1" x14ac:dyDescent="0.4">
      <c r="B7" s="789">
        <v>43922</v>
      </c>
      <c r="C7" s="13" t="s">
        <v>11</v>
      </c>
      <c r="D7" s="462">
        <v>165</v>
      </c>
      <c r="E7" s="462">
        <v>80</v>
      </c>
      <c r="F7" s="462">
        <v>165</v>
      </c>
      <c r="G7" s="462">
        <v>130</v>
      </c>
      <c r="H7" s="462">
        <v>30</v>
      </c>
      <c r="I7" s="462"/>
      <c r="J7" s="600">
        <f>SUM(D7:I7)</f>
        <v>570</v>
      </c>
      <c r="K7" s="665"/>
      <c r="L7" s="601">
        <f>SUM(J7:K7)</f>
        <v>570</v>
      </c>
      <c r="M7" s="662"/>
      <c r="N7" s="662"/>
      <c r="O7" s="662"/>
      <c r="P7" s="662"/>
      <c r="Q7" s="662"/>
      <c r="R7" s="662"/>
      <c r="S7" s="662"/>
      <c r="T7" s="662"/>
      <c r="U7" s="662"/>
    </row>
    <row r="8" spans="2:24" ht="15.5" x14ac:dyDescent="0.35">
      <c r="B8" s="790"/>
      <c r="C8" s="52" t="s">
        <v>156</v>
      </c>
      <c r="D8" s="417">
        <f>D7/30</f>
        <v>5.5</v>
      </c>
      <c r="E8" s="417">
        <f t="shared" ref="E8:H8" si="0">E7/30</f>
        <v>2.6666666666666665</v>
      </c>
      <c r="F8" s="417">
        <f t="shared" si="0"/>
        <v>5.5</v>
      </c>
      <c r="G8" s="417">
        <f t="shared" si="0"/>
        <v>4.333333333333333</v>
      </c>
      <c r="H8" s="417">
        <f t="shared" si="0"/>
        <v>1</v>
      </c>
      <c r="I8" s="417"/>
      <c r="J8" s="417">
        <f>J7/30</f>
        <v>19</v>
      </c>
      <c r="K8" s="666">
        <f>K7/30</f>
        <v>0</v>
      </c>
      <c r="L8" s="418">
        <f>L7/30</f>
        <v>19</v>
      </c>
      <c r="M8" s="663"/>
      <c r="N8" s="663"/>
      <c r="O8" s="663"/>
      <c r="P8" s="663"/>
      <c r="Q8" s="663"/>
      <c r="R8" s="663"/>
      <c r="S8" s="663"/>
      <c r="T8" s="663"/>
      <c r="U8" s="663"/>
    </row>
    <row r="9" spans="2:24" ht="16" thickBot="1" x14ac:dyDescent="0.4">
      <c r="B9" s="790"/>
      <c r="C9" s="20" t="s">
        <v>12</v>
      </c>
      <c r="D9" s="412">
        <v>97</v>
      </c>
      <c r="E9" s="412">
        <v>54</v>
      </c>
      <c r="F9" s="412">
        <v>127</v>
      </c>
      <c r="G9" s="412">
        <v>73</v>
      </c>
      <c r="H9" s="412">
        <v>15</v>
      </c>
      <c r="I9" s="412">
        <v>13</v>
      </c>
      <c r="J9" s="21">
        <f>SUM(D9:I9)</f>
        <v>379</v>
      </c>
      <c r="K9" s="667"/>
      <c r="L9" s="415">
        <f>SUM(J9:K9)</f>
        <v>379</v>
      </c>
      <c r="M9" s="662"/>
      <c r="N9" s="662"/>
      <c r="O9" s="662"/>
      <c r="P9" s="662"/>
      <c r="Q9" s="662"/>
      <c r="R9" s="662"/>
      <c r="S9" s="662"/>
      <c r="T9" s="662"/>
      <c r="U9" s="662"/>
    </row>
    <row r="10" spans="2:24" ht="16" thickBot="1" x14ac:dyDescent="0.4">
      <c r="B10" s="791"/>
      <c r="C10" s="409" t="s">
        <v>13</v>
      </c>
      <c r="D10" s="411">
        <f>D9/30</f>
        <v>3.2333333333333334</v>
      </c>
      <c r="E10" s="411">
        <f t="shared" ref="E10:H10" si="1">E9/30</f>
        <v>1.8</v>
      </c>
      <c r="F10" s="411">
        <f t="shared" si="1"/>
        <v>4.2333333333333334</v>
      </c>
      <c r="G10" s="411">
        <f t="shared" si="1"/>
        <v>2.4333333333333331</v>
      </c>
      <c r="H10" s="411">
        <f t="shared" si="1"/>
        <v>0.5</v>
      </c>
      <c r="I10" s="411"/>
      <c r="J10" s="411">
        <f t="shared" ref="J10:L10" si="2">J9/30</f>
        <v>12.633333333333333</v>
      </c>
      <c r="K10" s="657">
        <f t="shared" si="2"/>
        <v>0</v>
      </c>
      <c r="L10" s="411">
        <f t="shared" si="2"/>
        <v>12.633333333333333</v>
      </c>
      <c r="M10" s="663"/>
      <c r="N10" s="663"/>
      <c r="O10" s="663"/>
      <c r="P10" s="663"/>
      <c r="Q10" s="663"/>
      <c r="R10" s="663"/>
      <c r="S10" s="663"/>
      <c r="T10" s="663"/>
      <c r="U10" s="663"/>
    </row>
    <row r="11" spans="2:24" ht="16" thickBot="1" x14ac:dyDescent="0.4">
      <c r="B11" s="789">
        <v>43952</v>
      </c>
      <c r="C11" s="13" t="s">
        <v>11</v>
      </c>
      <c r="D11" s="14">
        <v>165</v>
      </c>
      <c r="E11" s="14">
        <v>80</v>
      </c>
      <c r="F11" s="14">
        <v>165</v>
      </c>
      <c r="G11" s="14">
        <v>130</v>
      </c>
      <c r="H11" s="14">
        <v>30</v>
      </c>
      <c r="I11" s="14"/>
      <c r="J11" s="21">
        <f>SUM(D11:I11)</f>
        <v>570</v>
      </c>
      <c r="K11" s="668"/>
      <c r="L11" s="414">
        <f>SUM(J11:K11)</f>
        <v>570</v>
      </c>
      <c r="M11" s="662"/>
      <c r="N11" s="662"/>
      <c r="O11" s="662"/>
      <c r="P11" s="662"/>
      <c r="Q11" s="662"/>
      <c r="R11" s="662"/>
      <c r="S11" s="662"/>
      <c r="T11" s="662"/>
      <c r="U11" s="662"/>
    </row>
    <row r="12" spans="2:24" ht="15.5" x14ac:dyDescent="0.35">
      <c r="B12" s="790"/>
      <c r="C12" s="52" t="s">
        <v>156</v>
      </c>
      <c r="D12" s="419">
        <f>D11/31</f>
        <v>5.32258064516129</v>
      </c>
      <c r="E12" s="419">
        <f t="shared" ref="E12:H12" si="3">E11/31</f>
        <v>2.5806451612903225</v>
      </c>
      <c r="F12" s="419">
        <f t="shared" si="3"/>
        <v>5.32258064516129</v>
      </c>
      <c r="G12" s="419">
        <f t="shared" si="3"/>
        <v>4.193548387096774</v>
      </c>
      <c r="H12" s="419">
        <f t="shared" si="3"/>
        <v>0.967741935483871</v>
      </c>
      <c r="I12" s="419"/>
      <c r="J12" s="419">
        <f>J11/31</f>
        <v>18.387096774193548</v>
      </c>
      <c r="K12" s="669">
        <f>K11/31</f>
        <v>0</v>
      </c>
      <c r="L12" s="674">
        <f>L11/31</f>
        <v>18.387096774193548</v>
      </c>
      <c r="M12" s="663"/>
      <c r="N12" s="663"/>
      <c r="O12" s="663"/>
      <c r="P12" s="663"/>
      <c r="Q12" s="663"/>
      <c r="R12" s="663"/>
      <c r="S12" s="663"/>
      <c r="T12" s="663"/>
      <c r="U12" s="663"/>
    </row>
    <row r="13" spans="2:24" ht="16" thickBot="1" x14ac:dyDescent="0.4">
      <c r="B13" s="790"/>
      <c r="C13" s="20" t="s">
        <v>12</v>
      </c>
      <c r="D13" s="21">
        <v>64</v>
      </c>
      <c r="E13" s="21">
        <v>38</v>
      </c>
      <c r="F13" s="21">
        <v>77</v>
      </c>
      <c r="G13" s="21">
        <v>68</v>
      </c>
      <c r="H13" s="21">
        <v>6</v>
      </c>
      <c r="I13" s="21"/>
      <c r="J13" s="21">
        <f>SUM(D13:I13)</f>
        <v>253</v>
      </c>
      <c r="K13" s="670">
        <v>107</v>
      </c>
      <c r="L13" s="675">
        <f>SUM(J13:K13)</f>
        <v>360</v>
      </c>
      <c r="M13" s="662"/>
      <c r="N13" s="662"/>
      <c r="O13" s="662"/>
      <c r="P13" s="662"/>
      <c r="Q13" s="662"/>
      <c r="R13" s="662"/>
      <c r="S13" s="662"/>
      <c r="T13" s="662"/>
      <c r="U13" s="662"/>
    </row>
    <row r="14" spans="2:24" ht="16" thickBot="1" x14ac:dyDescent="0.4">
      <c r="B14" s="791"/>
      <c r="C14" s="409" t="s">
        <v>13</v>
      </c>
      <c r="D14" s="65">
        <f t="shared" ref="D14:H14" si="4">D13/31</f>
        <v>2.064516129032258</v>
      </c>
      <c r="E14" s="65">
        <f t="shared" si="4"/>
        <v>1.2258064516129032</v>
      </c>
      <c r="F14" s="65">
        <f t="shared" si="4"/>
        <v>2.4838709677419355</v>
      </c>
      <c r="G14" s="65">
        <f t="shared" si="4"/>
        <v>2.193548387096774</v>
      </c>
      <c r="H14" s="65">
        <f t="shared" si="4"/>
        <v>0.19354838709677419</v>
      </c>
      <c r="I14" s="65"/>
      <c r="J14" s="65">
        <f>J13/31</f>
        <v>8.1612903225806459</v>
      </c>
      <c r="K14" s="659">
        <f>K13/31</f>
        <v>3.4516129032258065</v>
      </c>
      <c r="L14" s="65">
        <f>L13/31</f>
        <v>11.612903225806452</v>
      </c>
      <c r="M14" s="663"/>
      <c r="N14" s="663"/>
      <c r="O14" s="663"/>
      <c r="P14" s="663"/>
      <c r="Q14" s="663"/>
      <c r="R14" s="663"/>
      <c r="S14" s="663"/>
      <c r="T14" s="663"/>
      <c r="U14" s="663"/>
    </row>
    <row r="15" spans="2:24" ht="16" thickBot="1" x14ac:dyDescent="0.4">
      <c r="B15" s="789">
        <v>43983</v>
      </c>
      <c r="C15" s="13" t="s">
        <v>11</v>
      </c>
      <c r="D15" s="14">
        <v>165</v>
      </c>
      <c r="E15" s="14">
        <v>80</v>
      </c>
      <c r="F15" s="14">
        <v>165</v>
      </c>
      <c r="G15" s="14">
        <v>130</v>
      </c>
      <c r="H15" s="14">
        <v>30</v>
      </c>
      <c r="I15" s="14"/>
      <c r="J15" s="21">
        <f>SUM(D15:I15)</f>
        <v>570</v>
      </c>
      <c r="K15" s="668"/>
      <c r="L15" s="414">
        <f>SUM(J15:K15)</f>
        <v>570</v>
      </c>
      <c r="M15" s="662"/>
      <c r="N15" s="662"/>
      <c r="O15" s="662"/>
      <c r="P15" s="662"/>
      <c r="Q15" s="662"/>
      <c r="R15" s="662"/>
      <c r="S15" s="662"/>
      <c r="T15" s="662"/>
      <c r="U15" s="662"/>
    </row>
    <row r="16" spans="2:24" ht="15.5" x14ac:dyDescent="0.35">
      <c r="B16" s="790"/>
      <c r="C16" s="52" t="s">
        <v>156</v>
      </c>
      <c r="D16" s="419">
        <f t="shared" ref="D16:H16" si="5">D15/30</f>
        <v>5.5</v>
      </c>
      <c r="E16" s="419">
        <f t="shared" si="5"/>
        <v>2.6666666666666665</v>
      </c>
      <c r="F16" s="419">
        <f t="shared" si="5"/>
        <v>5.5</v>
      </c>
      <c r="G16" s="419">
        <f t="shared" si="5"/>
        <v>4.333333333333333</v>
      </c>
      <c r="H16" s="419">
        <f t="shared" si="5"/>
        <v>1</v>
      </c>
      <c r="I16" s="419"/>
      <c r="J16" s="419">
        <f>J15/30</f>
        <v>19</v>
      </c>
      <c r="K16" s="669">
        <f>K15/30</f>
        <v>0</v>
      </c>
      <c r="L16" s="674">
        <f>L15/30</f>
        <v>19</v>
      </c>
      <c r="M16" s="663"/>
      <c r="N16" s="663"/>
      <c r="O16" s="663"/>
      <c r="P16" s="663"/>
      <c r="Q16" s="663"/>
      <c r="R16" s="663"/>
      <c r="S16" s="663"/>
      <c r="T16" s="663"/>
      <c r="U16" s="663"/>
    </row>
    <row r="17" spans="2:27" ht="16" thickBot="1" x14ac:dyDescent="0.4">
      <c r="B17" s="790"/>
      <c r="C17" s="20" t="s">
        <v>12</v>
      </c>
      <c r="D17" s="21">
        <v>81</v>
      </c>
      <c r="E17" s="21">
        <v>60</v>
      </c>
      <c r="F17" s="21">
        <v>79</v>
      </c>
      <c r="G17" s="21">
        <v>79</v>
      </c>
      <c r="H17" s="21">
        <v>8</v>
      </c>
      <c r="I17" s="21">
        <v>13</v>
      </c>
      <c r="J17" s="21">
        <f>SUM(D17:I17)</f>
        <v>320</v>
      </c>
      <c r="K17" s="670">
        <v>114</v>
      </c>
      <c r="L17" s="675">
        <f>+J17+K17</f>
        <v>434</v>
      </c>
      <c r="M17" s="662"/>
      <c r="N17" s="662"/>
      <c r="O17" s="662"/>
      <c r="P17" s="662"/>
      <c r="Q17" s="662"/>
      <c r="R17" s="662"/>
      <c r="S17" s="662"/>
      <c r="T17" s="662"/>
      <c r="U17" s="662"/>
    </row>
    <row r="18" spans="2:27" ht="16" thickBot="1" x14ac:dyDescent="0.4">
      <c r="B18" s="791"/>
      <c r="C18" s="409" t="s">
        <v>13</v>
      </c>
      <c r="D18" s="65">
        <f>D17/30</f>
        <v>2.7</v>
      </c>
      <c r="E18" s="65">
        <f t="shared" ref="E18:H18" si="6">E17/30</f>
        <v>2</v>
      </c>
      <c r="F18" s="65">
        <f t="shared" si="6"/>
        <v>2.6333333333333333</v>
      </c>
      <c r="G18" s="65">
        <f t="shared" si="6"/>
        <v>2.6333333333333333</v>
      </c>
      <c r="H18" s="65">
        <f t="shared" si="6"/>
        <v>0.26666666666666666</v>
      </c>
      <c r="I18" s="65"/>
      <c r="J18" s="65">
        <f t="shared" ref="J18:L18" si="7">J17/30</f>
        <v>10.666666666666666</v>
      </c>
      <c r="K18" s="659">
        <f t="shared" si="7"/>
        <v>3.8</v>
      </c>
      <c r="L18" s="65">
        <f t="shared" si="7"/>
        <v>14.466666666666667</v>
      </c>
      <c r="M18" s="663"/>
      <c r="N18" s="663"/>
      <c r="O18" s="663"/>
      <c r="P18" s="663"/>
      <c r="Q18" s="663"/>
      <c r="R18" s="663"/>
      <c r="S18" s="663"/>
      <c r="T18" s="663"/>
      <c r="U18" s="663"/>
    </row>
    <row r="19" spans="2:27" ht="16" thickBot="1" x14ac:dyDescent="0.4">
      <c r="B19" s="789">
        <v>44013</v>
      </c>
      <c r="C19" s="13" t="s">
        <v>11</v>
      </c>
      <c r="D19" s="14">
        <v>165</v>
      </c>
      <c r="E19" s="14">
        <v>80</v>
      </c>
      <c r="F19" s="14">
        <v>165</v>
      </c>
      <c r="G19" s="14">
        <v>130</v>
      </c>
      <c r="H19" s="14">
        <v>30</v>
      </c>
      <c r="I19" s="14"/>
      <c r="J19" s="21">
        <f>SUM(D19:I19)</f>
        <v>570</v>
      </c>
      <c r="K19" s="671"/>
      <c r="L19" s="414">
        <f>SUM(J19:K19)</f>
        <v>570</v>
      </c>
      <c r="M19" s="662"/>
      <c r="N19" s="662"/>
      <c r="O19" s="662"/>
      <c r="P19" s="662"/>
      <c r="Q19" s="662"/>
      <c r="R19" s="662"/>
      <c r="S19" s="662"/>
      <c r="T19" s="662"/>
      <c r="U19" s="662"/>
    </row>
    <row r="20" spans="2:27" ht="15.5" x14ac:dyDescent="0.35">
      <c r="B20" s="790"/>
      <c r="C20" s="52" t="s">
        <v>156</v>
      </c>
      <c r="D20" s="419">
        <f>+D19/31</f>
        <v>5.32258064516129</v>
      </c>
      <c r="E20" s="419">
        <f t="shared" ref="E20:H20" si="8">+E19/31</f>
        <v>2.5806451612903225</v>
      </c>
      <c r="F20" s="419">
        <f t="shared" si="8"/>
        <v>5.32258064516129</v>
      </c>
      <c r="G20" s="419">
        <f t="shared" si="8"/>
        <v>4.193548387096774</v>
      </c>
      <c r="H20" s="419">
        <f t="shared" si="8"/>
        <v>0.967741935483871</v>
      </c>
      <c r="I20" s="419"/>
      <c r="J20" s="419">
        <f>+J19/31</f>
        <v>18.387096774193548</v>
      </c>
      <c r="K20" s="669">
        <f>+K19/31</f>
        <v>0</v>
      </c>
      <c r="L20" s="674">
        <f>+L19/31</f>
        <v>18.387096774193548</v>
      </c>
      <c r="M20" s="663"/>
      <c r="N20" s="663"/>
      <c r="O20" s="663"/>
      <c r="P20" s="663"/>
      <c r="Q20" s="663"/>
      <c r="R20" s="663"/>
      <c r="S20" s="663"/>
      <c r="T20" s="663"/>
      <c r="U20" s="663"/>
      <c r="AA20" s="598">
        <f>+J25+J21+J17+J13+J9</f>
        <v>1870</v>
      </c>
    </row>
    <row r="21" spans="2:27" ht="16" thickBot="1" x14ac:dyDescent="0.4">
      <c r="B21" s="790"/>
      <c r="C21" s="20" t="s">
        <v>12</v>
      </c>
      <c r="D21" s="21">
        <v>122</v>
      </c>
      <c r="E21" s="21">
        <v>74</v>
      </c>
      <c r="F21" s="21">
        <v>145</v>
      </c>
      <c r="G21" s="21">
        <v>107</v>
      </c>
      <c r="H21" s="21">
        <v>9</v>
      </c>
      <c r="I21" s="21">
        <v>5</v>
      </c>
      <c r="J21" s="21">
        <f>SUM(D21:I21)</f>
        <v>462</v>
      </c>
      <c r="K21" s="670">
        <v>145</v>
      </c>
      <c r="L21" s="675">
        <f>SUM(J21:K21)</f>
        <v>607</v>
      </c>
      <c r="M21" s="662"/>
      <c r="N21" s="662"/>
      <c r="O21" s="662"/>
      <c r="P21" s="662"/>
      <c r="Q21" s="662"/>
      <c r="R21" s="662"/>
      <c r="S21" s="662"/>
      <c r="T21" s="662"/>
      <c r="U21" s="662"/>
    </row>
    <row r="22" spans="2:27" ht="16" thickBot="1" x14ac:dyDescent="0.4">
      <c r="B22" s="791"/>
      <c r="C22" s="409" t="s">
        <v>13</v>
      </c>
      <c r="D22" s="65">
        <f>+D21/31</f>
        <v>3.935483870967742</v>
      </c>
      <c r="E22" s="65">
        <f t="shared" ref="E22:H22" si="9">+E21/31</f>
        <v>2.3870967741935485</v>
      </c>
      <c r="F22" s="65">
        <f t="shared" si="9"/>
        <v>4.67741935483871</v>
      </c>
      <c r="G22" s="65">
        <f t="shared" si="9"/>
        <v>3.4516129032258065</v>
      </c>
      <c r="H22" s="65">
        <f t="shared" si="9"/>
        <v>0.29032258064516131</v>
      </c>
      <c r="I22" s="65"/>
      <c r="J22" s="65">
        <f t="shared" ref="J22:L22" si="10">+J21/31</f>
        <v>14.903225806451612</v>
      </c>
      <c r="K22" s="659">
        <f t="shared" si="10"/>
        <v>4.67741935483871</v>
      </c>
      <c r="L22" s="65">
        <f t="shared" si="10"/>
        <v>19.580645161290324</v>
      </c>
      <c r="M22" s="663"/>
      <c r="N22" s="663"/>
      <c r="O22" s="663"/>
      <c r="P22" s="663"/>
      <c r="Q22" s="663"/>
      <c r="R22" s="663"/>
      <c r="S22" s="663"/>
      <c r="T22" s="663"/>
      <c r="U22" s="663"/>
    </row>
    <row r="23" spans="2:27" ht="16" thickBot="1" x14ac:dyDescent="0.4">
      <c r="B23" s="789">
        <v>44044</v>
      </c>
      <c r="C23" s="13" t="s">
        <v>11</v>
      </c>
      <c r="D23" s="14">
        <v>165</v>
      </c>
      <c r="E23" s="14">
        <v>80</v>
      </c>
      <c r="F23" s="14">
        <v>165</v>
      </c>
      <c r="G23" s="14">
        <v>130</v>
      </c>
      <c r="H23" s="14">
        <v>30</v>
      </c>
      <c r="I23" s="14"/>
      <c r="J23" s="21">
        <f>SUM(D23:I23)</f>
        <v>570</v>
      </c>
      <c r="K23" s="671"/>
      <c r="L23" s="414">
        <f>SUM(J23:K23)</f>
        <v>570</v>
      </c>
      <c r="M23" s="662"/>
      <c r="N23" s="662"/>
      <c r="O23" s="662"/>
      <c r="P23" s="662"/>
      <c r="Q23" s="662"/>
      <c r="R23" s="662"/>
      <c r="S23" s="662"/>
      <c r="T23" s="662"/>
      <c r="U23" s="662"/>
    </row>
    <row r="24" spans="2:27" ht="15.5" x14ac:dyDescent="0.35">
      <c r="B24" s="790"/>
      <c r="C24" s="52" t="s">
        <v>156</v>
      </c>
      <c r="D24" s="419">
        <f>+D23/31</f>
        <v>5.32258064516129</v>
      </c>
      <c r="E24" s="419">
        <f t="shared" ref="E24:H24" si="11">+E23/31</f>
        <v>2.5806451612903225</v>
      </c>
      <c r="F24" s="419">
        <f t="shared" si="11"/>
        <v>5.32258064516129</v>
      </c>
      <c r="G24" s="419">
        <f t="shared" si="11"/>
        <v>4.193548387096774</v>
      </c>
      <c r="H24" s="419">
        <f t="shared" si="11"/>
        <v>0.967741935483871</v>
      </c>
      <c r="I24" s="419"/>
      <c r="J24" s="419">
        <f t="shared" ref="J24:L24" si="12">+J23/31</f>
        <v>18.387096774193548</v>
      </c>
      <c r="K24" s="669">
        <f t="shared" si="12"/>
        <v>0</v>
      </c>
      <c r="L24" s="674">
        <f t="shared" si="12"/>
        <v>18.387096774193548</v>
      </c>
      <c r="M24" s="663"/>
      <c r="N24" s="663"/>
      <c r="O24" s="663"/>
      <c r="P24" s="663"/>
      <c r="Q24" s="663"/>
      <c r="R24" s="663"/>
      <c r="S24" s="663"/>
      <c r="T24" s="663"/>
      <c r="U24" s="663"/>
    </row>
    <row r="25" spans="2:27" ht="16" thickBot="1" x14ac:dyDescent="0.4">
      <c r="B25" s="790"/>
      <c r="C25" s="20" t="s">
        <v>12</v>
      </c>
      <c r="D25" s="21">
        <v>126</v>
      </c>
      <c r="E25" s="21">
        <v>89</v>
      </c>
      <c r="F25" s="21">
        <v>129</v>
      </c>
      <c r="G25" s="21">
        <v>90</v>
      </c>
      <c r="H25" s="21">
        <v>10</v>
      </c>
      <c r="I25" s="21">
        <v>12</v>
      </c>
      <c r="J25" s="21">
        <f>SUM(D25:I25)</f>
        <v>456</v>
      </c>
      <c r="K25" s="670"/>
      <c r="L25" s="675">
        <f>SUM(J25:K25)</f>
        <v>456</v>
      </c>
      <c r="M25" s="662"/>
      <c r="N25" s="662"/>
      <c r="O25" s="662"/>
      <c r="P25" s="662"/>
      <c r="Q25" s="662"/>
      <c r="R25" s="662"/>
      <c r="S25" s="662"/>
      <c r="T25" s="662"/>
      <c r="U25" s="662"/>
    </row>
    <row r="26" spans="2:27" ht="16" thickBot="1" x14ac:dyDescent="0.4">
      <c r="B26" s="791"/>
      <c r="C26" s="409" t="s">
        <v>13</v>
      </c>
      <c r="D26" s="65">
        <f>+D25/31</f>
        <v>4.064516129032258</v>
      </c>
      <c r="E26" s="65">
        <f t="shared" ref="E26:H26" si="13">+E25/31</f>
        <v>2.870967741935484</v>
      </c>
      <c r="F26" s="65">
        <f t="shared" si="13"/>
        <v>4.161290322580645</v>
      </c>
      <c r="G26" s="65">
        <f t="shared" si="13"/>
        <v>2.903225806451613</v>
      </c>
      <c r="H26" s="65">
        <f t="shared" si="13"/>
        <v>0.32258064516129031</v>
      </c>
      <c r="I26" s="65"/>
      <c r="J26" s="65">
        <f t="shared" ref="J26:L26" si="14">+J25/31</f>
        <v>14.709677419354838</v>
      </c>
      <c r="K26" s="659">
        <f t="shared" si="14"/>
        <v>0</v>
      </c>
      <c r="L26" s="65">
        <f t="shared" si="14"/>
        <v>14.709677419354838</v>
      </c>
      <c r="M26" s="663"/>
      <c r="N26" s="663"/>
      <c r="O26" s="663"/>
      <c r="P26" s="663"/>
      <c r="Q26" s="663"/>
      <c r="R26" s="663"/>
      <c r="S26" s="663"/>
      <c r="T26" s="663"/>
      <c r="U26" s="663"/>
    </row>
    <row r="27" spans="2:27" ht="15.5" x14ac:dyDescent="0.35">
      <c r="B27" s="789">
        <v>44075</v>
      </c>
      <c r="C27" s="13" t="s">
        <v>11</v>
      </c>
      <c r="D27" s="14">
        <v>165</v>
      </c>
      <c r="E27" s="14">
        <v>80</v>
      </c>
      <c r="F27" s="14">
        <v>165</v>
      </c>
      <c r="G27" s="14">
        <v>130</v>
      </c>
      <c r="H27" s="14">
        <v>30</v>
      </c>
      <c r="I27" s="14"/>
      <c r="J27" s="14">
        <f>SUM(D27:I27)</f>
        <v>570</v>
      </c>
      <c r="K27" s="671"/>
      <c r="L27" s="414">
        <f>SUM(J27:K27)</f>
        <v>570</v>
      </c>
      <c r="M27" s="662"/>
      <c r="N27" s="662"/>
      <c r="O27" s="662"/>
      <c r="P27" s="662"/>
      <c r="Q27" s="662"/>
      <c r="R27" s="662"/>
      <c r="S27" s="662"/>
      <c r="T27" s="662"/>
      <c r="U27" s="662"/>
    </row>
    <row r="28" spans="2:27" ht="15.5" x14ac:dyDescent="0.35">
      <c r="B28" s="790"/>
      <c r="C28" s="52" t="s">
        <v>156</v>
      </c>
      <c r="D28" s="419">
        <f>+D27/30</f>
        <v>5.5</v>
      </c>
      <c r="E28" s="419">
        <f t="shared" ref="E28:H28" si="15">+E27/30</f>
        <v>2.6666666666666665</v>
      </c>
      <c r="F28" s="419">
        <f t="shared" si="15"/>
        <v>5.5</v>
      </c>
      <c r="G28" s="419">
        <f t="shared" si="15"/>
        <v>4.333333333333333</v>
      </c>
      <c r="H28" s="419">
        <f t="shared" si="15"/>
        <v>1</v>
      </c>
      <c r="I28" s="419"/>
      <c r="J28" s="419">
        <f>+J27/30</f>
        <v>19</v>
      </c>
      <c r="K28" s="658">
        <f>+K27/30</f>
        <v>0</v>
      </c>
      <c r="L28" s="419">
        <f>+L27/30</f>
        <v>19</v>
      </c>
      <c r="M28" s="663"/>
      <c r="N28" s="663"/>
      <c r="O28" s="663"/>
      <c r="P28" s="663"/>
      <c r="Q28" s="663"/>
      <c r="R28" s="663"/>
      <c r="S28" s="663"/>
      <c r="T28" s="663"/>
      <c r="U28" s="663"/>
    </row>
    <row r="29" spans="2:27" ht="16" thickBot="1" x14ac:dyDescent="0.4">
      <c r="B29" s="790"/>
      <c r="C29" s="20" t="s">
        <v>12</v>
      </c>
      <c r="D29" s="21">
        <v>144</v>
      </c>
      <c r="E29" s="21">
        <v>94</v>
      </c>
      <c r="F29" s="21">
        <v>152</v>
      </c>
      <c r="G29" s="21">
        <v>82</v>
      </c>
      <c r="H29" s="21">
        <v>4</v>
      </c>
      <c r="I29" s="21">
        <v>84</v>
      </c>
      <c r="J29" s="21">
        <f>SUM(D29:I29)</f>
        <v>560</v>
      </c>
      <c r="K29" s="672"/>
      <c r="L29" s="676">
        <f>SUM(J29:K29)</f>
        <v>560</v>
      </c>
      <c r="M29" s="662"/>
      <c r="N29" s="662"/>
      <c r="O29" s="662"/>
      <c r="P29" s="662"/>
      <c r="Q29" s="662"/>
      <c r="R29" s="662"/>
      <c r="S29" s="662"/>
      <c r="T29" s="662"/>
      <c r="U29" s="662"/>
    </row>
    <row r="30" spans="2:27" ht="16" thickBot="1" x14ac:dyDescent="0.4">
      <c r="B30" s="791"/>
      <c r="C30" s="409" t="s">
        <v>13</v>
      </c>
      <c r="D30" s="65">
        <f t="shared" ref="D30:H30" si="16">+D29/30</f>
        <v>4.8</v>
      </c>
      <c r="E30" s="65">
        <f t="shared" si="16"/>
        <v>3.1333333333333333</v>
      </c>
      <c r="F30" s="65">
        <f t="shared" si="16"/>
        <v>5.0666666666666664</v>
      </c>
      <c r="G30" s="65">
        <f t="shared" si="16"/>
        <v>2.7333333333333334</v>
      </c>
      <c r="H30" s="65">
        <f t="shared" si="16"/>
        <v>0.13333333333333333</v>
      </c>
      <c r="I30" s="65"/>
      <c r="J30" s="65">
        <f>+J29/30</f>
        <v>18.666666666666668</v>
      </c>
      <c r="K30" s="659">
        <f>+K29/30</f>
        <v>0</v>
      </c>
      <c r="L30" s="65">
        <f>+L29/30</f>
        <v>18.666666666666668</v>
      </c>
      <c r="M30" s="663"/>
      <c r="N30" s="663"/>
      <c r="O30" s="663"/>
      <c r="P30" s="663"/>
      <c r="Q30" s="663"/>
      <c r="R30" s="663"/>
      <c r="S30" s="663"/>
      <c r="T30" s="663"/>
      <c r="U30" s="663"/>
    </row>
    <row r="31" spans="2:27" ht="15.5" x14ac:dyDescent="0.35">
      <c r="B31" s="789">
        <v>44105</v>
      </c>
      <c r="C31" s="13" t="s">
        <v>11</v>
      </c>
      <c r="D31" s="14">
        <v>165</v>
      </c>
      <c r="E31" s="14">
        <v>80</v>
      </c>
      <c r="F31" s="14">
        <v>165</v>
      </c>
      <c r="G31" s="14">
        <v>130</v>
      </c>
      <c r="H31" s="14">
        <v>30</v>
      </c>
      <c r="I31" s="14"/>
      <c r="J31" s="14">
        <f>SUM(D31:I31)</f>
        <v>570</v>
      </c>
      <c r="K31" s="671"/>
      <c r="L31" s="414">
        <f>SUM(J31:K31)</f>
        <v>570</v>
      </c>
      <c r="M31" s="662"/>
      <c r="N31" s="662"/>
      <c r="O31" s="662"/>
      <c r="P31" s="662"/>
      <c r="Q31" s="662"/>
      <c r="R31" s="662"/>
      <c r="S31" s="662"/>
      <c r="T31" s="662"/>
      <c r="U31" s="662"/>
    </row>
    <row r="32" spans="2:27" ht="15.5" x14ac:dyDescent="0.35">
      <c r="B32" s="790"/>
      <c r="C32" s="52" t="s">
        <v>156</v>
      </c>
      <c r="D32" s="419">
        <f>+D31/31</f>
        <v>5.32258064516129</v>
      </c>
      <c r="E32" s="419">
        <f t="shared" ref="E32:H32" si="17">+E31/31</f>
        <v>2.5806451612903225</v>
      </c>
      <c r="F32" s="419">
        <f t="shared" si="17"/>
        <v>5.32258064516129</v>
      </c>
      <c r="G32" s="419">
        <f t="shared" si="17"/>
        <v>4.193548387096774</v>
      </c>
      <c r="H32" s="419">
        <f t="shared" si="17"/>
        <v>0.967741935483871</v>
      </c>
      <c r="I32" s="419"/>
      <c r="J32" s="419">
        <f>+J31/31</f>
        <v>18.387096774193548</v>
      </c>
      <c r="K32" s="669">
        <f>+K31/31</f>
        <v>0</v>
      </c>
      <c r="L32" s="674">
        <f>+L31/31</f>
        <v>18.387096774193548</v>
      </c>
      <c r="M32" s="663"/>
      <c r="N32" s="663"/>
      <c r="O32" s="663"/>
      <c r="P32" s="663"/>
      <c r="Q32" s="663"/>
      <c r="R32" s="663"/>
      <c r="S32" s="663"/>
      <c r="T32" s="663"/>
      <c r="U32" s="663"/>
    </row>
    <row r="33" spans="2:30" ht="16" thickBot="1" x14ac:dyDescent="0.4">
      <c r="B33" s="790"/>
      <c r="C33" s="20" t="s">
        <v>12</v>
      </c>
      <c r="D33" s="21">
        <v>139</v>
      </c>
      <c r="E33" s="21">
        <v>94</v>
      </c>
      <c r="F33" s="21">
        <v>185</v>
      </c>
      <c r="G33" s="21">
        <v>60</v>
      </c>
      <c r="H33" s="21">
        <v>4</v>
      </c>
      <c r="I33" s="21">
        <v>112</v>
      </c>
      <c r="J33" s="21">
        <f>SUM(D33:I33)</f>
        <v>594</v>
      </c>
      <c r="K33" s="670"/>
      <c r="L33" s="675">
        <f>SUM(J33:K33)</f>
        <v>594</v>
      </c>
      <c r="M33" s="662"/>
      <c r="N33" s="662"/>
      <c r="O33" s="662"/>
      <c r="P33" s="662"/>
      <c r="Q33" s="662"/>
      <c r="R33" s="662"/>
      <c r="S33" s="662"/>
      <c r="T33" s="662"/>
      <c r="U33" s="662"/>
    </row>
    <row r="34" spans="2:30" ht="16" thickBot="1" x14ac:dyDescent="0.4">
      <c r="B34" s="791"/>
      <c r="C34" s="409" t="s">
        <v>13</v>
      </c>
      <c r="D34" s="65">
        <f t="shared" ref="D34:H34" si="18">+D33/31</f>
        <v>4.4838709677419351</v>
      </c>
      <c r="E34" s="65">
        <f t="shared" si="18"/>
        <v>3.032258064516129</v>
      </c>
      <c r="F34" s="65">
        <f t="shared" si="18"/>
        <v>5.967741935483871</v>
      </c>
      <c r="G34" s="65">
        <f t="shared" si="18"/>
        <v>1.935483870967742</v>
      </c>
      <c r="H34" s="65">
        <f t="shared" si="18"/>
        <v>0.12903225806451613</v>
      </c>
      <c r="I34" s="65"/>
      <c r="J34" s="65">
        <f>+J33/31</f>
        <v>19.161290322580644</v>
      </c>
      <c r="K34" s="659">
        <f>+K33/31</f>
        <v>0</v>
      </c>
      <c r="L34" s="65">
        <f>+L33/31</f>
        <v>19.161290322580644</v>
      </c>
      <c r="M34" s="663"/>
      <c r="N34" s="663"/>
      <c r="O34" s="663"/>
      <c r="P34" s="663"/>
      <c r="Q34" s="663"/>
      <c r="R34" s="663"/>
      <c r="S34" s="663"/>
      <c r="T34" s="663"/>
      <c r="U34" s="663"/>
    </row>
    <row r="35" spans="2:30" ht="15.5" x14ac:dyDescent="0.35">
      <c r="B35" s="789">
        <v>44136</v>
      </c>
      <c r="C35" s="13" t="s">
        <v>11</v>
      </c>
      <c r="D35" s="14">
        <v>165</v>
      </c>
      <c r="E35" s="14">
        <v>80</v>
      </c>
      <c r="F35" s="14">
        <v>165</v>
      </c>
      <c r="G35" s="14">
        <v>130</v>
      </c>
      <c r="H35" s="14">
        <v>30</v>
      </c>
      <c r="I35" s="14"/>
      <c r="J35" s="14">
        <f>SUM(D35:I35)</f>
        <v>570</v>
      </c>
      <c r="K35" s="671"/>
      <c r="L35" s="414">
        <f>SUM(J35:K35)</f>
        <v>570</v>
      </c>
      <c r="M35" s="662"/>
      <c r="N35" s="662"/>
      <c r="O35" s="662"/>
      <c r="P35" s="662"/>
      <c r="Q35" s="662"/>
      <c r="R35" s="662"/>
      <c r="S35" s="662"/>
      <c r="T35" s="662"/>
      <c r="U35" s="662"/>
    </row>
    <row r="36" spans="2:30" ht="15.5" x14ac:dyDescent="0.35">
      <c r="B36" s="790"/>
      <c r="C36" s="52" t="s">
        <v>156</v>
      </c>
      <c r="D36" s="419">
        <f>+D35/30</f>
        <v>5.5</v>
      </c>
      <c r="E36" s="419">
        <f t="shared" ref="E36:H36" si="19">+E35/30</f>
        <v>2.6666666666666665</v>
      </c>
      <c r="F36" s="419">
        <f t="shared" si="19"/>
        <v>5.5</v>
      </c>
      <c r="G36" s="419">
        <f t="shared" si="19"/>
        <v>4.333333333333333</v>
      </c>
      <c r="H36" s="419">
        <f t="shared" si="19"/>
        <v>1</v>
      </c>
      <c r="I36" s="419"/>
      <c r="J36" s="417">
        <f>+J35/30</f>
        <v>19</v>
      </c>
      <c r="K36" s="669">
        <f>+K35/30</f>
        <v>0</v>
      </c>
      <c r="L36" s="674">
        <f>+L35/30</f>
        <v>19</v>
      </c>
      <c r="M36" s="663"/>
      <c r="N36" s="663"/>
      <c r="O36" s="663"/>
      <c r="P36" s="663"/>
      <c r="Q36" s="663"/>
      <c r="R36" s="663"/>
      <c r="S36" s="663"/>
      <c r="T36" s="663"/>
      <c r="U36" s="663"/>
    </row>
    <row r="37" spans="2:30" ht="16" thickBot="1" x14ac:dyDescent="0.4">
      <c r="B37" s="790"/>
      <c r="C37" s="20" t="s">
        <v>12</v>
      </c>
      <c r="D37" s="21">
        <v>158</v>
      </c>
      <c r="E37" s="21">
        <v>99</v>
      </c>
      <c r="F37" s="21">
        <v>182</v>
      </c>
      <c r="G37" s="21">
        <v>100</v>
      </c>
      <c r="H37" s="21">
        <v>18</v>
      </c>
      <c r="I37" s="63">
        <v>91</v>
      </c>
      <c r="J37" s="462">
        <f>SUM(D37:I37)</f>
        <v>648</v>
      </c>
      <c r="K37" s="670"/>
      <c r="L37" s="675">
        <f>SUM(J37:K37)</f>
        <v>648</v>
      </c>
      <c r="M37" s="662"/>
      <c r="N37" s="662"/>
      <c r="O37" s="662"/>
      <c r="P37" s="662"/>
      <c r="Q37" s="662"/>
      <c r="R37" s="662"/>
      <c r="S37" s="662"/>
      <c r="T37" s="662"/>
      <c r="U37" s="662"/>
    </row>
    <row r="38" spans="2:30" ht="16" thickBot="1" x14ac:dyDescent="0.4">
      <c r="B38" s="791"/>
      <c r="C38" s="409" t="s">
        <v>13</v>
      </c>
      <c r="D38" s="65">
        <f t="shared" ref="D38:H38" si="20">+D37/30</f>
        <v>5.2666666666666666</v>
      </c>
      <c r="E38" s="65">
        <f t="shared" si="20"/>
        <v>3.3</v>
      </c>
      <c r="F38" s="65">
        <f t="shared" si="20"/>
        <v>6.0666666666666664</v>
      </c>
      <c r="G38" s="65">
        <f t="shared" si="20"/>
        <v>3.3333333333333335</v>
      </c>
      <c r="H38" s="65">
        <f t="shared" si="20"/>
        <v>0.6</v>
      </c>
      <c r="I38" s="65"/>
      <c r="J38" s="65">
        <f>+J37/30</f>
        <v>21.6</v>
      </c>
      <c r="K38" s="659">
        <f>+K37/30</f>
        <v>0</v>
      </c>
      <c r="L38" s="65">
        <f>+L37/30</f>
        <v>21.6</v>
      </c>
      <c r="M38" s="663"/>
      <c r="N38" s="663"/>
      <c r="O38" s="663"/>
      <c r="P38" s="663"/>
      <c r="Q38" s="663"/>
      <c r="R38" s="663"/>
      <c r="S38" s="663"/>
      <c r="T38" s="663"/>
      <c r="U38" s="663"/>
    </row>
    <row r="39" spans="2:30" ht="15.5" x14ac:dyDescent="0.35">
      <c r="B39" s="789">
        <v>44166</v>
      </c>
      <c r="C39" s="13" t="s">
        <v>11</v>
      </c>
      <c r="D39" s="14">
        <v>165</v>
      </c>
      <c r="E39" s="14">
        <v>80</v>
      </c>
      <c r="F39" s="14">
        <v>165</v>
      </c>
      <c r="G39" s="14">
        <v>130</v>
      </c>
      <c r="H39" s="14">
        <v>30</v>
      </c>
      <c r="I39" s="14"/>
      <c r="J39" s="14">
        <f>SUM(D39:H39)</f>
        <v>570</v>
      </c>
      <c r="K39" s="671"/>
      <c r="L39" s="414">
        <f>SUM(J39:K39)</f>
        <v>570</v>
      </c>
      <c r="M39" s="662"/>
      <c r="N39" s="662"/>
      <c r="O39" s="662"/>
      <c r="P39" s="662"/>
      <c r="Q39" s="662"/>
      <c r="R39" s="662"/>
      <c r="S39" s="662"/>
      <c r="T39" s="662"/>
      <c r="U39" s="662"/>
    </row>
    <row r="40" spans="2:30" ht="15.5" x14ac:dyDescent="0.35">
      <c r="B40" s="790"/>
      <c r="C40" s="52" t="s">
        <v>156</v>
      </c>
      <c r="D40" s="419">
        <f>+D39/31</f>
        <v>5.32258064516129</v>
      </c>
      <c r="E40" s="419">
        <f t="shared" ref="E40:H40" si="21">+E39/31</f>
        <v>2.5806451612903225</v>
      </c>
      <c r="F40" s="419">
        <f t="shared" si="21"/>
        <v>5.32258064516129</v>
      </c>
      <c r="G40" s="419">
        <f t="shared" si="21"/>
        <v>4.193548387096774</v>
      </c>
      <c r="H40" s="419">
        <f t="shared" si="21"/>
        <v>0.967741935483871</v>
      </c>
      <c r="I40" s="419"/>
      <c r="J40" s="417">
        <f>+J39/31</f>
        <v>18.387096774193548</v>
      </c>
      <c r="K40" s="669">
        <f>+K39/31</f>
        <v>0</v>
      </c>
      <c r="L40" s="674">
        <f>+L39/31</f>
        <v>18.387096774193548</v>
      </c>
      <c r="M40" s="663"/>
      <c r="N40" s="663"/>
      <c r="O40" s="663"/>
      <c r="P40" s="663"/>
      <c r="Q40" s="663"/>
      <c r="R40" s="663"/>
      <c r="S40" s="663"/>
      <c r="T40" s="663"/>
      <c r="U40" s="663"/>
    </row>
    <row r="41" spans="2:30" ht="16" thickBot="1" x14ac:dyDescent="0.4">
      <c r="B41" s="790"/>
      <c r="C41" s="20" t="s">
        <v>12</v>
      </c>
      <c r="D41" s="21">
        <v>144</v>
      </c>
      <c r="E41" s="21">
        <v>106</v>
      </c>
      <c r="F41" s="21">
        <v>200</v>
      </c>
      <c r="G41" s="21">
        <v>105</v>
      </c>
      <c r="H41" s="21">
        <v>19</v>
      </c>
      <c r="I41" s="63">
        <v>56</v>
      </c>
      <c r="J41" s="462">
        <f>SUM(D41:I41)</f>
        <v>630</v>
      </c>
      <c r="K41" s="670"/>
      <c r="L41" s="675">
        <f>SUM(J41:K41)</f>
        <v>630</v>
      </c>
      <c r="M41" s="662"/>
      <c r="N41" s="662"/>
      <c r="O41" s="662"/>
      <c r="P41" s="662"/>
      <c r="Q41" s="662"/>
      <c r="R41" s="662"/>
      <c r="S41" s="662"/>
      <c r="T41" s="662"/>
      <c r="U41" s="662"/>
    </row>
    <row r="42" spans="2:30" ht="16" thickBot="1" x14ac:dyDescent="0.4">
      <c r="B42" s="791"/>
      <c r="C42" s="409" t="s">
        <v>13</v>
      </c>
      <c r="D42" s="65">
        <f t="shared" ref="D42:H44" si="22">+D41/31</f>
        <v>4.645161290322581</v>
      </c>
      <c r="E42" s="65">
        <f t="shared" si="22"/>
        <v>3.4193548387096775</v>
      </c>
      <c r="F42" s="65">
        <f t="shared" si="22"/>
        <v>6.4516129032258061</v>
      </c>
      <c r="G42" s="65">
        <f t="shared" si="22"/>
        <v>3.3870967741935485</v>
      </c>
      <c r="H42" s="65">
        <f t="shared" si="22"/>
        <v>0.61290322580645162</v>
      </c>
      <c r="I42" s="65"/>
      <c r="J42" s="65">
        <f>+J41/31</f>
        <v>20.322580645161292</v>
      </c>
      <c r="K42" s="659">
        <f>+K41/31</f>
        <v>0</v>
      </c>
      <c r="L42" s="65">
        <f>+L41/31</f>
        <v>20.322580645161292</v>
      </c>
      <c r="M42" s="663"/>
      <c r="N42" s="663"/>
      <c r="O42" s="663"/>
      <c r="P42" s="663"/>
      <c r="Q42" s="663"/>
      <c r="R42" s="663"/>
      <c r="S42" s="663"/>
      <c r="T42" s="663"/>
      <c r="U42" s="663"/>
    </row>
    <row r="43" spans="2:30" ht="15.5" x14ac:dyDescent="0.35">
      <c r="B43" s="789">
        <v>44197</v>
      </c>
      <c r="C43" s="13" t="s">
        <v>11</v>
      </c>
      <c r="D43" s="14"/>
      <c r="E43" s="14"/>
      <c r="F43" s="14"/>
      <c r="G43" s="14"/>
      <c r="H43" s="14"/>
      <c r="I43" s="14"/>
      <c r="J43" s="14">
        <f>SUM(D43:H43)</f>
        <v>0</v>
      </c>
      <c r="K43" s="671"/>
      <c r="L43" s="414">
        <f t="shared" ref="L43:L45" si="23">SUM(J43:K43)</f>
        <v>0</v>
      </c>
      <c r="M43" s="662"/>
      <c r="N43" s="662"/>
      <c r="O43" s="662"/>
      <c r="P43" s="662"/>
      <c r="Q43" s="662"/>
      <c r="R43" s="662"/>
      <c r="S43" s="662"/>
      <c r="T43" s="662"/>
      <c r="U43" s="662"/>
    </row>
    <row r="44" spans="2:30" ht="15.5" x14ac:dyDescent="0.35">
      <c r="B44" s="790"/>
      <c r="C44" s="52" t="s">
        <v>156</v>
      </c>
      <c r="D44" s="419">
        <f t="shared" si="22"/>
        <v>0</v>
      </c>
      <c r="E44" s="419">
        <f t="shared" si="22"/>
        <v>0</v>
      </c>
      <c r="F44" s="419">
        <f t="shared" si="22"/>
        <v>0</v>
      </c>
      <c r="G44" s="419">
        <f t="shared" si="22"/>
        <v>0</v>
      </c>
      <c r="H44" s="419">
        <f t="shared" si="22"/>
        <v>0</v>
      </c>
      <c r="I44" s="419"/>
      <c r="J44" s="419">
        <f>+J43/31</f>
        <v>0</v>
      </c>
      <c r="K44" s="669">
        <f>+K43/31</f>
        <v>0</v>
      </c>
      <c r="L44" s="674">
        <f>+L43/31</f>
        <v>0</v>
      </c>
      <c r="M44" s="663"/>
      <c r="N44" s="663"/>
      <c r="O44" s="663"/>
      <c r="P44" s="663"/>
      <c r="Q44" s="663"/>
      <c r="R44" s="663"/>
      <c r="S44" s="663"/>
      <c r="T44" s="663"/>
      <c r="U44" s="663"/>
      <c r="AD44">
        <f>366-91</f>
        <v>275</v>
      </c>
    </row>
    <row r="45" spans="2:30" ht="16" thickBot="1" x14ac:dyDescent="0.4">
      <c r="B45" s="790"/>
      <c r="C45" s="20" t="s">
        <v>12</v>
      </c>
      <c r="D45" s="21"/>
      <c r="E45" s="21"/>
      <c r="F45" s="21"/>
      <c r="G45" s="21"/>
      <c r="H45" s="21"/>
      <c r="I45" s="21"/>
      <c r="J45" s="21">
        <f>SUM(D45:H45)</f>
        <v>0</v>
      </c>
      <c r="K45" s="670"/>
      <c r="L45" s="675">
        <f t="shared" si="23"/>
        <v>0</v>
      </c>
      <c r="M45" s="662"/>
      <c r="N45" s="662"/>
      <c r="O45" s="662"/>
      <c r="P45" s="662"/>
      <c r="Q45" s="662"/>
      <c r="R45" s="662"/>
      <c r="S45" s="662"/>
      <c r="T45" s="662"/>
      <c r="U45" s="662"/>
    </row>
    <row r="46" spans="2:30" ht="16" thickBot="1" x14ac:dyDescent="0.4">
      <c r="B46" s="791"/>
      <c r="C46" s="409" t="s">
        <v>13</v>
      </c>
      <c r="D46" s="65">
        <f t="shared" ref="D46:H46" si="24">+D45/31</f>
        <v>0</v>
      </c>
      <c r="E46" s="65">
        <f t="shared" si="24"/>
        <v>0</v>
      </c>
      <c r="F46" s="65">
        <f t="shared" si="24"/>
        <v>0</v>
      </c>
      <c r="G46" s="65">
        <f t="shared" si="24"/>
        <v>0</v>
      </c>
      <c r="H46" s="65">
        <f t="shared" si="24"/>
        <v>0</v>
      </c>
      <c r="I46" s="65"/>
      <c r="J46" s="65">
        <f>+J45/31</f>
        <v>0</v>
      </c>
      <c r="K46" s="659">
        <f>+K45/31</f>
        <v>0</v>
      </c>
      <c r="L46" s="65">
        <f>+L45/31</f>
        <v>0</v>
      </c>
      <c r="M46" s="663"/>
      <c r="N46" s="663"/>
      <c r="O46" s="663"/>
      <c r="P46" s="663"/>
      <c r="Q46" s="663"/>
      <c r="R46" s="663"/>
      <c r="S46" s="663"/>
      <c r="T46" s="663"/>
      <c r="U46" s="663"/>
    </row>
    <row r="47" spans="2:30" ht="15.5" x14ac:dyDescent="0.35">
      <c r="B47" s="789">
        <v>44228</v>
      </c>
      <c r="C47" s="13" t="s">
        <v>11</v>
      </c>
      <c r="D47" s="14"/>
      <c r="E47" s="14"/>
      <c r="F47" s="14"/>
      <c r="G47" s="14"/>
      <c r="H47" s="14"/>
      <c r="I47" s="14"/>
      <c r="J47" s="14">
        <f>SUM(D47:H47)</f>
        <v>0</v>
      </c>
      <c r="K47" s="671"/>
      <c r="L47" s="414">
        <f t="shared" ref="L47" si="25">SUM(J47:K47)</f>
        <v>0</v>
      </c>
      <c r="M47" s="662"/>
      <c r="N47" s="662"/>
      <c r="O47" s="662"/>
      <c r="P47" s="662"/>
      <c r="Q47" s="662"/>
      <c r="R47" s="662"/>
      <c r="S47" s="662"/>
      <c r="T47" s="662"/>
      <c r="U47" s="662"/>
    </row>
    <row r="48" spans="2:30" ht="15.5" x14ac:dyDescent="0.35">
      <c r="B48" s="790"/>
      <c r="C48" s="52" t="s">
        <v>156</v>
      </c>
      <c r="D48" s="419">
        <f>+D47/29</f>
        <v>0</v>
      </c>
      <c r="E48" s="419">
        <f t="shared" ref="E48:H48" si="26">+E47/29</f>
        <v>0</v>
      </c>
      <c r="F48" s="419">
        <f t="shared" si="26"/>
        <v>0</v>
      </c>
      <c r="G48" s="419">
        <f t="shared" si="26"/>
        <v>0</v>
      </c>
      <c r="H48" s="419">
        <f t="shared" si="26"/>
        <v>0</v>
      </c>
      <c r="I48" s="419"/>
      <c r="J48" s="419">
        <f>+J47/29</f>
        <v>0</v>
      </c>
      <c r="K48" s="658">
        <f>+K47/29</f>
        <v>0</v>
      </c>
      <c r="L48" s="419">
        <f>+L47/29</f>
        <v>0</v>
      </c>
      <c r="M48" s="663"/>
      <c r="N48" s="663"/>
      <c r="O48" s="663"/>
      <c r="P48" s="663"/>
      <c r="Q48" s="663"/>
      <c r="R48" s="663"/>
      <c r="S48" s="663"/>
      <c r="T48" s="663"/>
      <c r="U48" s="663"/>
    </row>
    <row r="49" spans="2:23" ht="16" thickBot="1" x14ac:dyDescent="0.4">
      <c r="B49" s="790"/>
      <c r="C49" s="20" t="s">
        <v>12</v>
      </c>
      <c r="D49" s="21"/>
      <c r="E49" s="21"/>
      <c r="F49" s="21"/>
      <c r="G49" s="21"/>
      <c r="H49" s="21"/>
      <c r="I49" s="21"/>
      <c r="J49" s="21">
        <f>SUM(D49:H49)</f>
        <v>0</v>
      </c>
      <c r="K49" s="673"/>
      <c r="L49" s="675">
        <f t="shared" ref="L49" si="27">SUM(J49:K49)</f>
        <v>0</v>
      </c>
      <c r="M49" s="662"/>
      <c r="N49" s="662"/>
      <c r="O49" s="662"/>
      <c r="P49" s="662"/>
      <c r="Q49" s="662"/>
      <c r="R49" s="662"/>
      <c r="S49" s="662"/>
      <c r="T49" s="662"/>
      <c r="U49" s="662"/>
    </row>
    <row r="50" spans="2:23" ht="16" thickBot="1" x14ac:dyDescent="0.4">
      <c r="B50" s="791"/>
      <c r="C50" s="409" t="s">
        <v>13</v>
      </c>
      <c r="D50" s="65">
        <f>+D49/29</f>
        <v>0</v>
      </c>
      <c r="E50" s="65">
        <f t="shared" ref="E50:H50" si="28">+E49/29</f>
        <v>0</v>
      </c>
      <c r="F50" s="65">
        <f t="shared" si="28"/>
        <v>0</v>
      </c>
      <c r="G50" s="65">
        <f t="shared" si="28"/>
        <v>0</v>
      </c>
      <c r="H50" s="65">
        <f t="shared" si="28"/>
        <v>0</v>
      </c>
      <c r="I50" s="65"/>
      <c r="J50" s="65">
        <f>+J49/29</f>
        <v>0</v>
      </c>
      <c r="K50" s="659">
        <f>+K49/29</f>
        <v>0</v>
      </c>
      <c r="L50" s="65">
        <f>+L49/29</f>
        <v>0</v>
      </c>
      <c r="M50" s="663"/>
      <c r="N50" s="663"/>
      <c r="O50" s="663"/>
      <c r="P50" s="663"/>
      <c r="Q50" s="663"/>
      <c r="R50" s="663"/>
      <c r="S50" s="663"/>
      <c r="T50" s="663"/>
      <c r="U50" s="663"/>
    </row>
    <row r="51" spans="2:23" ht="15.5" x14ac:dyDescent="0.35">
      <c r="B51" s="789">
        <v>44256</v>
      </c>
      <c r="C51" s="13" t="s">
        <v>11</v>
      </c>
      <c r="D51" s="14"/>
      <c r="E51" s="14"/>
      <c r="F51" s="14"/>
      <c r="G51" s="14"/>
      <c r="H51" s="14"/>
      <c r="I51" s="14"/>
      <c r="J51" s="14">
        <f>SUM(D51:H51)</f>
        <v>0</v>
      </c>
      <c r="K51" s="671"/>
      <c r="L51" s="414">
        <f t="shared" ref="L51" si="29">SUM(J51:K51)</f>
        <v>0</v>
      </c>
      <c r="M51" s="662"/>
      <c r="N51" s="662"/>
      <c r="O51" s="662"/>
      <c r="P51" s="662"/>
      <c r="Q51" s="662"/>
      <c r="R51" s="662"/>
      <c r="S51" s="662"/>
      <c r="T51" s="662"/>
      <c r="U51" s="662"/>
    </row>
    <row r="52" spans="2:23" ht="15.5" x14ac:dyDescent="0.35">
      <c r="B52" s="790"/>
      <c r="C52" s="52" t="s">
        <v>156</v>
      </c>
      <c r="D52" s="419">
        <f t="shared" ref="D52:H52" si="30">+D51/31</f>
        <v>0</v>
      </c>
      <c r="E52" s="419">
        <f t="shared" si="30"/>
        <v>0</v>
      </c>
      <c r="F52" s="419">
        <f t="shared" si="30"/>
        <v>0</v>
      </c>
      <c r="G52" s="419">
        <f t="shared" si="30"/>
        <v>0</v>
      </c>
      <c r="H52" s="419">
        <f t="shared" si="30"/>
        <v>0</v>
      </c>
      <c r="I52" s="419"/>
      <c r="J52" s="419">
        <f>+J51/31</f>
        <v>0</v>
      </c>
      <c r="K52" s="669">
        <f>+K51/31</f>
        <v>0</v>
      </c>
      <c r="L52" s="674">
        <f>+L51/31</f>
        <v>0</v>
      </c>
      <c r="M52" s="663"/>
      <c r="N52" s="663"/>
      <c r="O52" s="663"/>
      <c r="P52" s="663"/>
      <c r="Q52" s="663"/>
      <c r="R52" s="663"/>
      <c r="S52" s="663"/>
      <c r="T52" s="663"/>
      <c r="U52" s="663"/>
    </row>
    <row r="53" spans="2:23" ht="16" thickBot="1" x14ac:dyDescent="0.4">
      <c r="B53" s="790"/>
      <c r="C53" s="20" t="s">
        <v>12</v>
      </c>
      <c r="D53" s="21"/>
      <c r="E53" s="21"/>
      <c r="F53" s="21"/>
      <c r="G53" s="21"/>
      <c r="H53" s="21"/>
      <c r="I53" s="21"/>
      <c r="J53" s="21">
        <f>SUM(D53:I53)</f>
        <v>0</v>
      </c>
      <c r="K53" s="670"/>
      <c r="L53" s="675">
        <f t="shared" ref="L53" si="31">SUM(J53:K53)</f>
        <v>0</v>
      </c>
      <c r="M53" s="662"/>
      <c r="N53" s="662"/>
      <c r="O53" s="662"/>
      <c r="P53" s="662"/>
      <c r="Q53" s="662"/>
      <c r="R53" s="662"/>
      <c r="S53" s="662"/>
      <c r="T53" s="662"/>
      <c r="U53" s="662"/>
    </row>
    <row r="54" spans="2:23" ht="16" thickBot="1" x14ac:dyDescent="0.4">
      <c r="B54" s="791"/>
      <c r="C54" s="409" t="s">
        <v>13</v>
      </c>
      <c r="D54" s="65">
        <f t="shared" ref="D54:H54" si="32">+D53/31</f>
        <v>0</v>
      </c>
      <c r="E54" s="65">
        <f t="shared" si="32"/>
        <v>0</v>
      </c>
      <c r="F54" s="65">
        <f t="shared" si="32"/>
        <v>0</v>
      </c>
      <c r="G54" s="65">
        <f t="shared" si="32"/>
        <v>0</v>
      </c>
      <c r="H54" s="65">
        <f t="shared" si="32"/>
        <v>0</v>
      </c>
      <c r="I54" s="65"/>
      <c r="J54" s="65">
        <f>+J53/31</f>
        <v>0</v>
      </c>
      <c r="K54" s="659">
        <f>+K53/31</f>
        <v>0</v>
      </c>
      <c r="L54" s="65">
        <f>+L53/31</f>
        <v>0</v>
      </c>
      <c r="M54" s="663"/>
      <c r="N54" s="663"/>
      <c r="O54" s="663"/>
      <c r="P54" s="663"/>
      <c r="Q54" s="663"/>
      <c r="R54" s="663"/>
      <c r="S54" s="663"/>
      <c r="T54" s="663"/>
      <c r="U54" s="663"/>
    </row>
    <row r="55" spans="2:23" ht="15.5" x14ac:dyDescent="0.35">
      <c r="B55" s="789" t="s">
        <v>203</v>
      </c>
      <c r="C55" s="13" t="s">
        <v>11</v>
      </c>
      <c r="D55" s="14">
        <f>+D7+D11+D15+D19+D23+D27+D31+D35+D39+D43+D47+D51</f>
        <v>1485</v>
      </c>
      <c r="E55" s="14">
        <f t="shared" ref="E55:H55" si="33">+E7+E11+E15+E19+E23+E27+E31+E35+E39+E43+E47+E51</f>
        <v>720</v>
      </c>
      <c r="F55" s="14">
        <f t="shared" si="33"/>
        <v>1485</v>
      </c>
      <c r="G55" s="14">
        <f t="shared" si="33"/>
        <v>1170</v>
      </c>
      <c r="H55" s="14">
        <f t="shared" si="33"/>
        <v>270</v>
      </c>
      <c r="I55" s="14"/>
      <c r="J55" s="14">
        <f>+J7+J11+J15+J19+J23+J27+J31+J35+J39+J43+J47+J51</f>
        <v>5130</v>
      </c>
      <c r="K55" s="660">
        <f>+K7+K11+K15+K19+K23+K27+K31+K35+K39+K43+K47+K51</f>
        <v>0</v>
      </c>
      <c r="L55" s="14">
        <f>+L7+L11+L15+L19+L23+L27+L31+L35+L39+L43+L47+L51</f>
        <v>5130</v>
      </c>
      <c r="M55" s="662"/>
      <c r="N55" s="662"/>
      <c r="O55" s="662"/>
      <c r="P55" s="662"/>
      <c r="Q55" s="662"/>
      <c r="R55" s="662"/>
      <c r="S55" s="662"/>
      <c r="T55" s="662"/>
      <c r="U55" s="662"/>
    </row>
    <row r="56" spans="2:23" ht="16" thickBot="1" x14ac:dyDescent="0.4">
      <c r="B56" s="790"/>
      <c r="C56" s="52" t="s">
        <v>156</v>
      </c>
      <c r="D56" s="419">
        <f>+D55/275</f>
        <v>5.4</v>
      </c>
      <c r="E56" s="419">
        <f t="shared" ref="E56:H56" si="34">+E55/275</f>
        <v>2.6181818181818182</v>
      </c>
      <c r="F56" s="419">
        <f t="shared" si="34"/>
        <v>5.4</v>
      </c>
      <c r="G56" s="419">
        <f t="shared" si="34"/>
        <v>4.2545454545454549</v>
      </c>
      <c r="H56" s="419">
        <f t="shared" si="34"/>
        <v>0.98181818181818181</v>
      </c>
      <c r="I56" s="419"/>
      <c r="J56" s="419">
        <f>+J55/275</f>
        <v>18.654545454545456</v>
      </c>
      <c r="K56" s="669">
        <f>+K55/275</f>
        <v>0</v>
      </c>
      <c r="L56" s="674">
        <f>+L55/275</f>
        <v>18.654545454545456</v>
      </c>
      <c r="M56" s="663"/>
      <c r="N56" s="663"/>
      <c r="O56" s="663"/>
      <c r="P56" s="663"/>
      <c r="Q56" s="663"/>
      <c r="R56" s="663"/>
      <c r="S56" s="663"/>
      <c r="T56" s="663"/>
      <c r="U56" s="663"/>
    </row>
    <row r="57" spans="2:23" ht="16" thickBot="1" x14ac:dyDescent="0.4">
      <c r="B57" s="790"/>
      <c r="C57" s="20" t="s">
        <v>12</v>
      </c>
      <c r="D57" s="14">
        <f t="shared" ref="D57:I57" si="35">+D9+D13+D17+D21+D25+D29+D33+D37+D41+D45+D49+D53</f>
        <v>1075</v>
      </c>
      <c r="E57" s="14">
        <f t="shared" si="35"/>
        <v>708</v>
      </c>
      <c r="F57" s="14">
        <f t="shared" si="35"/>
        <v>1276</v>
      </c>
      <c r="G57" s="14">
        <f t="shared" si="35"/>
        <v>764</v>
      </c>
      <c r="H57" s="14">
        <f t="shared" si="35"/>
        <v>93</v>
      </c>
      <c r="I57" s="14">
        <f t="shared" si="35"/>
        <v>386</v>
      </c>
      <c r="J57" s="594">
        <f>+J9+J13+J17+J21+J25+J29+J33+J37+J41+J45+J49+J53</f>
        <v>4302</v>
      </c>
      <c r="K57" s="660">
        <f>+K9+K13+K17+K21+K25+K29+K33+K37+K41+K45+K49+K53</f>
        <v>366</v>
      </c>
      <c r="L57" s="14">
        <f>+L9+L13+L17+L21+L25+L29+L33+L37+L41+L45+L49+L53</f>
        <v>4668</v>
      </c>
      <c r="M57" s="662"/>
      <c r="N57" s="662"/>
      <c r="O57" s="662"/>
      <c r="P57" s="662"/>
      <c r="Q57" s="662"/>
      <c r="R57" s="662"/>
      <c r="S57" s="662"/>
      <c r="T57" s="662"/>
      <c r="U57" s="662"/>
    </row>
    <row r="58" spans="2:23" ht="16" thickBot="1" x14ac:dyDescent="0.4">
      <c r="B58" s="791"/>
      <c r="C58" s="409" t="s">
        <v>13</v>
      </c>
      <c r="D58" s="65">
        <f t="shared" ref="D58:H58" si="36">+D57/275</f>
        <v>3.9090909090909092</v>
      </c>
      <c r="E58" s="65">
        <f t="shared" si="36"/>
        <v>2.5745454545454547</v>
      </c>
      <c r="F58" s="65">
        <f t="shared" si="36"/>
        <v>4.6399999999999997</v>
      </c>
      <c r="G58" s="65">
        <f t="shared" si="36"/>
        <v>2.7781818181818183</v>
      </c>
      <c r="H58" s="65">
        <f t="shared" si="36"/>
        <v>0.33818181818181819</v>
      </c>
      <c r="I58" s="65"/>
      <c r="J58" s="65">
        <f>+J57/275</f>
        <v>15.643636363636364</v>
      </c>
      <c r="K58" s="659">
        <f>+K57/275</f>
        <v>1.3309090909090908</v>
      </c>
      <c r="L58" s="65">
        <f>+L57/275</f>
        <v>16.974545454545453</v>
      </c>
      <c r="M58" s="663"/>
      <c r="N58" s="663"/>
      <c r="O58" s="663"/>
      <c r="P58" s="663"/>
      <c r="Q58" s="663"/>
      <c r="R58" s="663"/>
      <c r="S58" s="663"/>
      <c r="T58" s="663"/>
      <c r="U58" s="663"/>
    </row>
    <row r="64" spans="2:23" x14ac:dyDescent="0.35"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</row>
    <row r="65" spans="2:41" x14ac:dyDescent="0.35">
      <c r="E65">
        <v>30</v>
      </c>
      <c r="G65">
        <v>31</v>
      </c>
      <c r="I65" s="500">
        <v>30</v>
      </c>
      <c r="J65" s="500"/>
      <c r="K65" s="500">
        <v>31</v>
      </c>
      <c r="L65" s="500"/>
      <c r="M65" s="500">
        <v>31</v>
      </c>
      <c r="N65" s="500"/>
      <c r="O65" s="504">
        <v>30</v>
      </c>
      <c r="P65" s="500"/>
      <c r="Q65" s="500">
        <v>31</v>
      </c>
      <c r="R65" s="500"/>
      <c r="S65" s="500">
        <v>30</v>
      </c>
      <c r="T65" s="500"/>
      <c r="U65" s="500">
        <v>31</v>
      </c>
      <c r="W65" s="500">
        <v>31</v>
      </c>
      <c r="Y65">
        <v>28</v>
      </c>
      <c r="AA65">
        <v>31</v>
      </c>
      <c r="AJ65">
        <f>SUM(E65:AI65)</f>
        <v>365</v>
      </c>
    </row>
    <row r="66" spans="2:41" x14ac:dyDescent="0.35"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4"/>
      <c r="W66" s="500"/>
    </row>
    <row r="67" spans="2:41" ht="18.5" x14ac:dyDescent="0.45">
      <c r="B67" s="811" t="s">
        <v>205</v>
      </c>
      <c r="C67" s="811"/>
      <c r="D67" s="811"/>
      <c r="E67" s="811"/>
      <c r="F67" s="811"/>
      <c r="G67" s="811"/>
      <c r="H67" s="811"/>
      <c r="I67" s="811"/>
      <c r="J67" s="811"/>
      <c r="K67" s="811"/>
      <c r="L67" s="811"/>
      <c r="M67" s="811"/>
      <c r="N67" s="811"/>
      <c r="O67" s="811"/>
      <c r="P67" s="811"/>
      <c r="Q67" s="811"/>
      <c r="R67" s="811"/>
      <c r="S67" s="811"/>
      <c r="T67" s="811"/>
      <c r="U67" s="811"/>
      <c r="V67" s="811"/>
      <c r="W67" s="811"/>
      <c r="X67" s="811"/>
      <c r="Y67" s="811"/>
      <c r="Z67" s="811"/>
      <c r="AA67" s="811"/>
      <c r="AB67" s="811"/>
      <c r="AC67" s="811"/>
      <c r="AD67" s="811"/>
      <c r="AE67" s="811"/>
      <c r="AF67" s="811"/>
      <c r="AG67" s="811"/>
      <c r="AH67" s="811"/>
      <c r="AI67" s="811"/>
      <c r="AJ67" s="811"/>
      <c r="AK67" s="811"/>
      <c r="AL67" s="811"/>
      <c r="AM67" s="811"/>
      <c r="AN67" s="811"/>
      <c r="AO67" s="811"/>
    </row>
    <row r="68" spans="2:41" ht="15" thickBot="1" x14ac:dyDescent="0.4">
      <c r="B68" s="388"/>
      <c r="C68" s="388"/>
      <c r="D68" s="388"/>
      <c r="E68" s="388"/>
      <c r="F68" s="388"/>
      <c r="G68" s="388"/>
      <c r="H68" s="388"/>
      <c r="I68" s="388"/>
      <c r="J68" s="388"/>
      <c r="K68" s="388"/>
      <c r="L68" s="388"/>
      <c r="M68" s="388"/>
      <c r="N68" s="388"/>
      <c r="O68" s="388"/>
      <c r="P68" s="388"/>
      <c r="Q68" s="388"/>
      <c r="R68" s="388"/>
      <c r="S68" s="388"/>
      <c r="T68" s="388"/>
      <c r="U68" s="388"/>
      <c r="V68" s="388"/>
      <c r="W68" s="388"/>
      <c r="X68" s="388"/>
      <c r="Y68" s="388"/>
      <c r="Z68" s="388"/>
      <c r="AA68" s="388"/>
      <c r="AB68" s="388"/>
      <c r="AC68" s="388"/>
      <c r="AH68" s="388"/>
      <c r="AI68" s="388"/>
      <c r="AJ68" s="388"/>
      <c r="AK68" s="388"/>
      <c r="AL68" s="388"/>
      <c r="AM68" s="388"/>
      <c r="AN68" s="388"/>
      <c r="AO68" s="388"/>
    </row>
    <row r="69" spans="2:41" x14ac:dyDescent="0.35">
      <c r="B69" s="388"/>
      <c r="C69" s="388"/>
      <c r="D69" s="807">
        <v>43922</v>
      </c>
      <c r="E69" s="808"/>
      <c r="F69" s="807">
        <v>43952</v>
      </c>
      <c r="G69" s="808"/>
      <c r="H69" s="807">
        <v>43983</v>
      </c>
      <c r="I69" s="808"/>
      <c r="J69" s="807">
        <v>44013</v>
      </c>
      <c r="K69" s="808"/>
      <c r="L69" s="807">
        <v>44044</v>
      </c>
      <c r="M69" s="808"/>
      <c r="N69" s="807">
        <v>44075</v>
      </c>
      <c r="O69" s="808"/>
      <c r="P69" s="807">
        <v>44105</v>
      </c>
      <c r="Q69" s="808"/>
      <c r="R69" s="807">
        <v>44136</v>
      </c>
      <c r="S69" s="808"/>
      <c r="T69" s="807">
        <v>44166</v>
      </c>
      <c r="U69" s="808"/>
      <c r="V69" s="807">
        <v>44197</v>
      </c>
      <c r="W69" s="808"/>
      <c r="X69" s="807">
        <v>44228</v>
      </c>
      <c r="Y69" s="808"/>
      <c r="Z69" s="743">
        <v>44256</v>
      </c>
      <c r="AA69" s="744"/>
      <c r="AB69" s="745" t="s">
        <v>206</v>
      </c>
      <c r="AC69" s="746"/>
      <c r="AD69" s="759" t="s">
        <v>143</v>
      </c>
      <c r="AE69" s="759" t="s">
        <v>145</v>
      </c>
      <c r="AF69" s="759" t="s">
        <v>146</v>
      </c>
      <c r="AG69" s="759" t="s">
        <v>148</v>
      </c>
    </row>
    <row r="70" spans="2:41" ht="16" thickBot="1" x14ac:dyDescent="0.4">
      <c r="B70" s="389"/>
      <c r="C70" s="388"/>
      <c r="D70" s="390" t="s">
        <v>123</v>
      </c>
      <c r="E70" s="391" t="s">
        <v>124</v>
      </c>
      <c r="F70" s="392" t="s">
        <v>123</v>
      </c>
      <c r="G70" s="393" t="s">
        <v>124</v>
      </c>
      <c r="H70" s="390" t="s">
        <v>123</v>
      </c>
      <c r="I70" s="391" t="s">
        <v>124</v>
      </c>
      <c r="J70" s="392" t="s">
        <v>123</v>
      </c>
      <c r="K70" s="393" t="s">
        <v>124</v>
      </c>
      <c r="L70" s="390" t="s">
        <v>123</v>
      </c>
      <c r="M70" s="391" t="s">
        <v>124</v>
      </c>
      <c r="N70" s="392" t="s">
        <v>123</v>
      </c>
      <c r="O70" s="393" t="s">
        <v>124</v>
      </c>
      <c r="P70" s="390" t="s">
        <v>123</v>
      </c>
      <c r="Q70" s="391" t="s">
        <v>124</v>
      </c>
      <c r="R70" s="392" t="s">
        <v>123</v>
      </c>
      <c r="S70" s="393" t="s">
        <v>124</v>
      </c>
      <c r="T70" s="390" t="s">
        <v>123</v>
      </c>
      <c r="U70" s="391" t="s">
        <v>124</v>
      </c>
      <c r="V70" s="392" t="s">
        <v>123</v>
      </c>
      <c r="W70" s="393" t="s">
        <v>124</v>
      </c>
      <c r="X70" s="390" t="s">
        <v>123</v>
      </c>
      <c r="Y70" s="391" t="s">
        <v>124</v>
      </c>
      <c r="Z70" s="392" t="s">
        <v>123</v>
      </c>
      <c r="AA70" s="393" t="s">
        <v>124</v>
      </c>
      <c r="AB70" s="390" t="s">
        <v>123</v>
      </c>
      <c r="AC70" s="391" t="s">
        <v>124</v>
      </c>
      <c r="AD70" s="2"/>
      <c r="AE70" s="2"/>
      <c r="AF70" s="2"/>
      <c r="AG70" s="2"/>
    </row>
    <row r="71" spans="2:41" x14ac:dyDescent="0.35">
      <c r="B71" s="793" t="s">
        <v>42</v>
      </c>
      <c r="C71" s="394" t="s">
        <v>90</v>
      </c>
      <c r="D71" s="461">
        <v>25</v>
      </c>
      <c r="E71" s="302">
        <v>17</v>
      </c>
      <c r="F71" s="461">
        <v>25</v>
      </c>
      <c r="G71" s="396">
        <v>7</v>
      </c>
      <c r="H71" s="461">
        <v>25</v>
      </c>
      <c r="I71" s="302">
        <v>9</v>
      </c>
      <c r="J71" s="461">
        <v>25</v>
      </c>
      <c r="K71" s="302">
        <v>14</v>
      </c>
      <c r="L71" s="461">
        <v>25</v>
      </c>
      <c r="M71" s="302">
        <v>19</v>
      </c>
      <c r="N71" s="461">
        <v>25</v>
      </c>
      <c r="O71" s="396">
        <v>21</v>
      </c>
      <c r="P71" s="461">
        <v>25</v>
      </c>
      <c r="Q71" s="302">
        <v>21</v>
      </c>
      <c r="R71" s="461">
        <v>25</v>
      </c>
      <c r="S71" s="396">
        <v>25</v>
      </c>
      <c r="T71" s="461">
        <v>25</v>
      </c>
      <c r="U71" s="302">
        <v>22</v>
      </c>
      <c r="V71" s="461">
        <v>25</v>
      </c>
      <c r="W71" s="396">
        <v>21</v>
      </c>
      <c r="X71" s="461">
        <v>25</v>
      </c>
      <c r="Y71" s="302">
        <v>18</v>
      </c>
      <c r="Z71" s="461">
        <v>25</v>
      </c>
      <c r="AA71" s="396">
        <v>24</v>
      </c>
      <c r="AB71" s="750">
        <f>+D71+F71+H71+J71+L71+N71+P71+R71+T71+V71+X71+Z71</f>
        <v>300</v>
      </c>
      <c r="AC71" s="398">
        <f>+E71+G71+I71+K71+M71+O71+Q71+S71+U71+W71+Y71+AA71</f>
        <v>218</v>
      </c>
      <c r="AD71" s="2"/>
      <c r="AE71" s="2"/>
      <c r="AF71" s="2"/>
      <c r="AG71" s="2"/>
    </row>
    <row r="72" spans="2:41" x14ac:dyDescent="0.35">
      <c r="B72" s="794"/>
      <c r="C72" s="399" t="s">
        <v>92</v>
      </c>
      <c r="D72" s="599">
        <v>60</v>
      </c>
      <c r="E72" s="310">
        <v>30</v>
      </c>
      <c r="F72" s="599">
        <v>60</v>
      </c>
      <c r="G72" s="400">
        <v>34</v>
      </c>
      <c r="H72" s="599">
        <v>60</v>
      </c>
      <c r="I72" s="310">
        <v>45</v>
      </c>
      <c r="J72" s="741">
        <v>60</v>
      </c>
      <c r="K72" s="310">
        <v>51</v>
      </c>
      <c r="L72" s="741">
        <v>60</v>
      </c>
      <c r="M72" s="310">
        <v>53</v>
      </c>
      <c r="N72" s="741">
        <v>60</v>
      </c>
      <c r="O72" s="400">
        <v>70</v>
      </c>
      <c r="P72" s="741">
        <v>60</v>
      </c>
      <c r="Q72" s="310">
        <v>73</v>
      </c>
      <c r="R72" s="742">
        <v>60</v>
      </c>
      <c r="S72" s="400">
        <v>85</v>
      </c>
      <c r="T72" s="750">
        <v>60</v>
      </c>
      <c r="U72" s="310">
        <v>77</v>
      </c>
      <c r="V72" s="752">
        <v>60</v>
      </c>
      <c r="W72" s="400">
        <v>90</v>
      </c>
      <c r="X72" s="754">
        <v>60</v>
      </c>
      <c r="Y72" s="310">
        <v>75</v>
      </c>
      <c r="Z72" s="761">
        <v>60</v>
      </c>
      <c r="AA72" s="400">
        <v>73</v>
      </c>
      <c r="AB72" s="750">
        <f>+D72+F72+H72+J72+L72+N72+P72+R72+T72+V72+X72+Z72</f>
        <v>720</v>
      </c>
      <c r="AC72" s="401">
        <f>+E72+G72+I72+K72+M72+O72+Q72+S72+U72+W72+Y72+AA72</f>
        <v>756</v>
      </c>
      <c r="AD72" s="2"/>
      <c r="AE72" s="2"/>
      <c r="AF72" s="2"/>
      <c r="AG72" s="2"/>
    </row>
    <row r="73" spans="2:41" ht="15" thickBot="1" x14ac:dyDescent="0.4">
      <c r="B73" s="794"/>
      <c r="C73" s="612" t="s">
        <v>125</v>
      </c>
      <c r="D73" s="613">
        <f t="shared" ref="D73:I73" si="37">SUM(D71:D72)</f>
        <v>85</v>
      </c>
      <c r="E73" s="614">
        <f t="shared" si="37"/>
        <v>47</v>
      </c>
      <c r="F73" s="613">
        <f t="shared" ref="F73" si="38">SUM(F71:F72)</f>
        <v>85</v>
      </c>
      <c r="G73" s="615">
        <f t="shared" si="37"/>
        <v>41</v>
      </c>
      <c r="H73" s="613">
        <f t="shared" ref="H73:J73" si="39">SUM(H71:H72)</f>
        <v>85</v>
      </c>
      <c r="I73" s="615">
        <f t="shared" si="37"/>
        <v>54</v>
      </c>
      <c r="J73" s="613">
        <f t="shared" si="39"/>
        <v>85</v>
      </c>
      <c r="K73" s="615">
        <f>SUM(K71:K72)</f>
        <v>65</v>
      </c>
      <c r="L73" s="613">
        <f t="shared" ref="L73" si="40">SUM(L71:L72)</f>
        <v>85</v>
      </c>
      <c r="M73" s="617">
        <f>SUM(M71:M72)</f>
        <v>72</v>
      </c>
      <c r="N73" s="613">
        <f t="shared" ref="N73" si="41">SUM(N71:N72)</f>
        <v>85</v>
      </c>
      <c r="O73" s="618">
        <f>SUM(O71:O72)</f>
        <v>91</v>
      </c>
      <c r="P73" s="613">
        <f t="shared" ref="P73" si="42">SUM(P71:P72)</f>
        <v>85</v>
      </c>
      <c r="Q73" s="617">
        <f>SUM(Q71:Q72)</f>
        <v>94</v>
      </c>
      <c r="R73" s="616">
        <f t="shared" ref="R73" si="43">SUM(R71:R72)</f>
        <v>85</v>
      </c>
      <c r="S73" s="618">
        <f>SUM(S71:S72)</f>
        <v>110</v>
      </c>
      <c r="T73" s="616">
        <f t="shared" ref="T73:V73" si="44">SUM(T71:T72)</f>
        <v>85</v>
      </c>
      <c r="U73" s="617">
        <f>SUM(U71:U72)</f>
        <v>99</v>
      </c>
      <c r="V73" s="616">
        <f t="shared" si="44"/>
        <v>85</v>
      </c>
      <c r="W73" s="618">
        <f>SUM(W71:W72)</f>
        <v>111</v>
      </c>
      <c r="X73" s="616">
        <f t="shared" ref="X73:Z73" si="45">SUM(X71:X72)</f>
        <v>85</v>
      </c>
      <c r="Y73" s="617">
        <f>SUM(Y71:Y72)</f>
        <v>93</v>
      </c>
      <c r="Z73" s="616">
        <f t="shared" si="45"/>
        <v>85</v>
      </c>
      <c r="AA73" s="618">
        <f>SUM(AA71:AA72)</f>
        <v>97</v>
      </c>
      <c r="AB73" s="616">
        <f>SUM(AB71:AB72)</f>
        <v>1020</v>
      </c>
      <c r="AC73" s="617">
        <f>SUM(AC71:AC72)</f>
        <v>974</v>
      </c>
      <c r="AD73" s="135">
        <f>E73+G73+I73</f>
        <v>142</v>
      </c>
      <c r="AE73" s="135">
        <f>+K73+M73+O73</f>
        <v>228</v>
      </c>
      <c r="AF73" s="135">
        <f>Q73+S73+U73</f>
        <v>303</v>
      </c>
      <c r="AG73" s="135">
        <f>W73+Y73+AA73</f>
        <v>301</v>
      </c>
    </row>
    <row r="74" spans="2:41" ht="16" thickBot="1" x14ac:dyDescent="0.4">
      <c r="B74" s="812"/>
      <c r="C74" s="619" t="s">
        <v>126</v>
      </c>
      <c r="D74" s="620">
        <f>D73/$E$65</f>
        <v>2.8333333333333335</v>
      </c>
      <c r="E74" s="621">
        <f>E73/$E$65</f>
        <v>1.5666666666666667</v>
      </c>
      <c r="F74" s="620">
        <f>F73/$G$65</f>
        <v>2.7419354838709675</v>
      </c>
      <c r="G74" s="622">
        <f>G73/$G$65</f>
        <v>1.3225806451612903</v>
      </c>
      <c r="H74" s="620">
        <f>H73/$I$65</f>
        <v>2.8333333333333335</v>
      </c>
      <c r="I74" s="621">
        <f>I73/$I$65</f>
        <v>1.8</v>
      </c>
      <c r="J74" s="620">
        <f>J73/$I$65</f>
        <v>2.8333333333333335</v>
      </c>
      <c r="K74" s="621">
        <f>K73/$K$65</f>
        <v>2.096774193548387</v>
      </c>
      <c r="L74" s="620">
        <f>L73/$M$65</f>
        <v>2.7419354838709675</v>
      </c>
      <c r="M74" s="621">
        <f>M73/$M$65</f>
        <v>2.3225806451612905</v>
      </c>
      <c r="N74" s="620">
        <f>N73/$O$65</f>
        <v>2.8333333333333335</v>
      </c>
      <c r="O74" s="623">
        <f>O73/$O$65</f>
        <v>3.0333333333333332</v>
      </c>
      <c r="P74" s="620">
        <f>P73/$Q$65</f>
        <v>2.7419354838709675</v>
      </c>
      <c r="Q74" s="620">
        <f>Q73/$Q$65</f>
        <v>3.032258064516129</v>
      </c>
      <c r="R74" s="620">
        <f>R73/$S$65</f>
        <v>2.8333333333333335</v>
      </c>
      <c r="S74" s="620">
        <f>S73/$S$65</f>
        <v>3.6666666666666665</v>
      </c>
      <c r="T74" s="620">
        <f>T73/$S$65</f>
        <v>2.8333333333333335</v>
      </c>
      <c r="U74" s="620">
        <f>U73/$U$65</f>
        <v>3.193548387096774</v>
      </c>
      <c r="V74" s="620">
        <f>V73/$W$65</f>
        <v>2.7419354838709675</v>
      </c>
      <c r="W74" s="620">
        <f>W73/$W$65</f>
        <v>3.5806451612903225</v>
      </c>
      <c r="X74" s="620">
        <f>X73/$Y$65</f>
        <v>3.0357142857142856</v>
      </c>
      <c r="Y74" s="620">
        <f>Y73/$Y$65</f>
        <v>3.3214285714285716</v>
      </c>
      <c r="Z74" s="620">
        <f>Z73/$AA$65</f>
        <v>2.7419354838709675</v>
      </c>
      <c r="AA74" s="620">
        <f>AA73/$AA$65</f>
        <v>3.129032258064516</v>
      </c>
      <c r="AB74" s="621">
        <f>AB73/$AJ$65</f>
        <v>2.7945205479452055</v>
      </c>
      <c r="AC74" s="621">
        <f>AC73/$AJ$65</f>
        <v>2.6684931506849314</v>
      </c>
      <c r="AD74" s="2">
        <f>+AD73/91</f>
        <v>1.5604395604395604</v>
      </c>
      <c r="AE74" s="2">
        <f>+AE73/92</f>
        <v>2.4782608695652173</v>
      </c>
      <c r="AF74" s="2">
        <f>+AF73/90</f>
        <v>3.3666666666666667</v>
      </c>
      <c r="AG74" s="2">
        <f t="shared" ref="AG74" si="46">+AG73/91</f>
        <v>3.3076923076923075</v>
      </c>
    </row>
    <row r="75" spans="2:41" x14ac:dyDescent="0.35">
      <c r="B75" s="793" t="s">
        <v>26</v>
      </c>
      <c r="C75" s="394" t="s">
        <v>90</v>
      </c>
      <c r="D75" s="461"/>
      <c r="E75" s="302">
        <v>13</v>
      </c>
      <c r="F75" s="461"/>
      <c r="G75" s="396">
        <v>3</v>
      </c>
      <c r="H75" s="461"/>
      <c r="I75" s="302">
        <v>2</v>
      </c>
      <c r="J75" s="461"/>
      <c r="K75" s="302">
        <v>12</v>
      </c>
      <c r="L75" s="461"/>
      <c r="M75" s="302">
        <v>14</v>
      </c>
      <c r="N75" s="461"/>
      <c r="O75" s="396">
        <v>15</v>
      </c>
      <c r="P75" s="461"/>
      <c r="Q75" s="302">
        <v>24</v>
      </c>
      <c r="R75" s="461"/>
      <c r="S75" s="396">
        <v>22</v>
      </c>
      <c r="T75" s="461"/>
      <c r="U75" s="302">
        <v>24</v>
      </c>
      <c r="V75" s="461"/>
      <c r="W75" s="396">
        <v>23</v>
      </c>
      <c r="X75" s="461"/>
      <c r="Y75" s="302">
        <v>17</v>
      </c>
      <c r="Z75" s="461"/>
      <c r="AA75" s="396">
        <v>19</v>
      </c>
      <c r="AB75" s="750"/>
      <c r="AC75" s="398">
        <f>+E75+G75+I75+K75+M75+O75+Q75+S75+U75+W75+Y75+AA75</f>
        <v>188</v>
      </c>
      <c r="AD75" s="2"/>
      <c r="AE75" s="2"/>
      <c r="AF75" s="2"/>
      <c r="AG75" s="2"/>
    </row>
    <row r="76" spans="2:41" x14ac:dyDescent="0.35">
      <c r="B76" s="794"/>
      <c r="C76" s="399" t="s">
        <v>92</v>
      </c>
      <c r="D76" s="602"/>
      <c r="E76" s="310">
        <v>25</v>
      </c>
      <c r="F76" s="602"/>
      <c r="G76" s="400">
        <v>18</v>
      </c>
      <c r="H76" s="602"/>
      <c r="I76" s="310">
        <v>12</v>
      </c>
      <c r="J76" s="741"/>
      <c r="K76" s="310">
        <v>40</v>
      </c>
      <c r="L76" s="741"/>
      <c r="M76" s="310">
        <v>46</v>
      </c>
      <c r="N76" s="741"/>
      <c r="O76" s="400">
        <v>59</v>
      </c>
      <c r="P76" s="741"/>
      <c r="Q76" s="310">
        <v>63</v>
      </c>
      <c r="R76" s="609"/>
      <c r="S76" s="400">
        <v>79</v>
      </c>
      <c r="T76" s="750"/>
      <c r="U76" s="310">
        <v>64</v>
      </c>
      <c r="V76" s="752"/>
      <c r="W76" s="400">
        <v>66</v>
      </c>
      <c r="X76" s="754"/>
      <c r="Y76" s="310">
        <v>70</v>
      </c>
      <c r="Z76" s="761"/>
      <c r="AA76" s="400">
        <v>73</v>
      </c>
      <c r="AB76" s="750"/>
      <c r="AC76" s="401">
        <f>+E76+G76+I76+K76+M76+O76+Q76+S76+U76+W76+Y76+AA76</f>
        <v>615</v>
      </c>
      <c r="AD76" s="2"/>
      <c r="AE76" s="2"/>
      <c r="AF76" s="2"/>
      <c r="AG76" s="2"/>
    </row>
    <row r="77" spans="2:41" ht="15" thickBot="1" x14ac:dyDescent="0.4">
      <c r="B77" s="794"/>
      <c r="C77" s="612" t="s">
        <v>125</v>
      </c>
      <c r="D77" s="613">
        <v>75</v>
      </c>
      <c r="E77" s="614">
        <f>SUM(E75:E76)</f>
        <v>38</v>
      </c>
      <c r="F77" s="613">
        <v>75</v>
      </c>
      <c r="G77" s="615">
        <f>SUM(G75:G76)</f>
        <v>21</v>
      </c>
      <c r="H77" s="613">
        <v>75</v>
      </c>
      <c r="I77" s="615">
        <f>SUM(I75:I76)</f>
        <v>14</v>
      </c>
      <c r="J77" s="613">
        <v>75</v>
      </c>
      <c r="K77" s="615">
        <f t="shared" ref="K77:M77" si="47">SUM(K75:K76)</f>
        <v>52</v>
      </c>
      <c r="L77" s="613">
        <v>75</v>
      </c>
      <c r="M77" s="617">
        <f t="shared" si="47"/>
        <v>60</v>
      </c>
      <c r="N77" s="613">
        <v>75</v>
      </c>
      <c r="O77" s="618">
        <f>SUM(O75:O76)</f>
        <v>74</v>
      </c>
      <c r="P77" s="613">
        <v>75</v>
      </c>
      <c r="Q77" s="617">
        <f>SUM(Q75:Q76)</f>
        <v>87</v>
      </c>
      <c r="R77" s="616">
        <v>75</v>
      </c>
      <c r="S77" s="618">
        <f>SUM(S75:S76)</f>
        <v>101</v>
      </c>
      <c r="T77" s="616">
        <v>75</v>
      </c>
      <c r="U77" s="617">
        <f>SUM(U75:U76)</f>
        <v>88</v>
      </c>
      <c r="V77" s="616">
        <v>75</v>
      </c>
      <c r="W77" s="618">
        <f>SUM(W75:W76)</f>
        <v>89</v>
      </c>
      <c r="X77" s="616">
        <v>75</v>
      </c>
      <c r="Y77" s="617">
        <f>SUM(Y75:Y76)</f>
        <v>87</v>
      </c>
      <c r="Z77" s="616">
        <v>75</v>
      </c>
      <c r="AA77" s="618">
        <f>SUM(AA75:AA76)</f>
        <v>92</v>
      </c>
      <c r="AB77" s="616">
        <f>+D77+F77+H77+J77+L77+N77+P77+R77+T77+V77+X77+Z77</f>
        <v>900</v>
      </c>
      <c r="AC77" s="617">
        <f>SUM(AC75:AC76)</f>
        <v>803</v>
      </c>
      <c r="AD77" s="135">
        <f>E77+G77+I77</f>
        <v>73</v>
      </c>
      <c r="AE77" s="135">
        <f>+K77+M77+O77</f>
        <v>186</v>
      </c>
      <c r="AF77" s="135">
        <f>Q77+S77+U77</f>
        <v>276</v>
      </c>
      <c r="AG77" s="135">
        <f>W77+Y77+AA77</f>
        <v>268</v>
      </c>
    </row>
    <row r="78" spans="2:41" ht="16" thickBot="1" x14ac:dyDescent="0.4">
      <c r="B78" s="795"/>
      <c r="C78" s="619" t="s">
        <v>126</v>
      </c>
      <c r="D78" s="620">
        <f>D77/$E$65</f>
        <v>2.5</v>
      </c>
      <c r="E78" s="621">
        <f>E77/$E$65</f>
        <v>1.2666666666666666</v>
      </c>
      <c r="F78" s="620">
        <f>F77/$G$65</f>
        <v>2.4193548387096775</v>
      </c>
      <c r="G78" s="622">
        <f>G77/$G$65</f>
        <v>0.67741935483870963</v>
      </c>
      <c r="H78" s="620">
        <f>H77/$I$65</f>
        <v>2.5</v>
      </c>
      <c r="I78" s="621">
        <f>I77/$I$65</f>
        <v>0.46666666666666667</v>
      </c>
      <c r="J78" s="620">
        <f>J77/$I$65</f>
        <v>2.5</v>
      </c>
      <c r="K78" s="621">
        <f>K77/$K$65</f>
        <v>1.6774193548387097</v>
      </c>
      <c r="L78" s="620">
        <f>L77/$M$65</f>
        <v>2.4193548387096775</v>
      </c>
      <c r="M78" s="621">
        <f>M77/$M$65</f>
        <v>1.935483870967742</v>
      </c>
      <c r="N78" s="620">
        <f>N77/$O$65</f>
        <v>2.5</v>
      </c>
      <c r="O78" s="623">
        <f>O77/$O$65</f>
        <v>2.4666666666666668</v>
      </c>
      <c r="P78" s="620">
        <f>P77/$Q$65</f>
        <v>2.4193548387096775</v>
      </c>
      <c r="Q78" s="620">
        <f>Q77/$Q$65</f>
        <v>2.806451612903226</v>
      </c>
      <c r="R78" s="620">
        <f>R77/$S$65</f>
        <v>2.5</v>
      </c>
      <c r="S78" s="620">
        <f>S77/$S$65</f>
        <v>3.3666666666666667</v>
      </c>
      <c r="T78" s="620">
        <f>T77/$S$65</f>
        <v>2.5</v>
      </c>
      <c r="U78" s="620">
        <f>U77/$U$65</f>
        <v>2.838709677419355</v>
      </c>
      <c r="V78" s="620">
        <f>V77/$W$65</f>
        <v>2.4193548387096775</v>
      </c>
      <c r="W78" s="620">
        <f>W77/$W$65</f>
        <v>2.870967741935484</v>
      </c>
      <c r="X78" s="620">
        <f>X77/$Y$65</f>
        <v>2.6785714285714284</v>
      </c>
      <c r="Y78" s="620">
        <f>Y77/$Y$65</f>
        <v>3.1071428571428572</v>
      </c>
      <c r="Z78" s="620">
        <f>Z77/$AA$65</f>
        <v>2.4193548387096775</v>
      </c>
      <c r="AA78" s="620">
        <f>AA77/$AA$65</f>
        <v>2.967741935483871</v>
      </c>
      <c r="AB78" s="621">
        <f>AB77/$AJ$65</f>
        <v>2.4657534246575343</v>
      </c>
      <c r="AC78" s="621">
        <f>AC77/$AJ$65</f>
        <v>2.2000000000000002</v>
      </c>
      <c r="AD78" s="2">
        <f>+AD77/91</f>
        <v>0.80219780219780223</v>
      </c>
      <c r="AE78" s="2">
        <f>+AE77/92</f>
        <v>2.0217391304347827</v>
      </c>
      <c r="AF78" s="2">
        <f>+AF77/90</f>
        <v>3.0666666666666669</v>
      </c>
      <c r="AG78" s="2">
        <f t="shared" ref="AG78" si="48">+AG77/91</f>
        <v>2.9450549450549453</v>
      </c>
    </row>
    <row r="79" spans="2:41" x14ac:dyDescent="0.35">
      <c r="B79" s="796" t="s">
        <v>27</v>
      </c>
      <c r="C79" s="394" t="s">
        <v>90</v>
      </c>
      <c r="D79" s="461"/>
      <c r="E79" s="302">
        <v>32.700000000000003</v>
      </c>
      <c r="F79" s="461"/>
      <c r="G79" s="396">
        <v>30.5</v>
      </c>
      <c r="H79" s="461"/>
      <c r="I79" s="302">
        <v>30.1</v>
      </c>
      <c r="J79" s="461"/>
      <c r="K79" s="302">
        <v>45.8</v>
      </c>
      <c r="L79" s="461"/>
      <c r="M79" s="302">
        <v>44.6</v>
      </c>
      <c r="N79" s="461"/>
      <c r="O79" s="396">
        <v>52.7</v>
      </c>
      <c r="P79" s="461"/>
      <c r="Q79" s="302">
        <v>50.16</v>
      </c>
      <c r="R79" s="461"/>
      <c r="S79" s="396">
        <v>52.03</v>
      </c>
      <c r="T79" s="461"/>
      <c r="U79" s="302">
        <v>53.9</v>
      </c>
      <c r="V79" s="461"/>
      <c r="W79" s="396">
        <v>51.4</v>
      </c>
      <c r="X79" s="461"/>
      <c r="Y79" s="302">
        <v>41.88</v>
      </c>
      <c r="Z79" s="461"/>
      <c r="AA79" s="396">
        <v>48.84</v>
      </c>
      <c r="AB79" s="750"/>
      <c r="AC79" s="398">
        <f>+E79+G79+I79+K79+M79+O79+Q79+S79+U79+W79+Y79+AA79</f>
        <v>534.61</v>
      </c>
      <c r="AD79" s="2"/>
      <c r="AE79" s="2"/>
      <c r="AF79" s="2"/>
      <c r="AG79" s="2"/>
    </row>
    <row r="80" spans="2:41" x14ac:dyDescent="0.35">
      <c r="B80" s="797"/>
      <c r="C80" s="399" t="s">
        <v>92</v>
      </c>
      <c r="D80" s="602"/>
      <c r="E80" s="310">
        <v>47.3</v>
      </c>
      <c r="F80" s="602"/>
      <c r="G80" s="400">
        <v>56.5</v>
      </c>
      <c r="H80" s="602"/>
      <c r="I80" s="310">
        <v>68.900000000000006</v>
      </c>
      <c r="J80" s="741"/>
      <c r="K80" s="310">
        <v>79.2</v>
      </c>
      <c r="L80" s="741"/>
      <c r="M80" s="310">
        <v>83.4</v>
      </c>
      <c r="N80" s="741"/>
      <c r="O80" s="400">
        <v>132.30000000000001</v>
      </c>
      <c r="P80" s="741"/>
      <c r="Q80" s="310">
        <v>133.84</v>
      </c>
      <c r="R80" s="609"/>
      <c r="S80" s="400">
        <v>124.97</v>
      </c>
      <c r="T80" s="750"/>
      <c r="U80" s="310">
        <v>127.1</v>
      </c>
      <c r="V80" s="752"/>
      <c r="W80" s="400">
        <v>127.6</v>
      </c>
      <c r="X80" s="754"/>
      <c r="Y80" s="310">
        <v>114.12</v>
      </c>
      <c r="Z80" s="761"/>
      <c r="AA80" s="400">
        <v>134.16</v>
      </c>
      <c r="AB80" s="750"/>
      <c r="AC80" s="401">
        <f>+E80+G80+I80+K80+M80+O80+Q80+S80+U80+W80+Y80+AA80</f>
        <v>1229.3900000000001</v>
      </c>
      <c r="AD80" s="2"/>
      <c r="AE80" s="2"/>
      <c r="AF80" s="2"/>
      <c r="AG80" s="2"/>
    </row>
    <row r="81" spans="2:33" ht="15" thickBot="1" x14ac:dyDescent="0.4">
      <c r="B81" s="797"/>
      <c r="C81" s="612" t="s">
        <v>125</v>
      </c>
      <c r="D81" s="613">
        <v>140</v>
      </c>
      <c r="E81" s="614">
        <f>SUM(E79:E80)</f>
        <v>80</v>
      </c>
      <c r="F81" s="613">
        <v>140</v>
      </c>
      <c r="G81" s="615">
        <f>SUM(G79:G80)</f>
        <v>87</v>
      </c>
      <c r="H81" s="613">
        <v>140</v>
      </c>
      <c r="I81" s="615">
        <f>SUM(I79:I80)</f>
        <v>99</v>
      </c>
      <c r="J81" s="613">
        <v>140</v>
      </c>
      <c r="K81" s="615">
        <f t="shared" ref="K81:M81" si="49">SUM(K79:K80)</f>
        <v>125</v>
      </c>
      <c r="L81" s="613">
        <v>140</v>
      </c>
      <c r="M81" s="617">
        <f t="shared" si="49"/>
        <v>128</v>
      </c>
      <c r="N81" s="613">
        <v>140</v>
      </c>
      <c r="O81" s="618">
        <f t="shared" ref="O81" si="50">SUM(O79:O80)</f>
        <v>185</v>
      </c>
      <c r="P81" s="613">
        <v>140</v>
      </c>
      <c r="Q81" s="617">
        <f t="shared" ref="Q81" si="51">SUM(Q79:Q80)</f>
        <v>184</v>
      </c>
      <c r="R81" s="616">
        <v>140</v>
      </c>
      <c r="S81" s="618">
        <f t="shared" ref="S81" si="52">SUM(S79:S80)</f>
        <v>177</v>
      </c>
      <c r="T81" s="616">
        <v>140</v>
      </c>
      <c r="U81" s="617">
        <f t="shared" ref="U81" si="53">SUM(U79:U80)</f>
        <v>181</v>
      </c>
      <c r="V81" s="616">
        <v>140</v>
      </c>
      <c r="W81" s="618">
        <f t="shared" ref="W81" si="54">SUM(W79:W80)</f>
        <v>179</v>
      </c>
      <c r="X81" s="616">
        <v>140</v>
      </c>
      <c r="Y81" s="617">
        <f>SUM(Y79:Y80)</f>
        <v>156</v>
      </c>
      <c r="Z81" s="616">
        <v>140</v>
      </c>
      <c r="AA81" s="618">
        <f t="shared" ref="AA81" si="55">SUM(AA79:AA80)</f>
        <v>183</v>
      </c>
      <c r="AB81" s="616">
        <f>+D81+F81+H81+J81+L81+N81+P81+R81+T81+V81+X81+Z81</f>
        <v>1680</v>
      </c>
      <c r="AC81" s="617">
        <f>SUM(AC79:AC80)</f>
        <v>1764</v>
      </c>
      <c r="AD81" s="135">
        <f>E81+G81+I81</f>
        <v>266</v>
      </c>
      <c r="AE81" s="135">
        <f>+K81+M81+O81</f>
        <v>438</v>
      </c>
      <c r="AF81" s="135">
        <f>Q81+S81+U81</f>
        <v>542</v>
      </c>
      <c r="AG81" s="135">
        <f>W81+Y81+AA81</f>
        <v>518</v>
      </c>
    </row>
    <row r="82" spans="2:33" ht="16" thickBot="1" x14ac:dyDescent="0.4">
      <c r="B82" s="798"/>
      <c r="C82" s="619" t="s">
        <v>126</v>
      </c>
      <c r="D82" s="620">
        <f>D81/$E$65</f>
        <v>4.666666666666667</v>
      </c>
      <c r="E82" s="621">
        <f>E81/$E$65</f>
        <v>2.6666666666666665</v>
      </c>
      <c r="F82" s="620">
        <f>F81/$G$65</f>
        <v>4.5161290322580649</v>
      </c>
      <c r="G82" s="622">
        <f>G81/$G$65</f>
        <v>2.806451612903226</v>
      </c>
      <c r="H82" s="620">
        <f>H81/$I$65</f>
        <v>4.666666666666667</v>
      </c>
      <c r="I82" s="621">
        <f>I81/$I$65</f>
        <v>3.3</v>
      </c>
      <c r="J82" s="620">
        <f>J81/$I$65</f>
        <v>4.666666666666667</v>
      </c>
      <c r="K82" s="621">
        <f>K81/$K$65</f>
        <v>4.032258064516129</v>
      </c>
      <c r="L82" s="620">
        <f>L81/$M$65</f>
        <v>4.5161290322580649</v>
      </c>
      <c r="M82" s="621">
        <f>M81/$M$65</f>
        <v>4.129032258064516</v>
      </c>
      <c r="N82" s="620">
        <f>N81/$O$65</f>
        <v>4.666666666666667</v>
      </c>
      <c r="O82" s="623">
        <f>O81/$O$65</f>
        <v>6.166666666666667</v>
      </c>
      <c r="P82" s="620">
        <f>P81/$Q$65</f>
        <v>4.5161290322580649</v>
      </c>
      <c r="Q82" s="620">
        <f>Q81/$Q$65</f>
        <v>5.935483870967742</v>
      </c>
      <c r="R82" s="620">
        <f>R81/$S$65</f>
        <v>4.666666666666667</v>
      </c>
      <c r="S82" s="620">
        <f>S81/$S$65</f>
        <v>5.9</v>
      </c>
      <c r="T82" s="620">
        <f>T81/$S$65</f>
        <v>4.666666666666667</v>
      </c>
      <c r="U82" s="620">
        <f>U81/$U$65</f>
        <v>5.838709677419355</v>
      </c>
      <c r="V82" s="620">
        <f>V81/$W$65</f>
        <v>4.5161290322580649</v>
      </c>
      <c r="W82" s="620">
        <f>W81/$W$65</f>
        <v>5.774193548387097</v>
      </c>
      <c r="X82" s="620">
        <f>X81/$Y$65</f>
        <v>5</v>
      </c>
      <c r="Y82" s="620">
        <f>Y81/$Y$65</f>
        <v>5.5714285714285712</v>
      </c>
      <c r="Z82" s="620">
        <f>Z81/$AA$65</f>
        <v>4.5161290322580649</v>
      </c>
      <c r="AA82" s="620">
        <f>AA81/$AA$65</f>
        <v>5.903225806451613</v>
      </c>
      <c r="AB82" s="621">
        <f>AB81/$AJ$65</f>
        <v>4.602739726027397</v>
      </c>
      <c r="AC82" s="621">
        <f>AC81/$AJ$65</f>
        <v>4.8328767123287673</v>
      </c>
      <c r="AD82" s="2">
        <f>+AD81/91</f>
        <v>2.9230769230769229</v>
      </c>
      <c r="AE82" s="2">
        <f>+AE81/92</f>
        <v>4.7608695652173916</v>
      </c>
      <c r="AF82" s="2">
        <f>+AF81/90</f>
        <v>6.0222222222222221</v>
      </c>
      <c r="AG82" s="2">
        <f t="shared" ref="AG82" si="56">+AG81/91</f>
        <v>5.6923076923076925</v>
      </c>
    </row>
    <row r="83" spans="2:33" x14ac:dyDescent="0.35">
      <c r="B83" s="793" t="s">
        <v>29</v>
      </c>
      <c r="C83" s="394" t="s">
        <v>90</v>
      </c>
      <c r="D83" s="461"/>
      <c r="E83" s="302">
        <v>16</v>
      </c>
      <c r="F83" s="461"/>
      <c r="G83" s="396">
        <v>4</v>
      </c>
      <c r="H83" s="461"/>
      <c r="I83" s="302">
        <v>11</v>
      </c>
      <c r="J83" s="461"/>
      <c r="K83" s="302">
        <v>17</v>
      </c>
      <c r="L83" s="461"/>
      <c r="M83" s="302">
        <v>19</v>
      </c>
      <c r="N83" s="461"/>
      <c r="O83" s="396">
        <v>21</v>
      </c>
      <c r="P83" s="461"/>
      <c r="Q83" s="302">
        <v>17</v>
      </c>
      <c r="R83" s="461"/>
      <c r="S83" s="396">
        <v>19</v>
      </c>
      <c r="T83" s="461"/>
      <c r="U83" s="302">
        <v>18</v>
      </c>
      <c r="V83" s="461"/>
      <c r="W83" s="396">
        <v>17</v>
      </c>
      <c r="X83" s="461"/>
      <c r="Y83" s="302">
        <v>14</v>
      </c>
      <c r="Z83" s="461"/>
      <c r="AA83" s="396">
        <v>18</v>
      </c>
      <c r="AB83" s="750"/>
      <c r="AC83" s="398">
        <f>+E83+G83+I83+K83+M83+O83+Q83+S83+U83+W83+Y83+AA83</f>
        <v>191</v>
      </c>
      <c r="AD83" s="2"/>
      <c r="AE83" s="2"/>
      <c r="AF83" s="2"/>
      <c r="AG83" s="2"/>
    </row>
    <row r="84" spans="2:33" x14ac:dyDescent="0.35">
      <c r="B84" s="794"/>
      <c r="C84" s="399" t="s">
        <v>92</v>
      </c>
      <c r="D84" s="602"/>
      <c r="E84" s="310">
        <v>13</v>
      </c>
      <c r="F84" s="602"/>
      <c r="G84" s="400">
        <v>13</v>
      </c>
      <c r="H84" s="602"/>
      <c r="I84" s="310">
        <v>22</v>
      </c>
      <c r="J84" s="741"/>
      <c r="K84" s="310">
        <v>42</v>
      </c>
      <c r="L84" s="741"/>
      <c r="M84" s="310">
        <v>39</v>
      </c>
      <c r="N84" s="741"/>
      <c r="O84" s="400">
        <v>51</v>
      </c>
      <c r="P84" s="741"/>
      <c r="Q84" s="310">
        <v>38</v>
      </c>
      <c r="R84" s="609"/>
      <c r="S84" s="400">
        <v>40</v>
      </c>
      <c r="T84" s="750"/>
      <c r="U84" s="310">
        <v>38</v>
      </c>
      <c r="V84" s="752"/>
      <c r="W84" s="400">
        <v>44</v>
      </c>
      <c r="X84" s="754"/>
      <c r="Y84" s="310">
        <v>38</v>
      </c>
      <c r="Z84" s="761"/>
      <c r="AA84" s="400">
        <v>50</v>
      </c>
      <c r="AB84" s="750"/>
      <c r="AC84" s="401">
        <f>+E84+G84+I84+K84+M84+O84+Q84+S84+U84+W84+Y84+AA84</f>
        <v>428</v>
      </c>
      <c r="AD84" s="2"/>
      <c r="AE84" s="2"/>
      <c r="AF84" s="2"/>
      <c r="AG84" s="2"/>
    </row>
    <row r="85" spans="2:33" ht="15" thickBot="1" x14ac:dyDescent="0.4">
      <c r="B85" s="794"/>
      <c r="C85" s="612" t="s">
        <v>125</v>
      </c>
      <c r="D85" s="613">
        <v>50</v>
      </c>
      <c r="E85" s="614">
        <f>SUM(E83:E84)</f>
        <v>29</v>
      </c>
      <c r="F85" s="613">
        <v>50</v>
      </c>
      <c r="G85" s="615">
        <f>SUM(G83:G84)</f>
        <v>17</v>
      </c>
      <c r="H85" s="613">
        <v>50</v>
      </c>
      <c r="I85" s="615">
        <f>SUM(I83:I84)</f>
        <v>33</v>
      </c>
      <c r="J85" s="613">
        <v>50</v>
      </c>
      <c r="K85" s="615">
        <f t="shared" ref="K85:M85" si="57">SUM(K83:K84)</f>
        <v>59</v>
      </c>
      <c r="L85" s="613">
        <v>50</v>
      </c>
      <c r="M85" s="617">
        <f t="shared" si="57"/>
        <v>58</v>
      </c>
      <c r="N85" s="613">
        <v>50</v>
      </c>
      <c r="O85" s="618">
        <f t="shared" ref="O85" si="58">SUM(O83:O84)</f>
        <v>72</v>
      </c>
      <c r="P85" s="613">
        <v>50</v>
      </c>
      <c r="Q85" s="617">
        <f t="shared" ref="Q85" si="59">SUM(Q83:Q84)</f>
        <v>55</v>
      </c>
      <c r="R85" s="616">
        <v>50</v>
      </c>
      <c r="S85" s="618">
        <f t="shared" ref="S85" si="60">SUM(S83:S84)</f>
        <v>59</v>
      </c>
      <c r="T85" s="616">
        <v>50</v>
      </c>
      <c r="U85" s="617">
        <f t="shared" ref="U85" si="61">SUM(U83:U84)</f>
        <v>56</v>
      </c>
      <c r="V85" s="616">
        <v>50</v>
      </c>
      <c r="W85" s="618">
        <f t="shared" ref="W85" si="62">SUM(W83:W84)</f>
        <v>61</v>
      </c>
      <c r="X85" s="616">
        <v>50</v>
      </c>
      <c r="Y85" s="617">
        <f>SUM(Y83:Y84)</f>
        <v>52</v>
      </c>
      <c r="Z85" s="616">
        <v>50</v>
      </c>
      <c r="AA85" s="618">
        <f t="shared" ref="AA85" si="63">SUM(AA83:AA84)</f>
        <v>68</v>
      </c>
      <c r="AB85" s="616">
        <f>+D85+F85+H85+J85+L85+N85+P85+R85+T85+V85+X85+Z85</f>
        <v>600</v>
      </c>
      <c r="AC85" s="617">
        <f>SUM(AC83:AC84)</f>
        <v>619</v>
      </c>
      <c r="AD85" s="135">
        <f>E85+G85+I85</f>
        <v>79</v>
      </c>
      <c r="AE85" s="135">
        <f>+K85+M85+O85</f>
        <v>189</v>
      </c>
      <c r="AF85" s="135">
        <f>Q85+S85+U85</f>
        <v>170</v>
      </c>
      <c r="AG85" s="135">
        <f>W85+Y85+AA85</f>
        <v>181</v>
      </c>
    </row>
    <row r="86" spans="2:33" ht="16" thickBot="1" x14ac:dyDescent="0.4">
      <c r="B86" s="795"/>
      <c r="C86" s="619" t="s">
        <v>126</v>
      </c>
      <c r="D86" s="620">
        <f>D85/$E$65</f>
        <v>1.6666666666666667</v>
      </c>
      <c r="E86" s="621">
        <f>E85/$E$65</f>
        <v>0.96666666666666667</v>
      </c>
      <c r="F86" s="620">
        <f>F85/$G$65</f>
        <v>1.6129032258064515</v>
      </c>
      <c r="G86" s="622">
        <f>G85/$G$65</f>
        <v>0.54838709677419351</v>
      </c>
      <c r="H86" s="620">
        <f>H85/$I$65</f>
        <v>1.6666666666666667</v>
      </c>
      <c r="I86" s="621">
        <f>I85/$I$65</f>
        <v>1.1000000000000001</v>
      </c>
      <c r="J86" s="620">
        <f>J85/$I$65</f>
        <v>1.6666666666666667</v>
      </c>
      <c r="K86" s="621">
        <f>K85/$K$65</f>
        <v>1.903225806451613</v>
      </c>
      <c r="L86" s="620">
        <f>L85/$M$65</f>
        <v>1.6129032258064515</v>
      </c>
      <c r="M86" s="621">
        <f>M85/$M$65</f>
        <v>1.8709677419354838</v>
      </c>
      <c r="N86" s="620">
        <f>N85/$O$65</f>
        <v>1.6666666666666667</v>
      </c>
      <c r="O86" s="623">
        <f>O85/$O$65</f>
        <v>2.4</v>
      </c>
      <c r="P86" s="620">
        <f>P85/$Q$65</f>
        <v>1.6129032258064515</v>
      </c>
      <c r="Q86" s="620">
        <f>Q85/$Q$65</f>
        <v>1.7741935483870968</v>
      </c>
      <c r="R86" s="620">
        <f>R85/$S$65</f>
        <v>1.6666666666666667</v>
      </c>
      <c r="S86" s="620">
        <f>S85/$S$65</f>
        <v>1.9666666666666666</v>
      </c>
      <c r="T86" s="620">
        <f>T85/$S$65</f>
        <v>1.6666666666666667</v>
      </c>
      <c r="U86" s="620">
        <f>U85/$U$65</f>
        <v>1.8064516129032258</v>
      </c>
      <c r="V86" s="620">
        <f>V85/$W$65</f>
        <v>1.6129032258064515</v>
      </c>
      <c r="W86" s="620">
        <f>W85/$W$65</f>
        <v>1.967741935483871</v>
      </c>
      <c r="X86" s="620">
        <f>X85/$Y$65</f>
        <v>1.7857142857142858</v>
      </c>
      <c r="Y86" s="620">
        <f>Y85/$Y$65</f>
        <v>1.8571428571428572</v>
      </c>
      <c r="Z86" s="620">
        <f>Z85/$AA$65</f>
        <v>1.6129032258064515</v>
      </c>
      <c r="AA86" s="620">
        <f>AA85/$AA$65</f>
        <v>2.193548387096774</v>
      </c>
      <c r="AB86" s="621">
        <f>AB85/$AJ$65</f>
        <v>1.6438356164383561</v>
      </c>
      <c r="AC86" s="621">
        <f>AC85/$AJ$65</f>
        <v>1.6958904109589041</v>
      </c>
      <c r="AD86" s="2">
        <f>+AD85/91</f>
        <v>0.86813186813186816</v>
      </c>
      <c r="AE86" s="2">
        <f>+AE85/92</f>
        <v>2.0543478260869565</v>
      </c>
      <c r="AF86" s="2">
        <f>+AF85/90</f>
        <v>1.8888888888888888</v>
      </c>
      <c r="AG86" s="2">
        <f t="shared" ref="AG86" si="64">+AG85/91</f>
        <v>1.9890109890109891</v>
      </c>
    </row>
    <row r="87" spans="2:33" x14ac:dyDescent="0.35">
      <c r="B87" s="796" t="s">
        <v>30</v>
      </c>
      <c r="C87" s="394" t="s">
        <v>90</v>
      </c>
      <c r="D87" s="461"/>
      <c r="E87" s="302">
        <v>9</v>
      </c>
      <c r="F87" s="461"/>
      <c r="G87" s="396">
        <v>3</v>
      </c>
      <c r="H87" s="461"/>
      <c r="I87" s="302">
        <v>3</v>
      </c>
      <c r="J87" s="461"/>
      <c r="K87" s="302">
        <v>13</v>
      </c>
      <c r="L87" s="461"/>
      <c r="M87" s="302">
        <v>10</v>
      </c>
      <c r="N87" s="461"/>
      <c r="O87" s="396">
        <v>10</v>
      </c>
      <c r="P87" s="461"/>
      <c r="Q87" s="302">
        <v>13</v>
      </c>
      <c r="R87" s="461"/>
      <c r="S87" s="396">
        <v>12</v>
      </c>
      <c r="T87" s="461"/>
      <c r="U87" s="302">
        <v>13</v>
      </c>
      <c r="V87" s="461"/>
      <c r="W87" s="396">
        <v>11</v>
      </c>
      <c r="X87" s="461"/>
      <c r="Y87" s="302">
        <v>13</v>
      </c>
      <c r="Z87" s="461"/>
      <c r="AA87" s="396">
        <v>21</v>
      </c>
      <c r="AB87" s="750"/>
      <c r="AC87" s="398">
        <f>+E87+G87+I87+K87+M87+O87+Q87+S87+U87+W87+Y87+AA87</f>
        <v>131</v>
      </c>
      <c r="AD87" s="2"/>
      <c r="AE87" s="2"/>
      <c r="AF87" s="2"/>
      <c r="AG87" s="2"/>
    </row>
    <row r="88" spans="2:33" x14ac:dyDescent="0.35">
      <c r="B88" s="797"/>
      <c r="C88" s="399" t="s">
        <v>92</v>
      </c>
      <c r="D88" s="602"/>
      <c r="E88" s="310">
        <v>10</v>
      </c>
      <c r="F88" s="602"/>
      <c r="G88" s="400">
        <v>15</v>
      </c>
      <c r="H88" s="602"/>
      <c r="I88" s="310">
        <v>16</v>
      </c>
      <c r="J88" s="741"/>
      <c r="K88" s="310">
        <v>18</v>
      </c>
      <c r="L88" s="741"/>
      <c r="M88" s="310">
        <v>10</v>
      </c>
      <c r="N88" s="741"/>
      <c r="O88" s="400">
        <v>14</v>
      </c>
      <c r="P88" s="741"/>
      <c r="Q88" s="310">
        <v>13</v>
      </c>
      <c r="R88" s="609"/>
      <c r="S88" s="400">
        <v>13</v>
      </c>
      <c r="T88" s="750"/>
      <c r="U88" s="310">
        <v>12</v>
      </c>
      <c r="V88" s="752"/>
      <c r="W88" s="400">
        <v>23</v>
      </c>
      <c r="X88" s="754"/>
      <c r="Y88" s="310">
        <v>23</v>
      </c>
      <c r="Z88" s="761"/>
      <c r="AA88" s="400">
        <v>22</v>
      </c>
      <c r="AB88" s="750"/>
      <c r="AC88" s="401">
        <f>+E88+G88+I88+K88+M88+O88+Q88+S88+U88+W88+Y88+AA88</f>
        <v>189</v>
      </c>
      <c r="AD88" s="2"/>
      <c r="AE88" s="2"/>
      <c r="AF88" s="2"/>
      <c r="AG88" s="2"/>
    </row>
    <row r="89" spans="2:33" ht="15" thickBot="1" x14ac:dyDescent="0.4">
      <c r="B89" s="797"/>
      <c r="C89" s="612" t="s">
        <v>125</v>
      </c>
      <c r="D89" s="613">
        <v>20</v>
      </c>
      <c r="E89" s="614">
        <f>SUM(E87:E88)</f>
        <v>19</v>
      </c>
      <c r="F89" s="613">
        <v>20</v>
      </c>
      <c r="G89" s="615">
        <f>SUM(G87:G88)</f>
        <v>18</v>
      </c>
      <c r="H89" s="613">
        <v>20</v>
      </c>
      <c r="I89" s="615">
        <f>SUM(I87:I88)</f>
        <v>19</v>
      </c>
      <c r="J89" s="613">
        <v>20</v>
      </c>
      <c r="K89" s="615">
        <f t="shared" ref="K89:M89" si="65">SUM(K87:K88)</f>
        <v>31</v>
      </c>
      <c r="L89" s="613">
        <v>20</v>
      </c>
      <c r="M89" s="617">
        <f t="shared" si="65"/>
        <v>20</v>
      </c>
      <c r="N89" s="613">
        <v>20</v>
      </c>
      <c r="O89" s="618">
        <f t="shared" ref="O89" si="66">SUM(O87:O88)</f>
        <v>24</v>
      </c>
      <c r="P89" s="613">
        <v>20</v>
      </c>
      <c r="Q89" s="617">
        <f t="shared" ref="Q89" si="67">SUM(Q87:Q88)</f>
        <v>26</v>
      </c>
      <c r="R89" s="616">
        <v>20</v>
      </c>
      <c r="S89" s="618">
        <f t="shared" ref="S89" si="68">SUM(S87:S88)</f>
        <v>25</v>
      </c>
      <c r="T89" s="616">
        <v>20</v>
      </c>
      <c r="U89" s="617">
        <f t="shared" ref="U89" si="69">SUM(U87:U88)</f>
        <v>25</v>
      </c>
      <c r="V89" s="616">
        <v>33</v>
      </c>
      <c r="W89" s="618">
        <f t="shared" ref="W89" si="70">SUM(W87:W88)</f>
        <v>34</v>
      </c>
      <c r="X89" s="616">
        <v>33</v>
      </c>
      <c r="Y89" s="617">
        <f>SUM(Y87:Y88)</f>
        <v>36</v>
      </c>
      <c r="Z89" s="616">
        <v>33</v>
      </c>
      <c r="AA89" s="618">
        <f t="shared" ref="AA89" si="71">SUM(AA87:AA88)</f>
        <v>43</v>
      </c>
      <c r="AB89" s="616">
        <f>+D89+F89+H89+J89+L89+N89+P89+R89+T89+V89+X89+Z89</f>
        <v>279</v>
      </c>
      <c r="AC89" s="617">
        <f>SUM(AC87:AC88)</f>
        <v>320</v>
      </c>
      <c r="AD89" s="135">
        <f>E89+G89+I89</f>
        <v>56</v>
      </c>
      <c r="AE89" s="135">
        <f>+K89+M89+O89</f>
        <v>75</v>
      </c>
      <c r="AF89" s="135">
        <f>Q89+S89+U89</f>
        <v>76</v>
      </c>
      <c r="AG89" s="135">
        <f>W89+Y89+AA89</f>
        <v>113</v>
      </c>
    </row>
    <row r="90" spans="2:33" ht="16" thickBot="1" x14ac:dyDescent="0.4">
      <c r="B90" s="798"/>
      <c r="C90" s="619" t="s">
        <v>126</v>
      </c>
      <c r="D90" s="620">
        <f>D89/$E$65</f>
        <v>0.66666666666666663</v>
      </c>
      <c r="E90" s="621">
        <f>E89/$E$65</f>
        <v>0.6333333333333333</v>
      </c>
      <c r="F90" s="620">
        <f>F89/$G$65</f>
        <v>0.64516129032258063</v>
      </c>
      <c r="G90" s="622">
        <f>G89/$G$65</f>
        <v>0.58064516129032262</v>
      </c>
      <c r="H90" s="620">
        <f>H89/$I$65</f>
        <v>0.66666666666666663</v>
      </c>
      <c r="I90" s="621">
        <f>I89/$I$65</f>
        <v>0.6333333333333333</v>
      </c>
      <c r="J90" s="620">
        <f>J89/$I$65</f>
        <v>0.66666666666666663</v>
      </c>
      <c r="K90" s="621">
        <f>K89/$K$65</f>
        <v>1</v>
      </c>
      <c r="L90" s="620">
        <f>L89/$M$65</f>
        <v>0.64516129032258063</v>
      </c>
      <c r="M90" s="621">
        <f>M89/$M$65</f>
        <v>0.64516129032258063</v>
      </c>
      <c r="N90" s="620">
        <f>N89/$O$65</f>
        <v>0.66666666666666663</v>
      </c>
      <c r="O90" s="623">
        <f>O89/$O$65</f>
        <v>0.8</v>
      </c>
      <c r="P90" s="620">
        <f>P89/$Q$65</f>
        <v>0.64516129032258063</v>
      </c>
      <c r="Q90" s="620">
        <f>Q89/$Q$65</f>
        <v>0.83870967741935487</v>
      </c>
      <c r="R90" s="620">
        <f>R89/$S$65</f>
        <v>0.66666666666666663</v>
      </c>
      <c r="S90" s="620">
        <f>S89/$S$65</f>
        <v>0.83333333333333337</v>
      </c>
      <c r="T90" s="620">
        <f>T89/$S$65</f>
        <v>0.66666666666666663</v>
      </c>
      <c r="U90" s="620">
        <f>U89/$U$65</f>
        <v>0.80645161290322576</v>
      </c>
      <c r="V90" s="620">
        <f>V89/$W$65</f>
        <v>1.064516129032258</v>
      </c>
      <c r="W90" s="620">
        <f>W89/$W$65</f>
        <v>1.096774193548387</v>
      </c>
      <c r="X90" s="620">
        <f>X89/$Y$65</f>
        <v>1.1785714285714286</v>
      </c>
      <c r="Y90" s="620">
        <f>Y89/$Y$65</f>
        <v>1.2857142857142858</v>
      </c>
      <c r="Z90" s="620">
        <f>Z89/$AA$65</f>
        <v>1.064516129032258</v>
      </c>
      <c r="AA90" s="620">
        <f>AA89/$AA$65</f>
        <v>1.3870967741935485</v>
      </c>
      <c r="AB90" s="621">
        <f>AB89/$AJ$65</f>
        <v>0.76438356164383559</v>
      </c>
      <c r="AC90" s="621">
        <f>AC89/$AJ$65</f>
        <v>0.87671232876712324</v>
      </c>
      <c r="AD90" s="2">
        <f>+AD89/91</f>
        <v>0.61538461538461542</v>
      </c>
      <c r="AE90" s="2">
        <f>+AE89/92</f>
        <v>0.81521739130434778</v>
      </c>
      <c r="AF90" s="2">
        <f>+AF89/90</f>
        <v>0.84444444444444444</v>
      </c>
      <c r="AG90" s="2">
        <f t="shared" ref="AG90" si="72">+AG89/91</f>
        <v>1.2417582417582418</v>
      </c>
    </row>
    <row r="91" spans="2:33" x14ac:dyDescent="0.35">
      <c r="B91" s="793" t="s">
        <v>31</v>
      </c>
      <c r="C91" s="394" t="s">
        <v>90</v>
      </c>
      <c r="D91" s="461"/>
      <c r="E91" s="302">
        <v>30</v>
      </c>
      <c r="F91" s="461"/>
      <c r="G91" s="396">
        <v>28</v>
      </c>
      <c r="H91" s="461"/>
      <c r="I91" s="302">
        <v>21</v>
      </c>
      <c r="J91" s="461"/>
      <c r="K91" s="302">
        <v>21</v>
      </c>
      <c r="L91" s="461"/>
      <c r="M91" s="302">
        <v>19</v>
      </c>
      <c r="N91" s="461"/>
      <c r="O91" s="396">
        <v>20</v>
      </c>
      <c r="P91" s="461"/>
      <c r="Q91" s="302">
        <v>25</v>
      </c>
      <c r="R91" s="461"/>
      <c r="S91" s="396">
        <v>23</v>
      </c>
      <c r="T91" s="461"/>
      <c r="U91" s="302">
        <v>28</v>
      </c>
      <c r="V91" s="461"/>
      <c r="W91" s="396">
        <v>36</v>
      </c>
      <c r="X91" s="461"/>
      <c r="Y91" s="302">
        <v>28</v>
      </c>
      <c r="Z91" s="461"/>
      <c r="AA91" s="396">
        <v>6</v>
      </c>
      <c r="AB91" s="750"/>
      <c r="AC91" s="398">
        <f>+E91+G91+I91+K91+M91+O91+Q91+S91+U91+W91+Y91+AA91</f>
        <v>285</v>
      </c>
      <c r="AD91" s="2"/>
      <c r="AE91" s="2"/>
      <c r="AF91" s="2"/>
      <c r="AG91" s="2"/>
    </row>
    <row r="92" spans="2:33" x14ac:dyDescent="0.35">
      <c r="B92" s="794"/>
      <c r="C92" s="399" t="s">
        <v>92</v>
      </c>
      <c r="D92" s="602"/>
      <c r="E92" s="310">
        <v>64</v>
      </c>
      <c r="F92" s="602"/>
      <c r="G92" s="400">
        <v>23</v>
      </c>
      <c r="H92" s="602"/>
      <c r="I92" s="310">
        <v>23</v>
      </c>
      <c r="J92" s="741"/>
      <c r="K92" s="310">
        <v>33</v>
      </c>
      <c r="L92" s="741"/>
      <c r="M92" s="310">
        <v>24</v>
      </c>
      <c r="N92" s="741"/>
      <c r="O92" s="400">
        <v>25</v>
      </c>
      <c r="P92" s="741"/>
      <c r="Q92" s="310">
        <v>31</v>
      </c>
      <c r="R92" s="609"/>
      <c r="S92" s="400">
        <v>40</v>
      </c>
      <c r="T92" s="750"/>
      <c r="U92" s="310">
        <v>45</v>
      </c>
      <c r="V92" s="752"/>
      <c r="W92" s="400">
        <v>50</v>
      </c>
      <c r="X92" s="754"/>
      <c r="Y92" s="310">
        <v>21</v>
      </c>
      <c r="Z92" s="761"/>
      <c r="AA92" s="400">
        <v>3</v>
      </c>
      <c r="AB92" s="750"/>
      <c r="AC92" s="401">
        <f>+E92+G92+I92+K92+M92+O92+Q92+S92+U92+W92+Y92+AA92</f>
        <v>382</v>
      </c>
      <c r="AD92" s="2"/>
      <c r="AE92" s="2"/>
      <c r="AF92" s="2"/>
      <c r="AG92" s="2"/>
    </row>
    <row r="93" spans="2:33" ht="15" thickBot="1" x14ac:dyDescent="0.4">
      <c r="B93" s="794"/>
      <c r="C93" s="612" t="s">
        <v>125</v>
      </c>
      <c r="D93" s="613">
        <v>85</v>
      </c>
      <c r="E93" s="614">
        <f>SUM(E91:E92)</f>
        <v>94</v>
      </c>
      <c r="F93" s="613">
        <v>85</v>
      </c>
      <c r="G93" s="615">
        <f>SUM(G91:G92)</f>
        <v>51</v>
      </c>
      <c r="H93" s="613">
        <v>85</v>
      </c>
      <c r="I93" s="615">
        <f>SUM(I91:I92)</f>
        <v>44</v>
      </c>
      <c r="J93" s="613">
        <v>85</v>
      </c>
      <c r="K93" s="615">
        <f t="shared" ref="K93:M93" si="73">SUM(K91:K92)</f>
        <v>54</v>
      </c>
      <c r="L93" s="613">
        <v>85</v>
      </c>
      <c r="M93" s="617">
        <f t="shared" si="73"/>
        <v>43</v>
      </c>
      <c r="N93" s="613">
        <v>85</v>
      </c>
      <c r="O93" s="618">
        <f t="shared" ref="O93" si="74">SUM(O91:O92)</f>
        <v>45</v>
      </c>
      <c r="P93" s="613">
        <v>85</v>
      </c>
      <c r="Q93" s="617">
        <f t="shared" ref="Q93" si="75">SUM(Q91:Q92)</f>
        <v>56</v>
      </c>
      <c r="R93" s="616">
        <v>85</v>
      </c>
      <c r="S93" s="618">
        <f t="shared" ref="S93" si="76">SUM(S91:S92)</f>
        <v>63</v>
      </c>
      <c r="T93" s="616">
        <v>85</v>
      </c>
      <c r="U93" s="617">
        <f t="shared" ref="U93" si="77">SUM(U91:U92)</f>
        <v>73</v>
      </c>
      <c r="V93" s="616">
        <v>85</v>
      </c>
      <c r="W93" s="618">
        <f t="shared" ref="W93" si="78">SUM(W91:W92)</f>
        <v>86</v>
      </c>
      <c r="X93" s="616">
        <v>85</v>
      </c>
      <c r="Y93" s="617">
        <f>SUM(Y91:Y92)</f>
        <v>49</v>
      </c>
      <c r="Z93" s="616">
        <v>85</v>
      </c>
      <c r="AA93" s="618">
        <f t="shared" ref="AA93" si="79">SUM(AA91:AA92)</f>
        <v>9</v>
      </c>
      <c r="AB93" s="616">
        <f>+D93+F93+H93+J93+L93+N93+P93+R93+T93+V93+X93+Z93</f>
        <v>1020</v>
      </c>
      <c r="AC93" s="617">
        <f>SUM(AC91:AC92)</f>
        <v>667</v>
      </c>
      <c r="AD93" s="135">
        <f>E93+G93+I93</f>
        <v>189</v>
      </c>
      <c r="AE93" s="135">
        <f>+K93+M93+O93</f>
        <v>142</v>
      </c>
      <c r="AF93" s="135">
        <f>Q93+S93+U93</f>
        <v>192</v>
      </c>
      <c r="AG93" s="135">
        <f>W93+Y93+AA93</f>
        <v>144</v>
      </c>
    </row>
    <row r="94" spans="2:33" ht="16" thickBot="1" x14ac:dyDescent="0.4">
      <c r="B94" s="795"/>
      <c r="C94" s="619" t="s">
        <v>126</v>
      </c>
      <c r="D94" s="620">
        <f>D93/$E$65</f>
        <v>2.8333333333333335</v>
      </c>
      <c r="E94" s="621">
        <f>E93/$E$65</f>
        <v>3.1333333333333333</v>
      </c>
      <c r="F94" s="620">
        <f>F93/$G$65</f>
        <v>2.7419354838709675</v>
      </c>
      <c r="G94" s="622">
        <f>G93/$G$65</f>
        <v>1.6451612903225807</v>
      </c>
      <c r="H94" s="620">
        <f>H93/$I$65</f>
        <v>2.8333333333333335</v>
      </c>
      <c r="I94" s="621">
        <f>I93/$I$65</f>
        <v>1.4666666666666666</v>
      </c>
      <c r="J94" s="620">
        <f>J93/$I$65</f>
        <v>2.8333333333333335</v>
      </c>
      <c r="K94" s="621">
        <f>K93/$K$65</f>
        <v>1.7419354838709677</v>
      </c>
      <c r="L94" s="620">
        <f>L93/$M$65</f>
        <v>2.7419354838709675</v>
      </c>
      <c r="M94" s="621">
        <f>M93/$M$65</f>
        <v>1.3870967741935485</v>
      </c>
      <c r="N94" s="620">
        <f>N93/$O$65</f>
        <v>2.8333333333333335</v>
      </c>
      <c r="O94" s="623">
        <f>O93/$O$65</f>
        <v>1.5</v>
      </c>
      <c r="P94" s="620">
        <f>P93/$Q$65</f>
        <v>2.7419354838709675</v>
      </c>
      <c r="Q94" s="620">
        <f>Q93/$Q$65</f>
        <v>1.8064516129032258</v>
      </c>
      <c r="R94" s="620">
        <f>R93/$S$65</f>
        <v>2.8333333333333335</v>
      </c>
      <c r="S94" s="620">
        <f>S93/$S$65</f>
        <v>2.1</v>
      </c>
      <c r="T94" s="620">
        <f>T93/$S$65</f>
        <v>2.8333333333333335</v>
      </c>
      <c r="U94" s="620">
        <f>U93/$U$65</f>
        <v>2.3548387096774195</v>
      </c>
      <c r="V94" s="620">
        <f>V93/$W$65</f>
        <v>2.7419354838709675</v>
      </c>
      <c r="W94" s="620">
        <f>W93/$W$65</f>
        <v>2.774193548387097</v>
      </c>
      <c r="X94" s="620">
        <f>X93/$Y$65</f>
        <v>3.0357142857142856</v>
      </c>
      <c r="Y94" s="620">
        <f>Y93/$Y$65</f>
        <v>1.75</v>
      </c>
      <c r="Z94" s="620">
        <f>Z93/$AA$65</f>
        <v>2.7419354838709675</v>
      </c>
      <c r="AA94" s="620">
        <f>AA93/$AA$65</f>
        <v>0.29032258064516131</v>
      </c>
      <c r="AB94" s="621">
        <f>AB93/$AJ$65</f>
        <v>2.7945205479452055</v>
      </c>
      <c r="AC94" s="621">
        <f>AC93/$AJ$65</f>
        <v>1.8273972602739725</v>
      </c>
      <c r="AD94" s="2">
        <f>+AD93/91</f>
        <v>2.0769230769230771</v>
      </c>
      <c r="AE94" s="2">
        <f>+AE93/92</f>
        <v>1.5434782608695652</v>
      </c>
      <c r="AF94" s="2">
        <f>+AF93/90</f>
        <v>2.1333333333333333</v>
      </c>
      <c r="AG94" s="2">
        <f t="shared" ref="AG94" si="80">+AG93/91</f>
        <v>1.5824175824175823</v>
      </c>
    </row>
    <row r="95" spans="2:33" x14ac:dyDescent="0.35">
      <c r="B95" s="796" t="s">
        <v>28</v>
      </c>
      <c r="C95" s="394" t="s">
        <v>90</v>
      </c>
      <c r="D95" s="461"/>
      <c r="E95" s="302">
        <v>19.8</v>
      </c>
      <c r="F95" s="461"/>
      <c r="G95" s="396">
        <v>0.4</v>
      </c>
      <c r="H95" s="461"/>
      <c r="I95" s="302">
        <v>12.3</v>
      </c>
      <c r="J95" s="461"/>
      <c r="K95" s="302">
        <v>23.2</v>
      </c>
      <c r="L95" s="461"/>
      <c r="M95" s="302">
        <v>21</v>
      </c>
      <c r="N95" s="461"/>
      <c r="O95" s="396">
        <v>23.6</v>
      </c>
      <c r="P95" s="461"/>
      <c r="Q95" s="302">
        <v>21.14</v>
      </c>
      <c r="R95" s="461"/>
      <c r="S95" s="396">
        <v>17.100000000000001</v>
      </c>
      <c r="T95" s="461"/>
      <c r="U95" s="302">
        <v>22.57</v>
      </c>
      <c r="V95" s="461"/>
      <c r="W95" s="396">
        <v>18.600000000000001</v>
      </c>
      <c r="X95" s="461"/>
      <c r="Y95" s="302">
        <v>25.37</v>
      </c>
      <c r="Z95" s="461"/>
      <c r="AA95" s="396">
        <v>27.22</v>
      </c>
      <c r="AB95" s="750"/>
      <c r="AC95" s="398">
        <f>+E95+G95+I95+K95+M95+O95+Q95+S95+U95+W95+Y95+AA95</f>
        <v>232.3</v>
      </c>
      <c r="AD95" s="2"/>
      <c r="AE95" s="2"/>
      <c r="AF95" s="2"/>
      <c r="AG95" s="2"/>
    </row>
    <row r="96" spans="2:33" x14ac:dyDescent="0.35">
      <c r="B96" s="797"/>
      <c r="C96" s="399" t="s">
        <v>92</v>
      </c>
      <c r="D96" s="602"/>
      <c r="E96" s="310">
        <v>41.2</v>
      </c>
      <c r="F96" s="602"/>
      <c r="G96" s="400">
        <v>12.6</v>
      </c>
      <c r="H96" s="602"/>
      <c r="I96" s="310">
        <v>30.7</v>
      </c>
      <c r="J96" s="741"/>
      <c r="K96" s="310">
        <v>45.8</v>
      </c>
      <c r="L96" s="741"/>
      <c r="M96" s="310">
        <v>54</v>
      </c>
      <c r="N96" s="741"/>
      <c r="O96" s="400">
        <v>45.4</v>
      </c>
      <c r="P96" s="741"/>
      <c r="Q96" s="310">
        <v>68.86</v>
      </c>
      <c r="R96" s="609"/>
      <c r="S96" s="400">
        <v>70.900000000000006</v>
      </c>
      <c r="T96" s="750"/>
      <c r="U96" s="310">
        <v>59.43</v>
      </c>
      <c r="V96" s="752"/>
      <c r="W96" s="400">
        <v>63.4</v>
      </c>
      <c r="X96" s="754"/>
      <c r="Y96" s="310">
        <v>53.63</v>
      </c>
      <c r="Z96" s="761"/>
      <c r="AA96" s="400">
        <v>69.78</v>
      </c>
      <c r="AB96" s="750"/>
      <c r="AC96" s="401">
        <f>+E96+G96+I96+K96+M96+O96+Q96+S96+U96+W96+Y96+AA96</f>
        <v>615.70000000000005</v>
      </c>
      <c r="AD96" s="2"/>
      <c r="AE96" s="2"/>
      <c r="AF96" s="2"/>
      <c r="AG96" s="2"/>
    </row>
    <row r="97" spans="2:41" ht="15" thickBot="1" x14ac:dyDescent="0.4">
      <c r="B97" s="797"/>
      <c r="C97" s="612" t="s">
        <v>125</v>
      </c>
      <c r="D97" s="613">
        <v>95</v>
      </c>
      <c r="E97" s="614">
        <f>SUM(E95:E96)</f>
        <v>61</v>
      </c>
      <c r="F97" s="613">
        <v>95</v>
      </c>
      <c r="G97" s="615">
        <f>SUM(G95:G96)</f>
        <v>13</v>
      </c>
      <c r="H97" s="613">
        <v>95</v>
      </c>
      <c r="I97" s="615">
        <f>SUM(I95:I96)</f>
        <v>43</v>
      </c>
      <c r="J97" s="613">
        <v>95</v>
      </c>
      <c r="K97" s="615">
        <f t="shared" ref="K97:M97" si="81">SUM(K95:K96)</f>
        <v>69</v>
      </c>
      <c r="L97" s="613">
        <v>95</v>
      </c>
      <c r="M97" s="617">
        <f t="shared" si="81"/>
        <v>75</v>
      </c>
      <c r="N97" s="613">
        <v>95</v>
      </c>
      <c r="O97" s="618">
        <f t="shared" ref="O97" si="82">SUM(O95:O96)</f>
        <v>69</v>
      </c>
      <c r="P97" s="613">
        <v>95</v>
      </c>
      <c r="Q97" s="617">
        <f t="shared" ref="Q97" si="83">SUM(Q95:Q96)</f>
        <v>90</v>
      </c>
      <c r="R97" s="616">
        <v>95</v>
      </c>
      <c r="S97" s="618">
        <f t="shared" ref="S97" si="84">SUM(S95:S96)</f>
        <v>88</v>
      </c>
      <c r="T97" s="616">
        <v>95</v>
      </c>
      <c r="U97" s="617">
        <f t="shared" ref="U97" si="85">SUM(U95:U96)</f>
        <v>82</v>
      </c>
      <c r="V97" s="616">
        <v>95</v>
      </c>
      <c r="W97" s="618">
        <f t="shared" ref="W97" si="86">SUM(W95:W96)</f>
        <v>82</v>
      </c>
      <c r="X97" s="616">
        <v>95</v>
      </c>
      <c r="Y97" s="617">
        <f>SUM(Y95:Y96)</f>
        <v>79</v>
      </c>
      <c r="Z97" s="616">
        <v>95</v>
      </c>
      <c r="AA97" s="618">
        <f t="shared" ref="AA97" si="87">SUM(AA95:AA96)</f>
        <v>97</v>
      </c>
      <c r="AB97" s="616">
        <f>+D97+F97+H97+J97+L97+N97+P97+R97+T97+V97+X97+Z97</f>
        <v>1140</v>
      </c>
      <c r="AC97" s="617">
        <f>SUM(AC95:AC96)</f>
        <v>848</v>
      </c>
      <c r="AD97" s="135">
        <f>E97+G97+I97</f>
        <v>117</v>
      </c>
      <c r="AE97" s="135">
        <f>+K97+M97+O97</f>
        <v>213</v>
      </c>
      <c r="AF97" s="135">
        <f>Q97+S97+U97</f>
        <v>260</v>
      </c>
      <c r="AG97" s="135">
        <f>W97+Y97+AA97</f>
        <v>258</v>
      </c>
    </row>
    <row r="98" spans="2:41" ht="16" thickBot="1" x14ac:dyDescent="0.4">
      <c r="B98" s="798"/>
      <c r="C98" s="619" t="s">
        <v>126</v>
      </c>
      <c r="D98" s="620">
        <f>D97/$E$65</f>
        <v>3.1666666666666665</v>
      </c>
      <c r="E98" s="621">
        <f>E97/$E$65</f>
        <v>2.0333333333333332</v>
      </c>
      <c r="F98" s="620">
        <f>F97/$G$65</f>
        <v>3.064516129032258</v>
      </c>
      <c r="G98" s="622">
        <f>G97/$G$65</f>
        <v>0.41935483870967744</v>
      </c>
      <c r="H98" s="620">
        <f>H97/$I$65</f>
        <v>3.1666666666666665</v>
      </c>
      <c r="I98" s="621">
        <f>I97/$I$65</f>
        <v>1.4333333333333333</v>
      </c>
      <c r="J98" s="620">
        <f>J97/$I$65</f>
        <v>3.1666666666666665</v>
      </c>
      <c r="K98" s="621">
        <f>K97/$K$65</f>
        <v>2.225806451612903</v>
      </c>
      <c r="L98" s="620">
        <f>L97/$M$65</f>
        <v>3.064516129032258</v>
      </c>
      <c r="M98" s="621">
        <f>M97/$M$65</f>
        <v>2.4193548387096775</v>
      </c>
      <c r="N98" s="620">
        <f>N97/$O$65</f>
        <v>3.1666666666666665</v>
      </c>
      <c r="O98" s="623">
        <f>O97/$O$65</f>
        <v>2.2999999999999998</v>
      </c>
      <c r="P98" s="620">
        <f>P97/$Q$65</f>
        <v>3.064516129032258</v>
      </c>
      <c r="Q98" s="620">
        <f>Q97/$Q$65</f>
        <v>2.903225806451613</v>
      </c>
      <c r="R98" s="620">
        <f>R97/$S$65</f>
        <v>3.1666666666666665</v>
      </c>
      <c r="S98" s="620">
        <f>S97/$S$65</f>
        <v>2.9333333333333331</v>
      </c>
      <c r="T98" s="620">
        <f>T97/$S$65</f>
        <v>3.1666666666666665</v>
      </c>
      <c r="U98" s="620">
        <f>U97/$U$65</f>
        <v>2.6451612903225805</v>
      </c>
      <c r="V98" s="620">
        <f>V97/$W$65</f>
        <v>3.064516129032258</v>
      </c>
      <c r="W98" s="620">
        <f>W97/$W$65</f>
        <v>2.6451612903225805</v>
      </c>
      <c r="X98" s="620">
        <f>X97/$Y$65</f>
        <v>3.3928571428571428</v>
      </c>
      <c r="Y98" s="620">
        <f>Y97/$Y$65</f>
        <v>2.8214285714285716</v>
      </c>
      <c r="Z98" s="620">
        <f>Z97/$AA$65</f>
        <v>3.064516129032258</v>
      </c>
      <c r="AA98" s="620">
        <f>AA97/$AA$65</f>
        <v>3.129032258064516</v>
      </c>
      <c r="AB98" s="621">
        <f>AB97/$AJ$65</f>
        <v>3.1232876712328768</v>
      </c>
      <c r="AC98" s="621">
        <f>AC97/$AJ$65</f>
        <v>2.3232876712328765</v>
      </c>
      <c r="AD98" s="2">
        <f>+AD97/91</f>
        <v>1.2857142857142858</v>
      </c>
      <c r="AE98" s="2">
        <f>+AE97/92</f>
        <v>2.3152173913043477</v>
      </c>
      <c r="AF98" s="2">
        <f>+AF97/90</f>
        <v>2.8888888888888888</v>
      </c>
      <c r="AG98" s="2">
        <f t="shared" ref="AG98" si="88">+AG97/91</f>
        <v>2.8351648351648353</v>
      </c>
    </row>
    <row r="99" spans="2:41" x14ac:dyDescent="0.35">
      <c r="B99" s="793" t="s">
        <v>32</v>
      </c>
      <c r="C99" s="394" t="s">
        <v>90</v>
      </c>
      <c r="D99" s="461"/>
      <c r="E99" s="302">
        <v>5.7</v>
      </c>
      <c r="F99" s="461"/>
      <c r="G99" s="396">
        <v>5</v>
      </c>
      <c r="H99" s="461"/>
      <c r="I99" s="302">
        <v>4</v>
      </c>
      <c r="J99" s="461"/>
      <c r="K99" s="302">
        <v>4</v>
      </c>
      <c r="L99" s="461"/>
      <c r="M99" s="302"/>
      <c r="N99" s="461"/>
      <c r="O99" s="396"/>
      <c r="P99" s="461"/>
      <c r="Q99" s="302">
        <v>0</v>
      </c>
      <c r="R99" s="461"/>
      <c r="S99" s="396">
        <v>9</v>
      </c>
      <c r="T99" s="461"/>
      <c r="U99" s="302">
        <v>12</v>
      </c>
      <c r="V99" s="461"/>
      <c r="W99" s="396">
        <v>9</v>
      </c>
      <c r="X99" s="461"/>
      <c r="Y99" s="302">
        <v>12</v>
      </c>
      <c r="Z99" s="461"/>
      <c r="AA99" s="396">
        <v>11</v>
      </c>
      <c r="AB99" s="750"/>
      <c r="AC99" s="398">
        <f>+E99+G99+I99+K99+M99+O99+Q99+S99+U99+W99+Y99+AA99</f>
        <v>71.7</v>
      </c>
      <c r="AD99" s="2"/>
      <c r="AE99" s="2"/>
      <c r="AF99" s="2"/>
      <c r="AG99" s="2"/>
    </row>
    <row r="100" spans="2:41" x14ac:dyDescent="0.35">
      <c r="B100" s="794"/>
      <c r="C100" s="399" t="s">
        <v>92</v>
      </c>
      <c r="D100" s="602"/>
      <c r="E100" s="310">
        <v>5.3</v>
      </c>
      <c r="F100" s="602"/>
      <c r="G100" s="400">
        <v>0</v>
      </c>
      <c r="H100" s="602"/>
      <c r="I100" s="310">
        <v>10</v>
      </c>
      <c r="J100" s="741"/>
      <c r="K100" s="310">
        <v>3</v>
      </c>
      <c r="L100" s="741"/>
      <c r="M100" s="310"/>
      <c r="N100" s="741"/>
      <c r="O100" s="400"/>
      <c r="P100" s="741"/>
      <c r="Q100" s="310">
        <v>2</v>
      </c>
      <c r="R100" s="609"/>
      <c r="S100" s="400">
        <v>16</v>
      </c>
      <c r="T100" s="750"/>
      <c r="U100" s="310">
        <v>14</v>
      </c>
      <c r="V100" s="752"/>
      <c r="W100" s="400">
        <v>13</v>
      </c>
      <c r="X100" s="754"/>
      <c r="Y100" s="310">
        <v>10</v>
      </c>
      <c r="Z100" s="761"/>
      <c r="AA100" s="400">
        <v>5</v>
      </c>
      <c r="AB100" s="750"/>
      <c r="AC100" s="401">
        <f>+E100+G100+I100+K100+M100+O100+Q100+S100+U100+W100+Y100+AA100</f>
        <v>78.3</v>
      </c>
      <c r="AD100" s="2"/>
      <c r="AE100" s="2"/>
      <c r="AF100" s="2"/>
      <c r="AG100" s="2"/>
    </row>
    <row r="101" spans="2:41" ht="15" thickBot="1" x14ac:dyDescent="0.4">
      <c r="B101" s="794"/>
      <c r="C101" s="612" t="s">
        <v>125</v>
      </c>
      <c r="D101" s="613">
        <v>20</v>
      </c>
      <c r="E101" s="614">
        <f>SUM(E99:E100)</f>
        <v>11</v>
      </c>
      <c r="F101" s="613">
        <v>20</v>
      </c>
      <c r="G101" s="615">
        <f>SUM(G99:G100)</f>
        <v>5</v>
      </c>
      <c r="H101" s="613">
        <v>20</v>
      </c>
      <c r="I101" s="615">
        <f>SUM(I99:I100)</f>
        <v>14</v>
      </c>
      <c r="J101" s="613">
        <v>20</v>
      </c>
      <c r="K101" s="615">
        <f t="shared" ref="K101:M101" si="89">SUM(K99:K100)</f>
        <v>7</v>
      </c>
      <c r="L101" s="613">
        <v>20</v>
      </c>
      <c r="M101" s="617">
        <f t="shared" si="89"/>
        <v>0</v>
      </c>
      <c r="N101" s="613">
        <v>20</v>
      </c>
      <c r="O101" s="618">
        <f t="shared" ref="O101" si="90">SUM(O99:O100)</f>
        <v>0</v>
      </c>
      <c r="P101" s="613">
        <v>20</v>
      </c>
      <c r="Q101" s="617">
        <f t="shared" ref="Q101" si="91">SUM(Q99:Q100)</f>
        <v>2</v>
      </c>
      <c r="R101" s="616">
        <v>20</v>
      </c>
      <c r="S101" s="618">
        <f t="shared" ref="S101" si="92">SUM(S99:S100)</f>
        <v>25</v>
      </c>
      <c r="T101" s="616">
        <v>20</v>
      </c>
      <c r="U101" s="617">
        <f t="shared" ref="U101" si="93">SUM(U99:U100)</f>
        <v>26</v>
      </c>
      <c r="V101" s="616">
        <v>22</v>
      </c>
      <c r="W101" s="618">
        <f t="shared" ref="W101" si="94">SUM(W99:W100)</f>
        <v>22</v>
      </c>
      <c r="X101" s="616">
        <v>22</v>
      </c>
      <c r="Y101" s="617">
        <f>SUM(Y99:Y100)</f>
        <v>22</v>
      </c>
      <c r="Z101" s="616">
        <v>22</v>
      </c>
      <c r="AA101" s="618">
        <f t="shared" ref="AA101" si="95">SUM(AA99:AA100)</f>
        <v>16</v>
      </c>
      <c r="AB101" s="616">
        <f>+D101+F101+H101+J101+L101+N101+P101+R101+T101+V101+X101+Z101</f>
        <v>246</v>
      </c>
      <c r="AC101" s="617">
        <f>SUM(AC99:AC100)</f>
        <v>150</v>
      </c>
      <c r="AD101" s="135">
        <f>E101+G101+I101</f>
        <v>30</v>
      </c>
      <c r="AE101" s="135">
        <f>+K101+M101+O101</f>
        <v>7</v>
      </c>
      <c r="AF101" s="135">
        <f>Q101+S101+U101</f>
        <v>53</v>
      </c>
      <c r="AG101" s="135">
        <f>W101+Y101+AA101</f>
        <v>60</v>
      </c>
    </row>
    <row r="102" spans="2:41" ht="16" thickBot="1" x14ac:dyDescent="0.4">
      <c r="B102" s="795"/>
      <c r="C102" s="619" t="s">
        <v>126</v>
      </c>
      <c r="D102" s="620">
        <f>D101/$E$65</f>
        <v>0.66666666666666663</v>
      </c>
      <c r="E102" s="621">
        <f>E101/$E$65</f>
        <v>0.36666666666666664</v>
      </c>
      <c r="F102" s="620">
        <f>F101/$G$65</f>
        <v>0.64516129032258063</v>
      </c>
      <c r="G102" s="622">
        <f>G101/$G$65</f>
        <v>0.16129032258064516</v>
      </c>
      <c r="H102" s="620">
        <f>H101/$I$65</f>
        <v>0.66666666666666663</v>
      </c>
      <c r="I102" s="621">
        <f>I101/$I$65</f>
        <v>0.46666666666666667</v>
      </c>
      <c r="J102" s="620">
        <f>J101/$I$65</f>
        <v>0.66666666666666663</v>
      </c>
      <c r="K102" s="621">
        <f>K101/$K$65</f>
        <v>0.22580645161290322</v>
      </c>
      <c r="L102" s="620">
        <f>L101/$M$65</f>
        <v>0.64516129032258063</v>
      </c>
      <c r="M102" s="621">
        <f>M101/$M$65</f>
        <v>0</v>
      </c>
      <c r="N102" s="620">
        <f>N101/$O$65</f>
        <v>0.66666666666666663</v>
      </c>
      <c r="O102" s="623">
        <f>O101/$O$65</f>
        <v>0</v>
      </c>
      <c r="P102" s="620">
        <f>P101/$Q$65</f>
        <v>0.64516129032258063</v>
      </c>
      <c r="Q102" s="620">
        <f>Q101/$Q$65</f>
        <v>6.4516129032258063E-2</v>
      </c>
      <c r="R102" s="620">
        <f>R101/$S$65</f>
        <v>0.66666666666666663</v>
      </c>
      <c r="S102" s="620">
        <f>S101/$S$65</f>
        <v>0.83333333333333337</v>
      </c>
      <c r="T102" s="620">
        <f>T101/$S$65</f>
        <v>0.66666666666666663</v>
      </c>
      <c r="U102" s="620">
        <f>U101/$U$65</f>
        <v>0.83870967741935487</v>
      </c>
      <c r="V102" s="620">
        <f>V101/$W$65</f>
        <v>0.70967741935483875</v>
      </c>
      <c r="W102" s="620">
        <f>W101/$W$65</f>
        <v>0.70967741935483875</v>
      </c>
      <c r="X102" s="620">
        <f>X101/$Y$65</f>
        <v>0.7857142857142857</v>
      </c>
      <c r="Y102" s="620">
        <f>Y101/$Y$65</f>
        <v>0.7857142857142857</v>
      </c>
      <c r="Z102" s="620">
        <f>Z101/$AA$65</f>
        <v>0.70967741935483875</v>
      </c>
      <c r="AA102" s="620">
        <f>AA101/$AA$65</f>
        <v>0.5161290322580645</v>
      </c>
      <c r="AB102" s="621">
        <f>AB101/$AJ$65</f>
        <v>0.67397260273972603</v>
      </c>
      <c r="AC102" s="621">
        <f>AC101/$AJ$65</f>
        <v>0.41095890410958902</v>
      </c>
      <c r="AD102" s="2">
        <f>+AD101/91</f>
        <v>0.32967032967032966</v>
      </c>
      <c r="AE102" s="2">
        <f>+AE101/92</f>
        <v>7.6086956521739135E-2</v>
      </c>
      <c r="AF102" s="2">
        <f>+AF101/90</f>
        <v>0.58888888888888891</v>
      </c>
      <c r="AG102" s="2">
        <f t="shared" ref="AG102" si="96">+AG101/91</f>
        <v>0.65934065934065933</v>
      </c>
    </row>
    <row r="103" spans="2:41" x14ac:dyDescent="0.35">
      <c r="B103" s="799" t="s">
        <v>104</v>
      </c>
      <c r="C103" s="800"/>
      <c r="D103" s="604"/>
      <c r="E103" s="510">
        <f>E71+E75+E79+E83+E87+E91+E95+E99</f>
        <v>143.19999999999999</v>
      </c>
      <c r="F103" s="604"/>
      <c r="G103" s="605">
        <f>G71+G75+G79+G83+G87+G91+G95+G99</f>
        <v>80.900000000000006</v>
      </c>
      <c r="H103" s="604"/>
      <c r="I103" s="511">
        <f>I71+I75+I79+I83+I87+I91+I95+I99</f>
        <v>92.399999999999991</v>
      </c>
      <c r="J103" s="739"/>
      <c r="K103" s="511">
        <f>K71+K75+K79+K83+K87+K91+K95+K99</f>
        <v>150</v>
      </c>
      <c r="L103" s="739"/>
      <c r="M103" s="511">
        <f>M71+M75+M79+M83+M87+M91+M95+M99</f>
        <v>146.6</v>
      </c>
      <c r="N103" s="739"/>
      <c r="O103" s="611">
        <f>O71+O75+O79+O83+O87+O91+O95+O99</f>
        <v>163.29999999999998</v>
      </c>
      <c r="P103" s="739"/>
      <c r="Q103" s="511">
        <f>Q71+Q75+Q79+Q83+Q87+Q91+Q95+Q99</f>
        <v>171.3</v>
      </c>
      <c r="R103" s="610"/>
      <c r="S103" s="611">
        <f>S71+S75+S79+S83+S87+S91+S95+S99</f>
        <v>179.13</v>
      </c>
      <c r="T103" s="747"/>
      <c r="U103" s="511">
        <f>U71+U75+U79+U83+U87+U91+U95+U99</f>
        <v>193.47</v>
      </c>
      <c r="V103" s="751"/>
      <c r="W103" s="611">
        <f>W71+W75+W79+W83+W87+W91+W95+W99</f>
        <v>187</v>
      </c>
      <c r="X103" s="753"/>
      <c r="Y103" s="511">
        <f>Y71+Y75+Y79+Y83+Y87+Y91+Y95+Y99</f>
        <v>169.25</v>
      </c>
      <c r="Z103" s="760"/>
      <c r="AA103" s="748">
        <f>AA71+AA75+AA79+AA83+AA87+AA91+AA95+AA99</f>
        <v>175.06</v>
      </c>
      <c r="AB103" s="747"/>
      <c r="AC103" s="511">
        <f>+E103+G103+I103+K103+M103+O103+Q103+S103+U103+W103+Y103+AA103</f>
        <v>1851.61</v>
      </c>
      <c r="AD103" s="2"/>
      <c r="AE103" s="2"/>
      <c r="AF103" s="2"/>
      <c r="AG103" s="2"/>
    </row>
    <row r="104" spans="2:41" ht="15.5" x14ac:dyDescent="0.35">
      <c r="B104" s="801" t="s">
        <v>105</v>
      </c>
      <c r="C104" s="802"/>
      <c r="D104" s="606"/>
      <c r="E104" s="515">
        <f>E72+E76+E80+E84+E88+E92+E96+E100</f>
        <v>235.8</v>
      </c>
      <c r="F104" s="606"/>
      <c r="G104" s="508">
        <f>G72+G76+G80+G84+G88+G92+G96+G100</f>
        <v>172.1</v>
      </c>
      <c r="H104" s="606"/>
      <c r="I104" s="497">
        <f>I72+I76+I80+I84+I88+I92+I96+I100</f>
        <v>227.6</v>
      </c>
      <c r="J104" s="740"/>
      <c r="K104" s="497">
        <f>K72+K76+K80+K84+K88+K92+K96+K100</f>
        <v>312</v>
      </c>
      <c r="L104" s="740"/>
      <c r="M104" s="497">
        <f>M72+M76+M80+M84+M88+M92+M96+M100</f>
        <v>309.39999999999998</v>
      </c>
      <c r="N104" s="740"/>
      <c r="O104" s="508">
        <f>O72+O76+O80+O84+O88+O92+O96+O100</f>
        <v>396.7</v>
      </c>
      <c r="P104" s="740"/>
      <c r="Q104" s="497">
        <f>Q72+Q76+Q80+Q84+Q88+Q92+Q96+Q100</f>
        <v>422.70000000000005</v>
      </c>
      <c r="R104" s="516"/>
      <c r="S104" s="508">
        <f>S72+S76+S80+S84+S88+S92+S96+S100</f>
        <v>468.87</v>
      </c>
      <c r="T104" s="516"/>
      <c r="U104" s="497">
        <f>U72+U76+U80+U84+U88+U92+U96+U100</f>
        <v>436.53000000000003</v>
      </c>
      <c r="V104" s="516"/>
      <c r="W104" s="508">
        <f>W72+W76+W80+W84+W88+W92+W96+W100</f>
        <v>477</v>
      </c>
      <c r="X104" s="516"/>
      <c r="Y104" s="497">
        <f>Y72+Y76+Y80+Y84+Y88+Y92+Y96+Y100</f>
        <v>404.75</v>
      </c>
      <c r="Z104" s="516"/>
      <c r="AA104" s="508">
        <f>AA72+AA76+AA80+AA84+AA88+AA92+AA96+AA100</f>
        <v>429.93999999999994</v>
      </c>
      <c r="AB104" s="518"/>
      <c r="AC104" s="519">
        <f>+E104+G104+I104+K104+M104+O104+Q104+S104+U104+W104+Y104+AA104</f>
        <v>4293.3900000000003</v>
      </c>
      <c r="AD104" s="513"/>
      <c r="AE104" s="513"/>
      <c r="AF104" s="513"/>
      <c r="AG104" s="513"/>
    </row>
    <row r="105" spans="2:41" ht="15" thickBot="1" x14ac:dyDescent="0.4">
      <c r="B105" s="803" t="s">
        <v>127</v>
      </c>
      <c r="C105" s="804"/>
      <c r="D105" s="603">
        <f>D73+D77+D81+D85+D89+D93+D97+D101</f>
        <v>570</v>
      </c>
      <c r="E105" s="45">
        <f>SUM(E103:E104)</f>
        <v>379</v>
      </c>
      <c r="F105" s="624">
        <f>F73+F77+F81+F85+F89+F93+F97+F101</f>
        <v>570</v>
      </c>
      <c r="G105" s="625">
        <f t="shared" ref="G105:I105" si="97">SUM(G103:G104)</f>
        <v>253</v>
      </c>
      <c r="H105" s="624">
        <f>H73+H77+H81+H85+H89+H93+H97+H101</f>
        <v>570</v>
      </c>
      <c r="I105" s="625">
        <f t="shared" si="97"/>
        <v>320</v>
      </c>
      <c r="J105" s="624">
        <f>J73+J77+J81+J85+J89+J93+J97+J101</f>
        <v>570</v>
      </c>
      <c r="K105" s="625">
        <f>SUM(K103:K104)</f>
        <v>462</v>
      </c>
      <c r="L105" s="624">
        <f>L73+L77+L81+L85+L89+L93+L97+L101</f>
        <v>570</v>
      </c>
      <c r="M105" s="625">
        <f>SUM(M103:M104)</f>
        <v>456</v>
      </c>
      <c r="N105" s="624">
        <f>N73+N77+N81+N85+N89+N93+N97+N101</f>
        <v>570</v>
      </c>
      <c r="O105" s="625">
        <f>SUM(O103:O104)</f>
        <v>560</v>
      </c>
      <c r="P105" s="624">
        <f>P73+P77+P81+P85+P89+P93+P97+P101</f>
        <v>570</v>
      </c>
      <c r="Q105" s="762">
        <f>SUM(Q103:Q104)</f>
        <v>594</v>
      </c>
      <c r="R105" s="624">
        <f>R73+R77+R81+R85+R89+R93+R97+R101</f>
        <v>570</v>
      </c>
      <c r="S105" s="762">
        <f>SUM(S103:S104)</f>
        <v>648</v>
      </c>
      <c r="T105" s="624">
        <f>T73+T77+T81+T85+T89+T93+T97+T101</f>
        <v>570</v>
      </c>
      <c r="U105" s="762">
        <f>SUM(U103:U104)</f>
        <v>630</v>
      </c>
      <c r="V105" s="624">
        <f>V73+V77+V81+V85+V89+V93+V97+V101</f>
        <v>585</v>
      </c>
      <c r="W105" s="762">
        <f>SUM(W103:W104)</f>
        <v>664</v>
      </c>
      <c r="X105" s="624">
        <f>X73+X77+X81+X85+X89+X93+X97+X101</f>
        <v>585</v>
      </c>
      <c r="Y105" s="762">
        <f>Y73+Y77+Y81+Y85+Y89+Y93+Y97+Y101</f>
        <v>574</v>
      </c>
      <c r="Z105" s="624">
        <f>Z73+Z77+Z81+Z85+Z89+Z93+Z97+Z101</f>
        <v>585</v>
      </c>
      <c r="AA105" s="762">
        <f>AA73+AA77+AA81+AA85+AA89+AA93+AA97+AA101</f>
        <v>605</v>
      </c>
      <c r="AB105" s="624">
        <f>+D105+F105+H105+J105+L105+N105+P105+R105+T105+V105+X105+Z105</f>
        <v>6885</v>
      </c>
      <c r="AC105" s="626">
        <f>SUM(AC103:AC104)</f>
        <v>6145</v>
      </c>
      <c r="AD105" s="135">
        <f>E105+G105+I105</f>
        <v>952</v>
      </c>
      <c r="AE105" s="135">
        <f>+K105+M105+O105</f>
        <v>1478</v>
      </c>
      <c r="AF105" s="135">
        <f>Q105+S105+U105</f>
        <v>1872</v>
      </c>
      <c r="AG105" s="135">
        <f>W105+Y105+AA105</f>
        <v>1843</v>
      </c>
    </row>
    <row r="106" spans="2:41" ht="16" thickBot="1" x14ac:dyDescent="0.4">
      <c r="B106" s="805" t="s">
        <v>128</v>
      </c>
      <c r="C106" s="806"/>
      <c r="D106" s="620">
        <f>D105/$E$65</f>
        <v>19</v>
      </c>
      <c r="E106" s="621">
        <f>E105/$E$65</f>
        <v>12.633333333333333</v>
      </c>
      <c r="F106" s="620">
        <f>F105/$G$65</f>
        <v>18.387096774193548</v>
      </c>
      <c r="G106" s="622">
        <f>G105/$G$65</f>
        <v>8.1612903225806459</v>
      </c>
      <c r="H106" s="620">
        <f>H105/$I$65</f>
        <v>19</v>
      </c>
      <c r="I106" s="621">
        <f>I105/$I$65</f>
        <v>10.666666666666666</v>
      </c>
      <c r="J106" s="620">
        <f>J105/$I$65</f>
        <v>19</v>
      </c>
      <c r="K106" s="621">
        <f>K105/$K$65</f>
        <v>14.903225806451612</v>
      </c>
      <c r="L106" s="620">
        <f>L105/$M$65</f>
        <v>18.387096774193548</v>
      </c>
      <c r="M106" s="621">
        <f>M105/$M$65</f>
        <v>14.709677419354838</v>
      </c>
      <c r="N106" s="620">
        <f>N105/$O$65</f>
        <v>19</v>
      </c>
      <c r="O106" s="623">
        <f>O105/$O$65</f>
        <v>18.666666666666668</v>
      </c>
      <c r="P106" s="620">
        <f>P105/$Q$65</f>
        <v>18.387096774193548</v>
      </c>
      <c r="Q106" s="620">
        <f>Q105/$Q$65</f>
        <v>19.161290322580644</v>
      </c>
      <c r="R106" s="620">
        <f>R105/$S$65</f>
        <v>19</v>
      </c>
      <c r="S106" s="620">
        <f>S105/$S$65</f>
        <v>21.6</v>
      </c>
      <c r="T106" s="620">
        <f>T105/$S$65</f>
        <v>19</v>
      </c>
      <c r="U106" s="620">
        <f>U105/$U$65</f>
        <v>20.322580645161292</v>
      </c>
      <c r="V106" s="620">
        <f>V105/$W$65</f>
        <v>18.870967741935484</v>
      </c>
      <c r="W106" s="620">
        <f>W105/$W$65</f>
        <v>21.419354838709676</v>
      </c>
      <c r="X106" s="620">
        <f>X105/$Y$65</f>
        <v>20.892857142857142</v>
      </c>
      <c r="Y106" s="620">
        <f>Y105/$Y$65</f>
        <v>20.5</v>
      </c>
      <c r="Z106" s="620">
        <f>Z105/$AA$65</f>
        <v>18.870967741935484</v>
      </c>
      <c r="AA106" s="620">
        <f>AA105/$AA$65</f>
        <v>19.516129032258064</v>
      </c>
      <c r="AB106" s="621">
        <f>AB105/$AJ$65</f>
        <v>18.863013698630137</v>
      </c>
      <c r="AC106" s="621">
        <f>AC105/$AJ$65</f>
        <v>16.835616438356166</v>
      </c>
      <c r="AD106" s="2">
        <f>+AD105/91</f>
        <v>10.461538461538462</v>
      </c>
      <c r="AE106" s="2">
        <f>+AE105/92</f>
        <v>16.065217391304348</v>
      </c>
      <c r="AF106" s="2">
        <f>+AF105/90</f>
        <v>20.8</v>
      </c>
      <c r="AG106" s="2">
        <f t="shared" ref="AG106" si="98">+AG105/91</f>
        <v>20.252747252747252</v>
      </c>
    </row>
    <row r="107" spans="2:41" hidden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>
        <v>1718</v>
      </c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2:41" hidden="1" x14ac:dyDescent="0.35">
      <c r="B108" s="2"/>
      <c r="C108" s="759" t="s">
        <v>239</v>
      </c>
      <c r="D108" s="2"/>
      <c r="E108" s="2">
        <f>+E85+E89</f>
        <v>48</v>
      </c>
      <c r="F108" s="2"/>
      <c r="G108" s="2">
        <f>+G85+G89</f>
        <v>35</v>
      </c>
      <c r="H108" s="2"/>
      <c r="I108" s="2">
        <f>+I85+I89</f>
        <v>52</v>
      </c>
      <c r="J108" s="2"/>
      <c r="K108" s="2">
        <f>+K85+K89</f>
        <v>90</v>
      </c>
      <c r="L108" s="2"/>
      <c r="M108" s="2">
        <f>+M85+M89</f>
        <v>78</v>
      </c>
      <c r="N108" s="2"/>
      <c r="O108" s="2">
        <f>+O85+O89</f>
        <v>96</v>
      </c>
      <c r="P108" s="2"/>
      <c r="Q108" s="2">
        <f>+Q85+Q89</f>
        <v>81</v>
      </c>
      <c r="R108" s="2"/>
      <c r="S108" s="2">
        <f>+S85+S89</f>
        <v>84</v>
      </c>
      <c r="T108" s="2"/>
      <c r="U108" s="2">
        <f>+U85+U89</f>
        <v>81</v>
      </c>
      <c r="V108" s="2"/>
      <c r="W108" s="2">
        <f>+W85+W89</f>
        <v>95</v>
      </c>
      <c r="X108" s="2"/>
      <c r="Y108" s="2">
        <f>+Y85+Y89</f>
        <v>88</v>
      </c>
      <c r="Z108" s="2"/>
      <c r="AA108" s="2">
        <f>+AA85+AA89</f>
        <v>111</v>
      </c>
      <c r="AB108" s="2"/>
      <c r="AC108" s="2">
        <f>+AC85+AC89</f>
        <v>939</v>
      </c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2:41" hidden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>
        <f>+Y108/29</f>
        <v>3.0344827586206895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>
        <v>19.724137931034484</v>
      </c>
      <c r="AM109" s="2"/>
      <c r="AN109" s="2">
        <f>+AC105+572+579</f>
        <v>7296</v>
      </c>
      <c r="AO109" s="2"/>
    </row>
    <row r="110" spans="2:41" ht="15" thickBot="1" x14ac:dyDescent="0.4">
      <c r="B110" s="2"/>
      <c r="C110" s="2"/>
      <c r="D110" s="2"/>
      <c r="E110" s="2">
        <f>DAY(EOMONTH(D111,0))</f>
        <v>30</v>
      </c>
      <c r="F110" s="2"/>
      <c r="G110" s="2">
        <f t="shared" ref="G110" si="99">DAY(EOMONTH(F111,0))</f>
        <v>31</v>
      </c>
      <c r="H110" s="2"/>
      <c r="I110" s="2">
        <f t="shared" ref="I110" si="100">DAY(EOMONTH(H111,0))</f>
        <v>30</v>
      </c>
      <c r="J110" s="2"/>
      <c r="K110" s="2">
        <f t="shared" ref="K110" si="101">DAY(EOMONTH(J111,0))</f>
        <v>31</v>
      </c>
      <c r="L110" s="2"/>
      <c r="M110" s="2">
        <f t="shared" ref="M110" si="102">DAY(EOMONTH(L111,0))</f>
        <v>31</v>
      </c>
      <c r="N110" s="2"/>
      <c r="O110" s="2">
        <f t="shared" ref="O110" si="103">DAY(EOMONTH(N111,0))</f>
        <v>30</v>
      </c>
      <c r="P110" s="2"/>
      <c r="Q110" s="2">
        <f t="shared" ref="Q110" si="104">DAY(EOMONTH(P111,0))</f>
        <v>31</v>
      </c>
      <c r="R110" s="2"/>
      <c r="S110" s="2">
        <f t="shared" ref="S110" si="105">DAY(EOMONTH(R111,0))</f>
        <v>30</v>
      </c>
      <c r="T110" s="2"/>
      <c r="U110" s="2">
        <f t="shared" ref="U110" si="106">DAY(EOMONTH(T111,0))</f>
        <v>31</v>
      </c>
      <c r="V110" s="2"/>
      <c r="W110" s="2">
        <f t="shared" ref="W110" si="107">DAY(EOMONTH(V111,0))</f>
        <v>31</v>
      </c>
      <c r="X110" s="2"/>
      <c r="Y110" s="2">
        <f t="shared" ref="Y110" si="108">DAY(EOMONTH(X111,0))</f>
        <v>28</v>
      </c>
      <c r="Z110" s="2"/>
      <c r="AA110" s="2">
        <f t="shared" ref="AA110" si="109">DAY(EOMONTH(Z111,0))</f>
        <v>31</v>
      </c>
      <c r="AB110" s="2"/>
      <c r="AC110" s="2">
        <f>SUM(E110:AB110)</f>
        <v>365</v>
      </c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2:41" x14ac:dyDescent="0.35">
      <c r="B111" s="2"/>
      <c r="C111" s="2"/>
      <c r="D111" s="807">
        <v>43922</v>
      </c>
      <c r="E111" s="808"/>
      <c r="F111" s="807">
        <v>43952</v>
      </c>
      <c r="G111" s="808"/>
      <c r="H111" s="807">
        <v>43983</v>
      </c>
      <c r="I111" s="808"/>
      <c r="J111" s="807">
        <v>44013</v>
      </c>
      <c r="K111" s="808"/>
      <c r="L111" s="807">
        <v>44044</v>
      </c>
      <c r="M111" s="808"/>
      <c r="N111" s="654">
        <v>44075</v>
      </c>
      <c r="O111" s="655"/>
      <c r="P111" s="607">
        <v>44105</v>
      </c>
      <c r="Q111" s="608"/>
      <c r="R111" s="607">
        <v>44136</v>
      </c>
      <c r="S111" s="608"/>
      <c r="T111" s="607">
        <v>44166</v>
      </c>
      <c r="U111" s="656"/>
      <c r="V111" s="607">
        <v>44197</v>
      </c>
      <c r="W111" s="744"/>
      <c r="X111" s="743">
        <v>44228</v>
      </c>
      <c r="Y111" s="744"/>
      <c r="Z111" s="743">
        <v>44256</v>
      </c>
      <c r="AA111" s="744"/>
      <c r="AB111" s="745" t="s">
        <v>206</v>
      </c>
      <c r="AC111" s="746"/>
    </row>
    <row r="112" spans="2:41" x14ac:dyDescent="0.35">
      <c r="B112" s="192"/>
      <c r="C112" s="193"/>
      <c r="D112" s="407" t="s">
        <v>153</v>
      </c>
      <c r="E112" s="407" t="s">
        <v>154</v>
      </c>
      <c r="F112" s="407" t="s">
        <v>153</v>
      </c>
      <c r="G112" s="407" t="s">
        <v>154</v>
      </c>
      <c r="H112" s="407" t="s">
        <v>153</v>
      </c>
      <c r="I112" s="407" t="s">
        <v>154</v>
      </c>
      <c r="J112" s="407" t="s">
        <v>153</v>
      </c>
      <c r="K112" s="407" t="s">
        <v>154</v>
      </c>
      <c r="L112" s="407" t="s">
        <v>153</v>
      </c>
      <c r="M112" s="407" t="s">
        <v>154</v>
      </c>
      <c r="N112" s="407" t="s">
        <v>153</v>
      </c>
      <c r="O112" s="407" t="s">
        <v>154</v>
      </c>
      <c r="P112" s="407" t="s">
        <v>153</v>
      </c>
      <c r="Q112" s="407" t="s">
        <v>154</v>
      </c>
      <c r="R112" s="407" t="s">
        <v>153</v>
      </c>
      <c r="S112" s="407" t="s">
        <v>154</v>
      </c>
      <c r="T112" s="407" t="s">
        <v>153</v>
      </c>
      <c r="U112" s="407"/>
      <c r="V112" s="407" t="s">
        <v>153</v>
      </c>
      <c r="W112" s="407" t="s">
        <v>154</v>
      </c>
      <c r="X112" s="407" t="s">
        <v>153</v>
      </c>
      <c r="Y112" s="407" t="s">
        <v>154</v>
      </c>
      <c r="Z112" s="407" t="s">
        <v>153</v>
      </c>
      <c r="AA112" s="407" t="s">
        <v>154</v>
      </c>
      <c r="AB112" s="407" t="s">
        <v>153</v>
      </c>
      <c r="AC112" s="407" t="s">
        <v>154</v>
      </c>
    </row>
    <row r="113" spans="2:29" x14ac:dyDescent="0.35">
      <c r="B113" s="809" t="s">
        <v>1</v>
      </c>
      <c r="C113" s="226" t="s">
        <v>90</v>
      </c>
      <c r="D113" s="792">
        <v>165</v>
      </c>
      <c r="E113" s="210">
        <v>39.9</v>
      </c>
      <c r="F113" s="792">
        <v>165</v>
      </c>
      <c r="G113" s="210">
        <v>17.899999999999999</v>
      </c>
      <c r="H113" s="792">
        <v>165</v>
      </c>
      <c r="I113" s="210">
        <v>20</v>
      </c>
      <c r="J113" s="792">
        <v>165</v>
      </c>
      <c r="K113" s="210">
        <v>46.5</v>
      </c>
      <c r="L113" s="792">
        <v>165</v>
      </c>
      <c r="M113" s="227">
        <v>46.1</v>
      </c>
      <c r="N113" s="792">
        <v>165</v>
      </c>
      <c r="O113" s="227">
        <v>54.3</v>
      </c>
      <c r="P113" s="817">
        <v>165</v>
      </c>
      <c r="Q113" s="757">
        <v>67</v>
      </c>
      <c r="R113" s="792">
        <v>165</v>
      </c>
      <c r="S113" s="227">
        <v>69.510000000000005</v>
      </c>
      <c r="T113" s="792">
        <v>165</v>
      </c>
      <c r="U113" s="227">
        <v>71.14</v>
      </c>
      <c r="V113" s="792">
        <v>150</v>
      </c>
      <c r="W113" s="227">
        <v>67.94</v>
      </c>
      <c r="X113" s="792">
        <v>150</v>
      </c>
      <c r="Y113" s="227">
        <v>49.68</v>
      </c>
      <c r="Z113" s="792">
        <v>150</v>
      </c>
      <c r="AA113" s="227">
        <v>64.73</v>
      </c>
      <c r="AB113" s="749">
        <f>D113+F113+H113+J113+L113+N113+P113+R113+T113+V113+X113+Z113</f>
        <v>1935</v>
      </c>
      <c r="AC113" s="228">
        <f>E113+G113+I113+K113+M113+O113+Q113+S113+U113+W113+Y113+AA113</f>
        <v>614.69999999999993</v>
      </c>
    </row>
    <row r="114" spans="2:29" x14ac:dyDescent="0.35">
      <c r="B114" s="809"/>
      <c r="C114" s="226" t="s">
        <v>92</v>
      </c>
      <c r="D114" s="792"/>
      <c r="E114" s="210">
        <v>57.1</v>
      </c>
      <c r="F114" s="792"/>
      <c r="G114" s="210">
        <v>46.1</v>
      </c>
      <c r="H114" s="792"/>
      <c r="I114" s="210">
        <v>61</v>
      </c>
      <c r="J114" s="792"/>
      <c r="K114" s="210">
        <v>75.5</v>
      </c>
      <c r="L114" s="792"/>
      <c r="M114" s="227">
        <v>79.900000000000006</v>
      </c>
      <c r="N114" s="792"/>
      <c r="O114" s="227">
        <v>89.7</v>
      </c>
      <c r="P114" s="817"/>
      <c r="Q114" s="757">
        <v>72</v>
      </c>
      <c r="R114" s="792"/>
      <c r="S114" s="227">
        <v>88.49</v>
      </c>
      <c r="T114" s="792"/>
      <c r="U114" s="227">
        <v>72.86</v>
      </c>
      <c r="V114" s="792"/>
      <c r="W114" s="227">
        <v>91.06</v>
      </c>
      <c r="X114" s="792"/>
      <c r="Y114" s="227">
        <v>76.319999999999993</v>
      </c>
      <c r="Z114" s="792"/>
      <c r="AA114" s="227">
        <v>82.27</v>
      </c>
      <c r="AB114" s="749"/>
      <c r="AC114" s="228">
        <f t="shared" ref="AC114:AC127" si="110">E114+G114+I114+K114+M114+O114+Q114+S114+U114+W114+Y114+AA114</f>
        <v>892.3</v>
      </c>
    </row>
    <row r="115" spans="2:29" x14ac:dyDescent="0.35">
      <c r="B115" s="809" t="s">
        <v>2</v>
      </c>
      <c r="C115" s="226" t="s">
        <v>90</v>
      </c>
      <c r="D115" s="792">
        <v>80</v>
      </c>
      <c r="E115" s="210">
        <v>20.6</v>
      </c>
      <c r="F115" s="792">
        <v>80</v>
      </c>
      <c r="G115" s="210">
        <v>17</v>
      </c>
      <c r="H115" s="792">
        <v>80</v>
      </c>
      <c r="I115" s="210">
        <v>23.7</v>
      </c>
      <c r="J115" s="792">
        <v>80</v>
      </c>
      <c r="K115" s="210">
        <v>27.6</v>
      </c>
      <c r="L115" s="792">
        <v>80</v>
      </c>
      <c r="M115" s="227">
        <v>32.700000000000003</v>
      </c>
      <c r="N115" s="792">
        <v>80</v>
      </c>
      <c r="O115" s="227">
        <v>35.5</v>
      </c>
      <c r="P115" s="817">
        <v>80</v>
      </c>
      <c r="Q115" s="757">
        <v>36.4</v>
      </c>
      <c r="R115" s="792">
        <v>80</v>
      </c>
      <c r="S115" s="227">
        <v>33.840000000000003</v>
      </c>
      <c r="T115" s="792">
        <v>80</v>
      </c>
      <c r="U115" s="227">
        <v>36.26</v>
      </c>
      <c r="V115" s="792">
        <v>100</v>
      </c>
      <c r="W115" s="227">
        <v>34.770000000000003</v>
      </c>
      <c r="X115" s="792">
        <v>100</v>
      </c>
      <c r="Y115" s="227">
        <v>35.35</v>
      </c>
      <c r="Z115" s="792">
        <v>100</v>
      </c>
      <c r="AA115" s="227">
        <v>27.35</v>
      </c>
      <c r="AB115" s="749">
        <f>D115+F115+H115+J115+L115+N115+P115+R115+T115+V115+X115+Z115</f>
        <v>1020</v>
      </c>
      <c r="AC115" s="228">
        <f t="shared" si="110"/>
        <v>361.07000000000005</v>
      </c>
    </row>
    <row r="116" spans="2:29" x14ac:dyDescent="0.35">
      <c r="B116" s="809"/>
      <c r="C116" s="226" t="s">
        <v>92</v>
      </c>
      <c r="D116" s="792"/>
      <c r="E116" s="210">
        <v>33.4</v>
      </c>
      <c r="F116" s="792"/>
      <c r="G116" s="210">
        <v>21</v>
      </c>
      <c r="H116" s="792"/>
      <c r="I116" s="210">
        <v>36.299999999999997</v>
      </c>
      <c r="J116" s="792"/>
      <c r="K116" s="210">
        <v>46.4</v>
      </c>
      <c r="L116" s="792"/>
      <c r="M116" s="227">
        <v>56.3</v>
      </c>
      <c r="N116" s="792"/>
      <c r="O116" s="227">
        <v>58.5</v>
      </c>
      <c r="P116" s="817"/>
      <c r="Q116" s="757">
        <v>57.6</v>
      </c>
      <c r="R116" s="792"/>
      <c r="S116" s="227">
        <v>65.16</v>
      </c>
      <c r="T116" s="792"/>
      <c r="U116" s="227">
        <v>69.739999999999995</v>
      </c>
      <c r="V116" s="792"/>
      <c r="W116" s="227">
        <v>69.23</v>
      </c>
      <c r="X116" s="792"/>
      <c r="Y116" s="227">
        <v>50.65</v>
      </c>
      <c r="Z116" s="792"/>
      <c r="AA116" s="227">
        <v>34.65</v>
      </c>
      <c r="AB116" s="749"/>
      <c r="AC116" s="228">
        <f t="shared" si="110"/>
        <v>598.92999999999995</v>
      </c>
    </row>
    <row r="117" spans="2:29" x14ac:dyDescent="0.35">
      <c r="B117" s="809" t="s">
        <v>3</v>
      </c>
      <c r="C117" s="226" t="s">
        <v>90</v>
      </c>
      <c r="D117" s="792">
        <v>165</v>
      </c>
      <c r="E117" s="210">
        <v>53.7</v>
      </c>
      <c r="F117" s="792">
        <v>165</v>
      </c>
      <c r="G117" s="210">
        <v>32</v>
      </c>
      <c r="H117" s="792">
        <v>165</v>
      </c>
      <c r="I117" s="210">
        <v>26.5</v>
      </c>
      <c r="J117" s="792">
        <v>165</v>
      </c>
      <c r="K117" s="210">
        <v>47</v>
      </c>
      <c r="L117" s="792">
        <v>165</v>
      </c>
      <c r="M117" s="227">
        <v>45</v>
      </c>
      <c r="N117" s="792">
        <v>165</v>
      </c>
      <c r="O117" s="227">
        <v>51</v>
      </c>
      <c r="P117" s="817">
        <v>165</v>
      </c>
      <c r="Q117" s="757">
        <v>58</v>
      </c>
      <c r="R117" s="792">
        <v>165</v>
      </c>
      <c r="S117" s="227">
        <v>59</v>
      </c>
      <c r="T117" s="792">
        <v>165</v>
      </c>
      <c r="U117" s="227">
        <v>65</v>
      </c>
      <c r="V117" s="792">
        <v>200</v>
      </c>
      <c r="W117" s="227">
        <v>63</v>
      </c>
      <c r="X117" s="792">
        <v>200</v>
      </c>
      <c r="Y117" s="227">
        <v>56</v>
      </c>
      <c r="Z117" s="792">
        <v>200</v>
      </c>
      <c r="AA117" s="227">
        <v>55</v>
      </c>
      <c r="AB117" s="749">
        <f>D117+F117+H117+J117+L117+N117+P117+R117+T117+V117+X117+Z117</f>
        <v>2085</v>
      </c>
      <c r="AC117" s="228">
        <f t="shared" si="110"/>
        <v>611.20000000000005</v>
      </c>
    </row>
    <row r="118" spans="2:29" x14ac:dyDescent="0.35">
      <c r="B118" s="809"/>
      <c r="C118" s="226" t="s">
        <v>92</v>
      </c>
      <c r="D118" s="792"/>
      <c r="E118" s="210">
        <v>73.3</v>
      </c>
      <c r="F118" s="792"/>
      <c r="G118" s="210">
        <v>45</v>
      </c>
      <c r="H118" s="792"/>
      <c r="I118" s="210">
        <v>52.5</v>
      </c>
      <c r="J118" s="792"/>
      <c r="K118" s="210">
        <v>98</v>
      </c>
      <c r="L118" s="792"/>
      <c r="M118" s="227">
        <v>84</v>
      </c>
      <c r="N118" s="792"/>
      <c r="O118" s="227">
        <v>101</v>
      </c>
      <c r="P118" s="817"/>
      <c r="Q118" s="757">
        <v>128</v>
      </c>
      <c r="R118" s="792"/>
      <c r="S118" s="227">
        <v>123</v>
      </c>
      <c r="T118" s="792"/>
      <c r="U118" s="227">
        <v>135</v>
      </c>
      <c r="V118" s="792"/>
      <c r="W118" s="227">
        <v>135</v>
      </c>
      <c r="X118" s="792"/>
      <c r="Y118" s="227">
        <v>101</v>
      </c>
      <c r="Z118" s="792"/>
      <c r="AA118" s="227">
        <v>103</v>
      </c>
      <c r="AB118" s="749"/>
      <c r="AC118" s="228">
        <f t="shared" si="110"/>
        <v>1178.8</v>
      </c>
    </row>
    <row r="119" spans="2:29" x14ac:dyDescent="0.35">
      <c r="B119" s="809" t="s">
        <v>47</v>
      </c>
      <c r="C119" s="226" t="s">
        <v>90</v>
      </c>
      <c r="D119" s="792">
        <v>130</v>
      </c>
      <c r="E119" s="210">
        <v>26</v>
      </c>
      <c r="F119" s="792">
        <v>130</v>
      </c>
      <c r="G119" s="210">
        <v>13</v>
      </c>
      <c r="H119" s="792">
        <v>130</v>
      </c>
      <c r="I119" s="210">
        <v>22.2</v>
      </c>
      <c r="J119" s="792">
        <v>130</v>
      </c>
      <c r="K119" s="210">
        <v>28.9</v>
      </c>
      <c r="L119" s="792">
        <v>130</v>
      </c>
      <c r="M119" s="227">
        <v>22.8</v>
      </c>
      <c r="N119" s="792">
        <v>130</v>
      </c>
      <c r="O119" s="227">
        <v>22.5</v>
      </c>
      <c r="P119" s="817">
        <v>130</v>
      </c>
      <c r="Q119" s="757">
        <v>9.9</v>
      </c>
      <c r="R119" s="792">
        <v>130</v>
      </c>
      <c r="S119" s="227">
        <v>16.78</v>
      </c>
      <c r="T119" s="792">
        <v>130</v>
      </c>
      <c r="U119" s="227">
        <v>21.07</v>
      </c>
      <c r="V119" s="792">
        <v>105</v>
      </c>
      <c r="W119" s="227">
        <v>21.28</v>
      </c>
      <c r="X119" s="792">
        <v>105</v>
      </c>
      <c r="Y119" s="227">
        <v>27.22</v>
      </c>
      <c r="Z119" s="792">
        <v>105</v>
      </c>
      <c r="AA119" s="227">
        <v>26.98</v>
      </c>
      <c r="AB119" s="749">
        <f>D119+F119+H119+J119+L119+N119+P119+R119+T119+V119+X119+Z119</f>
        <v>1485</v>
      </c>
      <c r="AC119" s="228">
        <f t="shared" si="110"/>
        <v>258.63</v>
      </c>
    </row>
    <row r="120" spans="2:29" x14ac:dyDescent="0.35">
      <c r="B120" s="809"/>
      <c r="C120" s="226" t="s">
        <v>92</v>
      </c>
      <c r="D120" s="792"/>
      <c r="E120" s="210">
        <v>47</v>
      </c>
      <c r="F120" s="792"/>
      <c r="G120" s="210">
        <v>55</v>
      </c>
      <c r="H120" s="792"/>
      <c r="I120" s="210">
        <v>56.8</v>
      </c>
      <c r="J120" s="792"/>
      <c r="K120" s="210">
        <v>78.099999999999994</v>
      </c>
      <c r="L120" s="792"/>
      <c r="M120" s="227">
        <v>67.2</v>
      </c>
      <c r="N120" s="792"/>
      <c r="O120" s="227">
        <v>59.5</v>
      </c>
      <c r="P120" s="817"/>
      <c r="Q120" s="757">
        <v>49.1</v>
      </c>
      <c r="R120" s="792"/>
      <c r="S120" s="227">
        <v>83.22</v>
      </c>
      <c r="T120" s="792"/>
      <c r="U120" s="227">
        <v>83.93</v>
      </c>
      <c r="V120" s="792"/>
      <c r="W120" s="227">
        <v>98.72</v>
      </c>
      <c r="X120" s="792"/>
      <c r="Y120" s="227">
        <v>73.78</v>
      </c>
      <c r="Z120" s="792"/>
      <c r="AA120" s="227">
        <v>73.02</v>
      </c>
      <c r="AB120" s="749"/>
      <c r="AC120" s="228">
        <f t="shared" si="110"/>
        <v>825.37000000000012</v>
      </c>
    </row>
    <row r="121" spans="2:29" x14ac:dyDescent="0.35">
      <c r="B121" s="809" t="s">
        <v>48</v>
      </c>
      <c r="C121" s="226" t="s">
        <v>90</v>
      </c>
      <c r="D121" s="792">
        <v>30</v>
      </c>
      <c r="E121" s="210">
        <v>3</v>
      </c>
      <c r="F121" s="792">
        <v>30</v>
      </c>
      <c r="G121" s="210">
        <v>1</v>
      </c>
      <c r="H121" s="792">
        <v>30</v>
      </c>
      <c r="I121" s="210"/>
      <c r="J121" s="792">
        <v>30</v>
      </c>
      <c r="K121" s="210"/>
      <c r="L121" s="792">
        <v>30</v>
      </c>
      <c r="M121" s="227"/>
      <c r="N121" s="792">
        <v>30</v>
      </c>
      <c r="O121" s="227"/>
      <c r="P121" s="817">
        <v>30</v>
      </c>
      <c r="Q121" s="757"/>
      <c r="R121" s="792">
        <v>30</v>
      </c>
      <c r="S121" s="227">
        <v>0</v>
      </c>
      <c r="T121" s="792">
        <v>30</v>
      </c>
      <c r="U121" s="227">
        <v>0</v>
      </c>
      <c r="V121" s="792">
        <v>30</v>
      </c>
      <c r="W121" s="227"/>
      <c r="X121" s="792">
        <v>30</v>
      </c>
      <c r="Y121" s="227">
        <v>1</v>
      </c>
      <c r="Z121" s="792">
        <v>30</v>
      </c>
      <c r="AA121" s="227">
        <v>1</v>
      </c>
      <c r="AB121" s="749">
        <f>D121+F121+H121+J121+L121+N121+P121+R121+T121+V121+X121+Z121</f>
        <v>360</v>
      </c>
      <c r="AC121" s="228">
        <f t="shared" si="110"/>
        <v>6</v>
      </c>
    </row>
    <row r="122" spans="2:29" x14ac:dyDescent="0.35">
      <c r="B122" s="809"/>
      <c r="C122" s="226" t="s">
        <v>92</v>
      </c>
      <c r="D122" s="792"/>
      <c r="E122" s="210">
        <v>12</v>
      </c>
      <c r="F122" s="792"/>
      <c r="G122" s="210">
        <v>5</v>
      </c>
      <c r="H122" s="792"/>
      <c r="I122" s="210">
        <v>8</v>
      </c>
      <c r="J122" s="792"/>
      <c r="K122" s="210">
        <v>9</v>
      </c>
      <c r="L122" s="819"/>
      <c r="M122" s="227">
        <v>10</v>
      </c>
      <c r="N122" s="819"/>
      <c r="O122" s="227">
        <v>4</v>
      </c>
      <c r="P122" s="818"/>
      <c r="Q122" s="757">
        <v>4</v>
      </c>
      <c r="R122" s="819"/>
      <c r="S122" s="227">
        <v>18</v>
      </c>
      <c r="T122" s="819"/>
      <c r="U122" s="227">
        <v>19</v>
      </c>
      <c r="V122" s="819"/>
      <c r="W122" s="227">
        <v>29</v>
      </c>
      <c r="X122" s="819"/>
      <c r="Y122" s="227">
        <v>22</v>
      </c>
      <c r="Z122" s="819"/>
      <c r="AA122" s="227">
        <v>29</v>
      </c>
      <c r="AB122" s="749"/>
      <c r="AC122" s="228">
        <f t="shared" si="110"/>
        <v>169</v>
      </c>
    </row>
    <row r="123" spans="2:29" x14ac:dyDescent="0.35">
      <c r="B123" s="505" t="s">
        <v>182</v>
      </c>
      <c r="C123" s="208" t="s">
        <v>92</v>
      </c>
      <c r="D123" s="506"/>
      <c r="E123" s="210">
        <v>13</v>
      </c>
      <c r="F123" s="506"/>
      <c r="G123" s="210"/>
      <c r="H123" s="506"/>
      <c r="I123" s="210">
        <v>13</v>
      </c>
      <c r="J123" s="506"/>
      <c r="K123" s="210">
        <v>5</v>
      </c>
      <c r="L123" s="210"/>
      <c r="M123" s="227">
        <v>12</v>
      </c>
      <c r="N123" s="227"/>
      <c r="O123" s="227">
        <v>84</v>
      </c>
      <c r="P123" s="755"/>
      <c r="Q123" s="757">
        <v>111</v>
      </c>
      <c r="R123" s="227"/>
      <c r="S123" s="227">
        <v>85</v>
      </c>
      <c r="T123" s="227"/>
      <c r="U123" s="227">
        <v>53</v>
      </c>
      <c r="V123" s="227"/>
      <c r="W123" s="227">
        <v>47</v>
      </c>
      <c r="X123" s="227"/>
      <c r="Y123" s="227">
        <v>77</v>
      </c>
      <c r="Z123" s="227"/>
      <c r="AA123" s="227">
        <v>97</v>
      </c>
      <c r="AB123" s="227"/>
      <c r="AC123" s="228">
        <f t="shared" si="110"/>
        <v>597</v>
      </c>
    </row>
    <row r="124" spans="2:29" x14ac:dyDescent="0.35">
      <c r="B124" s="505" t="s">
        <v>238</v>
      </c>
      <c r="C124" s="208" t="s">
        <v>92</v>
      </c>
      <c r="D124" s="506"/>
      <c r="E124" s="210"/>
      <c r="F124" s="506"/>
      <c r="G124" s="210"/>
      <c r="H124" s="506"/>
      <c r="I124" s="210"/>
      <c r="J124" s="506"/>
      <c r="K124" s="210"/>
      <c r="L124" s="210"/>
      <c r="M124" s="227"/>
      <c r="N124" s="227"/>
      <c r="O124" s="227"/>
      <c r="P124" s="755"/>
      <c r="Q124" s="757">
        <v>1</v>
      </c>
      <c r="R124" s="227"/>
      <c r="S124" s="227">
        <v>6</v>
      </c>
      <c r="T124" s="227"/>
      <c r="U124" s="227">
        <v>3</v>
      </c>
      <c r="V124" s="227"/>
      <c r="W124" s="227">
        <v>7</v>
      </c>
      <c r="X124" s="227"/>
      <c r="Y124" s="227">
        <v>4</v>
      </c>
      <c r="Z124" s="227"/>
      <c r="AA124" s="227">
        <v>11</v>
      </c>
      <c r="AB124" s="227"/>
      <c r="AC124" s="228">
        <f t="shared" si="110"/>
        <v>32</v>
      </c>
    </row>
    <row r="125" spans="2:29" x14ac:dyDescent="0.35">
      <c r="B125" s="813" t="s">
        <v>106</v>
      </c>
      <c r="C125" s="814"/>
      <c r="D125" s="2"/>
      <c r="E125" s="203">
        <f>E113+E115+E117+E119+E121</f>
        <v>143.19999999999999</v>
      </c>
      <c r="F125" s="2"/>
      <c r="G125" s="203">
        <f>G113+G115+G117+G119+G121</f>
        <v>80.900000000000006</v>
      </c>
      <c r="H125" s="2"/>
      <c r="I125" s="203">
        <f>I113+I115+I117+I119+I121</f>
        <v>92.4</v>
      </c>
      <c r="J125" s="2"/>
      <c r="K125" s="203">
        <f>K113+K115+K117+K119+K121</f>
        <v>150</v>
      </c>
      <c r="L125" s="203"/>
      <c r="M125" s="203">
        <f>M113+M115+M117+M119+M121</f>
        <v>146.60000000000002</v>
      </c>
      <c r="N125" s="203"/>
      <c r="O125" s="203">
        <f>O113+O115+O117+O119+O121</f>
        <v>163.30000000000001</v>
      </c>
      <c r="P125" s="756"/>
      <c r="Q125" s="198">
        <f t="shared" ref="Q125" si="111">Q113+Q115+Q117+Q119+Q121</f>
        <v>171.3</v>
      </c>
      <c r="R125" s="203"/>
      <c r="S125" s="203">
        <f t="shared" ref="S125" si="112">S113+S115+S117+S119+S121</f>
        <v>179.13000000000002</v>
      </c>
      <c r="T125" s="203"/>
      <c r="U125" s="203">
        <f t="shared" ref="U125:W125" si="113">U113+U115+U117+U119+U121</f>
        <v>193.47</v>
      </c>
      <c r="V125" s="203"/>
      <c r="W125" s="203">
        <f t="shared" si="113"/>
        <v>186.99</v>
      </c>
      <c r="X125" s="203"/>
      <c r="Y125" s="203">
        <f t="shared" ref="Y125" si="114">Y113+Y115+Y117+Y119+Y121</f>
        <v>169.25</v>
      </c>
      <c r="Z125" s="203"/>
      <c r="AA125" s="203">
        <f t="shared" ref="AA125" si="115">AA113+AA115+AA117+AA119+AA121</f>
        <v>175.06</v>
      </c>
      <c r="AB125" s="203"/>
      <c r="AC125" s="228">
        <f t="shared" si="110"/>
        <v>1851.6000000000001</v>
      </c>
    </row>
    <row r="126" spans="2:29" x14ac:dyDescent="0.35">
      <c r="B126" s="813" t="s">
        <v>107</v>
      </c>
      <c r="C126" s="814"/>
      <c r="D126" s="2"/>
      <c r="E126" s="203">
        <f>E114+E116+E118+E120+E122+E123</f>
        <v>235.8</v>
      </c>
      <c r="F126" s="2"/>
      <c r="G126" s="203">
        <f>G114+G116+G118+G120+G122+G123</f>
        <v>172.1</v>
      </c>
      <c r="H126" s="2"/>
      <c r="I126" s="203">
        <f>I114+I116+I118+I120+I122+I123</f>
        <v>227.60000000000002</v>
      </c>
      <c r="J126" s="2"/>
      <c r="K126" s="203">
        <f>K114+K116+K118+K120+K122+K123</f>
        <v>312</v>
      </c>
      <c r="L126" s="203"/>
      <c r="M126" s="203">
        <f>M114+M116+M118+M120+M122+M123</f>
        <v>309.39999999999998</v>
      </c>
      <c r="N126" s="203"/>
      <c r="O126" s="203">
        <f>O114+O116+O118+O120+O122+O123</f>
        <v>396.7</v>
      </c>
      <c r="P126" s="756"/>
      <c r="Q126" s="198">
        <f>Q114+Q116+Q118+Q120+Q122+Q123+Q124</f>
        <v>422.70000000000005</v>
      </c>
      <c r="R126" s="203"/>
      <c r="S126" s="203">
        <f>S114+S116+S118+S120+S122+S123+S124</f>
        <v>468.87</v>
      </c>
      <c r="T126" s="203"/>
      <c r="U126" s="203">
        <f>U114+U116+U118+U120+U122+U123+U124</f>
        <v>436.53000000000003</v>
      </c>
      <c r="V126" s="203"/>
      <c r="W126" s="203">
        <f>W114+W116+W118+W120+W122+W123+W124</f>
        <v>477.01</v>
      </c>
      <c r="X126" s="203"/>
      <c r="Y126" s="203">
        <f>Y114+Y116+Y118+Y120+Y122+Y123+Y124</f>
        <v>404.75</v>
      </c>
      <c r="Z126" s="203"/>
      <c r="AA126" s="203">
        <f>AA114+AA116+AA118+AA120+AA122+AA123+AA124</f>
        <v>429.94</v>
      </c>
      <c r="AB126" s="203"/>
      <c r="AC126" s="228">
        <f t="shared" si="110"/>
        <v>4293.3999999999996</v>
      </c>
    </row>
    <row r="127" spans="2:29" x14ac:dyDescent="0.35">
      <c r="B127" s="815" t="s">
        <v>46</v>
      </c>
      <c r="C127" s="816"/>
      <c r="D127" s="408">
        <f>SUM(D113:D122)</f>
        <v>570</v>
      </c>
      <c r="E127" s="203">
        <f>SUM(E125:E126)</f>
        <v>379</v>
      </c>
      <c r="F127" s="408">
        <f>SUM(F113:F122)</f>
        <v>570</v>
      </c>
      <c r="G127" s="203">
        <f>SUM(G125:G126)</f>
        <v>253</v>
      </c>
      <c r="H127" s="408">
        <f>SUM(H113:H122)</f>
        <v>570</v>
      </c>
      <c r="I127" s="203">
        <f>SUM(I125:I126)</f>
        <v>320</v>
      </c>
      <c r="J127" s="408">
        <f>SUM(J113:J122)</f>
        <v>570</v>
      </c>
      <c r="K127" s="203">
        <f>SUM(K125:K126)</f>
        <v>462</v>
      </c>
      <c r="L127" s="203">
        <f>SUM(L113:L122)</f>
        <v>570</v>
      </c>
      <c r="M127" s="203">
        <f>SUM(M125:M126)</f>
        <v>456</v>
      </c>
      <c r="N127" s="203">
        <f>SUM(N113:N122)</f>
        <v>570</v>
      </c>
      <c r="O127" s="203">
        <f>SUM(O125:O126)</f>
        <v>560</v>
      </c>
      <c r="P127" s="756">
        <f>SUM(P113:P122)</f>
        <v>570</v>
      </c>
      <c r="Q127" s="198">
        <f>SUM(Q125:Q126)</f>
        <v>594</v>
      </c>
      <c r="R127" s="203">
        <f>SUM(R113:R122)</f>
        <v>570</v>
      </c>
      <c r="S127" s="203">
        <f>SUM(S125:S126)</f>
        <v>648</v>
      </c>
      <c r="T127" s="203">
        <f>SUM(T113:T122)</f>
        <v>570</v>
      </c>
      <c r="U127" s="203">
        <f>SUM(U125:U126)</f>
        <v>630</v>
      </c>
      <c r="V127" s="203">
        <f>SUM(V113:V122)</f>
        <v>585</v>
      </c>
      <c r="W127" s="203">
        <f>SUM(W125:W126)</f>
        <v>664</v>
      </c>
      <c r="X127" s="203">
        <f>SUM(X113:X122)</f>
        <v>585</v>
      </c>
      <c r="Y127" s="203">
        <f>SUM(Y125:Y126)</f>
        <v>574</v>
      </c>
      <c r="Z127" s="203">
        <f>SUM(Z113:Z122)</f>
        <v>585</v>
      </c>
      <c r="AA127" s="203">
        <f>SUM(AA125:AA126)</f>
        <v>605</v>
      </c>
      <c r="AB127" s="203">
        <f>SUM(AB113:AB122)</f>
        <v>6885</v>
      </c>
      <c r="AC127" s="228">
        <f t="shared" si="110"/>
        <v>6145</v>
      </c>
    </row>
    <row r="130" spans="5:29" x14ac:dyDescent="0.35">
      <c r="E130" s="489">
        <f>E121+E122</f>
        <v>15</v>
      </c>
      <c r="G130" s="489">
        <f t="shared" ref="G130" si="116">G121+G122</f>
        <v>6</v>
      </c>
      <c r="I130" s="489">
        <f t="shared" ref="I130" si="117">I121+I122</f>
        <v>8</v>
      </c>
      <c r="K130" s="489">
        <f t="shared" ref="K130" si="118">K121+K122</f>
        <v>9</v>
      </c>
      <c r="M130" s="489">
        <f t="shared" ref="M130" si="119">M121+M122</f>
        <v>10</v>
      </c>
      <c r="O130" s="489">
        <f t="shared" ref="O130" si="120">O121+O122</f>
        <v>4</v>
      </c>
      <c r="Q130" s="489">
        <f t="shared" ref="Q130" si="121">Q121+Q122</f>
        <v>4</v>
      </c>
      <c r="S130" s="489">
        <f t="shared" ref="S130" si="122">S121+S122</f>
        <v>18</v>
      </c>
      <c r="U130" s="489">
        <f t="shared" ref="U130" si="123">U121+U122</f>
        <v>19</v>
      </c>
      <c r="W130" s="489">
        <f t="shared" ref="W130" si="124">W121+W122</f>
        <v>29</v>
      </c>
      <c r="Y130" s="489">
        <f t="shared" ref="Y130" si="125">Y121+Y122</f>
        <v>23</v>
      </c>
      <c r="AA130" s="489">
        <f t="shared" ref="AA130" si="126">AA121+AA122</f>
        <v>30</v>
      </c>
      <c r="AC130" s="2">
        <f>SUM(E130:AB130)</f>
        <v>175</v>
      </c>
    </row>
    <row r="131" spans="5:29" x14ac:dyDescent="0.35">
      <c r="E131">
        <f>E130/E110</f>
        <v>0.5</v>
      </c>
      <c r="G131">
        <f t="shared" ref="G131" si="127">G130/G110</f>
        <v>0.19354838709677419</v>
      </c>
      <c r="I131">
        <f t="shared" ref="I131" si="128">I130/I110</f>
        <v>0.26666666666666666</v>
      </c>
      <c r="K131">
        <f t="shared" ref="K131" si="129">K130/K110</f>
        <v>0.29032258064516131</v>
      </c>
      <c r="M131">
        <f t="shared" ref="M131" si="130">M130/M110</f>
        <v>0.32258064516129031</v>
      </c>
      <c r="O131">
        <f t="shared" ref="O131" si="131">O130/O110</f>
        <v>0.13333333333333333</v>
      </c>
      <c r="Q131">
        <f t="shared" ref="Q131" si="132">Q130/Q110</f>
        <v>0.12903225806451613</v>
      </c>
      <c r="S131">
        <f t="shared" ref="S131" si="133">S130/S110</f>
        <v>0.6</v>
      </c>
      <c r="U131">
        <f t="shared" ref="U131" si="134">U130/U110</f>
        <v>0.61290322580645162</v>
      </c>
      <c r="W131">
        <f t="shared" ref="W131" si="135">W130/W110</f>
        <v>0.93548387096774188</v>
      </c>
      <c r="Y131">
        <f t="shared" ref="Y131" si="136">Y130/Y110</f>
        <v>0.8214285714285714</v>
      </c>
      <c r="AA131">
        <f t="shared" ref="AA131" si="137">AA130/AA110</f>
        <v>0.967741935483871</v>
      </c>
      <c r="AC131">
        <f t="shared" ref="AC131" si="138">AC130/AC110</f>
        <v>0.47945205479452052</v>
      </c>
    </row>
  </sheetData>
  <mergeCells count="111">
    <mergeCell ref="Z113:Z114"/>
    <mergeCell ref="Z115:Z116"/>
    <mergeCell ref="Z117:Z118"/>
    <mergeCell ref="Z119:Z120"/>
    <mergeCell ref="Z121:Z122"/>
    <mergeCell ref="X69:Y69"/>
    <mergeCell ref="P119:P120"/>
    <mergeCell ref="F119:F120"/>
    <mergeCell ref="T119:T120"/>
    <mergeCell ref="T121:T122"/>
    <mergeCell ref="V113:V114"/>
    <mergeCell ref="V115:V116"/>
    <mergeCell ref="V117:V118"/>
    <mergeCell ref="V119:V120"/>
    <mergeCell ref="V121:V122"/>
    <mergeCell ref="T115:T116"/>
    <mergeCell ref="R115:R116"/>
    <mergeCell ref="R117:R118"/>
    <mergeCell ref="T117:T118"/>
    <mergeCell ref="X121:X122"/>
    <mergeCell ref="F113:F114"/>
    <mergeCell ref="L113:L114"/>
    <mergeCell ref="J113:J114"/>
    <mergeCell ref="T113:T114"/>
    <mergeCell ref="L117:L118"/>
    <mergeCell ref="N117:N118"/>
    <mergeCell ref="P115:P116"/>
    <mergeCell ref="P117:P118"/>
    <mergeCell ref="B121:B122"/>
    <mergeCell ref="D121:D122"/>
    <mergeCell ref="F121:F122"/>
    <mergeCell ref="H121:H122"/>
    <mergeCell ref="J121:J122"/>
    <mergeCell ref="L121:L122"/>
    <mergeCell ref="N121:N122"/>
    <mergeCell ref="L119:L120"/>
    <mergeCell ref="N119:N120"/>
    <mergeCell ref="J119:J120"/>
    <mergeCell ref="H119:H120"/>
    <mergeCell ref="B125:C125"/>
    <mergeCell ref="B126:C126"/>
    <mergeCell ref="B127:C127"/>
    <mergeCell ref="B119:B120"/>
    <mergeCell ref="P113:P114"/>
    <mergeCell ref="P121:P122"/>
    <mergeCell ref="R113:R114"/>
    <mergeCell ref="R119:R120"/>
    <mergeCell ref="R121:R122"/>
    <mergeCell ref="N113:N114"/>
    <mergeCell ref="H115:H116"/>
    <mergeCell ref="J115:J116"/>
    <mergeCell ref="L115:L116"/>
    <mergeCell ref="N115:N116"/>
    <mergeCell ref="H113:H114"/>
    <mergeCell ref="B115:B116"/>
    <mergeCell ref="D115:D116"/>
    <mergeCell ref="F115:F116"/>
    <mergeCell ref="D119:D120"/>
    <mergeCell ref="B117:B118"/>
    <mergeCell ref="D117:D118"/>
    <mergeCell ref="F117:F118"/>
    <mergeCell ref="H117:H118"/>
    <mergeCell ref="J117:J118"/>
    <mergeCell ref="B3:X3"/>
    <mergeCell ref="B7:B10"/>
    <mergeCell ref="B11:B14"/>
    <mergeCell ref="B15:B18"/>
    <mergeCell ref="B19:B22"/>
    <mergeCell ref="B23:B26"/>
    <mergeCell ref="B87:B90"/>
    <mergeCell ref="B67:AO67"/>
    <mergeCell ref="D69:E69"/>
    <mergeCell ref="F69:G69"/>
    <mergeCell ref="H69:I69"/>
    <mergeCell ref="J69:K69"/>
    <mergeCell ref="L69:M69"/>
    <mergeCell ref="N69:O69"/>
    <mergeCell ref="P69:Q69"/>
    <mergeCell ref="B83:B86"/>
    <mergeCell ref="B71:B74"/>
    <mergeCell ref="B75:B78"/>
    <mergeCell ref="B79:B82"/>
    <mergeCell ref="B51:B54"/>
    <mergeCell ref="B55:B58"/>
    <mergeCell ref="R69:S69"/>
    <mergeCell ref="T69:U69"/>
    <mergeCell ref="V69:W69"/>
    <mergeCell ref="B47:B50"/>
    <mergeCell ref="X113:X114"/>
    <mergeCell ref="X115:X116"/>
    <mergeCell ref="X117:X118"/>
    <mergeCell ref="X119:X120"/>
    <mergeCell ref="B27:B30"/>
    <mergeCell ref="B31:B34"/>
    <mergeCell ref="B35:B38"/>
    <mergeCell ref="B39:B42"/>
    <mergeCell ref="B43:B46"/>
    <mergeCell ref="B91:B94"/>
    <mergeCell ref="B95:B98"/>
    <mergeCell ref="B99:B102"/>
    <mergeCell ref="B103:C103"/>
    <mergeCell ref="B104:C104"/>
    <mergeCell ref="B105:C105"/>
    <mergeCell ref="B106:C106"/>
    <mergeCell ref="D111:E111"/>
    <mergeCell ref="F111:G111"/>
    <mergeCell ref="H111:I111"/>
    <mergeCell ref="J111:K111"/>
    <mergeCell ref="L111:M111"/>
    <mergeCell ref="B113:B114"/>
    <mergeCell ref="D113:D114"/>
  </mergeCells>
  <pageMargins left="0.17" right="0.19" top="0.47" bottom="0.22" header="0.3" footer="0.21"/>
  <pageSetup scale="2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R80"/>
  <sheetViews>
    <sheetView topLeftCell="A19" workbookViewId="0"/>
  </sheetViews>
  <sheetFormatPr defaultRowHeight="14.5" x14ac:dyDescent="0.35"/>
  <cols>
    <col min="8" max="8" width="11.81640625" customWidth="1"/>
    <col min="11" max="11" width="7.453125" bestFit="1" customWidth="1"/>
    <col min="12" max="12" width="11.54296875" bestFit="1" customWidth="1"/>
  </cols>
  <sheetData>
    <row r="3" spans="2:12" ht="21" x14ac:dyDescent="0.35">
      <c r="B3" s="810" t="s">
        <v>155</v>
      </c>
      <c r="C3" s="810"/>
      <c r="D3" s="810"/>
      <c r="E3" s="810"/>
      <c r="F3" s="810"/>
      <c r="G3" s="810"/>
      <c r="H3" s="810"/>
      <c r="I3" s="810"/>
      <c r="J3" s="810"/>
      <c r="K3" s="810"/>
      <c r="L3" s="810"/>
    </row>
    <row r="4" spans="2:12" ht="1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ht="15.75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t="48" thickBot="1" x14ac:dyDescent="0.3">
      <c r="B6" s="3"/>
      <c r="C6" s="4"/>
      <c r="D6" s="5" t="s">
        <v>1</v>
      </c>
      <c r="E6" s="6" t="s">
        <v>2</v>
      </c>
      <c r="F6" s="7" t="s">
        <v>3</v>
      </c>
      <c r="G6" s="593" t="s">
        <v>4</v>
      </c>
      <c r="H6" s="12" t="s">
        <v>5</v>
      </c>
      <c r="I6" s="597"/>
      <c r="J6" s="9" t="s">
        <v>6</v>
      </c>
      <c r="K6" s="410" t="s">
        <v>8</v>
      </c>
      <c r="L6" s="6" t="s">
        <v>9</v>
      </c>
    </row>
    <row r="7" spans="2:12" ht="15.5" x14ac:dyDescent="0.35">
      <c r="B7" s="789">
        <v>43556</v>
      </c>
      <c r="C7" s="13" t="s">
        <v>11</v>
      </c>
      <c r="D7" s="14">
        <v>195</v>
      </c>
      <c r="E7" s="14">
        <v>105</v>
      </c>
      <c r="F7" s="14">
        <v>165</v>
      </c>
      <c r="G7" s="14">
        <v>135</v>
      </c>
      <c r="H7" s="14">
        <v>30</v>
      </c>
      <c r="I7" s="14"/>
      <c r="J7" s="14">
        <f>SUM(D7:H7)</f>
        <v>630</v>
      </c>
      <c r="K7" s="413">
        <v>210</v>
      </c>
      <c r="L7" s="414">
        <f>SUM(J7:K7)</f>
        <v>840</v>
      </c>
    </row>
    <row r="8" spans="2:12" ht="15.5" x14ac:dyDescent="0.35">
      <c r="B8" s="790"/>
      <c r="C8" s="52" t="s">
        <v>156</v>
      </c>
      <c r="D8" s="417">
        <f>D7/30</f>
        <v>6.5</v>
      </c>
      <c r="E8" s="417">
        <f t="shared" ref="E8:L8" si="0">E7/30</f>
        <v>3.5</v>
      </c>
      <c r="F8" s="417">
        <f t="shared" si="0"/>
        <v>5.5</v>
      </c>
      <c r="G8" s="417">
        <f t="shared" si="0"/>
        <v>4.5</v>
      </c>
      <c r="H8" s="417">
        <f t="shared" si="0"/>
        <v>1</v>
      </c>
      <c r="I8" s="417"/>
      <c r="J8" s="417">
        <f t="shared" si="0"/>
        <v>21</v>
      </c>
      <c r="K8" s="59">
        <f t="shared" si="0"/>
        <v>7</v>
      </c>
      <c r="L8" s="418">
        <f t="shared" si="0"/>
        <v>28</v>
      </c>
    </row>
    <row r="9" spans="2:12" ht="16" thickBot="1" x14ac:dyDescent="0.4">
      <c r="B9" s="790"/>
      <c r="C9" s="20" t="s">
        <v>12</v>
      </c>
      <c r="D9" s="412">
        <v>185</v>
      </c>
      <c r="E9" s="412">
        <v>90</v>
      </c>
      <c r="F9" s="412">
        <v>160</v>
      </c>
      <c r="G9" s="412">
        <v>84</v>
      </c>
      <c r="H9" s="412">
        <v>22</v>
      </c>
      <c r="I9" s="412"/>
      <c r="J9" s="412">
        <f>SUM(D9:H9)</f>
        <v>541</v>
      </c>
      <c r="K9" s="104">
        <v>182</v>
      </c>
      <c r="L9" s="415">
        <f>SUM(J9:K9)</f>
        <v>723</v>
      </c>
    </row>
    <row r="10" spans="2:12" ht="16" thickBot="1" x14ac:dyDescent="0.4">
      <c r="B10" s="791"/>
      <c r="C10" s="409" t="s">
        <v>13</v>
      </c>
      <c r="D10" s="411">
        <f>D9/30</f>
        <v>6.166666666666667</v>
      </c>
      <c r="E10" s="411">
        <f t="shared" ref="E10" si="1">E9/30</f>
        <v>3</v>
      </c>
      <c r="F10" s="411">
        <f t="shared" ref="F10" si="2">F9/30</f>
        <v>5.333333333333333</v>
      </c>
      <c r="G10" s="411">
        <f t="shared" ref="G10" si="3">G9/30</f>
        <v>2.8</v>
      </c>
      <c r="H10" s="411">
        <f t="shared" ref="H10" si="4">H9/30</f>
        <v>0.73333333333333328</v>
      </c>
      <c r="I10" s="411"/>
      <c r="J10" s="411">
        <f t="shared" ref="J10" si="5">J9/30</f>
        <v>18.033333333333335</v>
      </c>
      <c r="K10" s="411">
        <f t="shared" ref="K10" si="6">K9/30</f>
        <v>6.0666666666666664</v>
      </c>
      <c r="L10" s="411">
        <f t="shared" ref="L10" si="7">L9/30</f>
        <v>24.1</v>
      </c>
    </row>
    <row r="11" spans="2:12" ht="15.5" x14ac:dyDescent="0.35">
      <c r="B11" s="789">
        <v>43586</v>
      </c>
      <c r="C11" s="13" t="s">
        <v>11</v>
      </c>
      <c r="D11" s="14">
        <v>195</v>
      </c>
      <c r="E11" s="14">
        <v>105</v>
      </c>
      <c r="F11" s="14">
        <v>165</v>
      </c>
      <c r="G11" s="14">
        <v>135</v>
      </c>
      <c r="H11" s="14">
        <v>30</v>
      </c>
      <c r="I11" s="14"/>
      <c r="J11" s="14">
        <f>SUM(D11:H11)</f>
        <v>630</v>
      </c>
      <c r="K11" s="413">
        <v>210</v>
      </c>
      <c r="L11" s="414">
        <f>SUM(J11:K11)</f>
        <v>840</v>
      </c>
    </row>
    <row r="12" spans="2:12" ht="15.5" x14ac:dyDescent="0.35">
      <c r="B12" s="790"/>
      <c r="C12" s="52" t="s">
        <v>156</v>
      </c>
      <c r="D12" s="419">
        <f>D11/31</f>
        <v>6.290322580645161</v>
      </c>
      <c r="E12" s="419">
        <f t="shared" ref="E12:L12" si="8">E11/31</f>
        <v>3.3870967741935485</v>
      </c>
      <c r="F12" s="419">
        <f t="shared" si="8"/>
        <v>5.32258064516129</v>
      </c>
      <c r="G12" s="419">
        <f t="shared" si="8"/>
        <v>4.354838709677419</v>
      </c>
      <c r="H12" s="419">
        <f t="shared" si="8"/>
        <v>0.967741935483871</v>
      </c>
      <c r="I12" s="419"/>
      <c r="J12" s="419">
        <f t="shared" si="8"/>
        <v>20.322580645161292</v>
      </c>
      <c r="K12" s="420">
        <f t="shared" si="8"/>
        <v>6.774193548387097</v>
      </c>
      <c r="L12" s="421">
        <f t="shared" si="8"/>
        <v>27.096774193548388</v>
      </c>
    </row>
    <row r="13" spans="2:12" ht="16" thickBot="1" x14ac:dyDescent="0.4">
      <c r="B13" s="790"/>
      <c r="C13" s="20" t="s">
        <v>12</v>
      </c>
      <c r="D13" s="21">
        <v>173</v>
      </c>
      <c r="E13" s="21">
        <v>96</v>
      </c>
      <c r="F13" s="21">
        <v>173</v>
      </c>
      <c r="G13" s="21">
        <v>87</v>
      </c>
      <c r="H13" s="21">
        <v>26</v>
      </c>
      <c r="I13" s="21"/>
      <c r="J13" s="21">
        <f>SUM(D13:H13)</f>
        <v>555</v>
      </c>
      <c r="K13" s="22">
        <v>162</v>
      </c>
      <c r="L13" s="51">
        <f>SUM(J13:K13)</f>
        <v>717</v>
      </c>
    </row>
    <row r="14" spans="2:12" ht="16" thickBot="1" x14ac:dyDescent="0.4">
      <c r="B14" s="791"/>
      <c r="C14" s="409" t="s">
        <v>13</v>
      </c>
      <c r="D14" s="65">
        <f t="shared" ref="D14:L14" si="9">D13/31</f>
        <v>5.580645161290323</v>
      </c>
      <c r="E14" s="65">
        <f t="shared" si="9"/>
        <v>3.096774193548387</v>
      </c>
      <c r="F14" s="65">
        <f t="shared" si="9"/>
        <v>5.580645161290323</v>
      </c>
      <c r="G14" s="65">
        <f t="shared" si="9"/>
        <v>2.806451612903226</v>
      </c>
      <c r="H14" s="65">
        <f t="shared" si="9"/>
        <v>0.83870967741935487</v>
      </c>
      <c r="I14" s="65"/>
      <c r="J14" s="65">
        <f t="shared" si="9"/>
        <v>17.903225806451612</v>
      </c>
      <c r="K14" s="29">
        <f t="shared" si="9"/>
        <v>5.225806451612903</v>
      </c>
      <c r="L14" s="30">
        <f t="shared" si="9"/>
        <v>23.129032258064516</v>
      </c>
    </row>
    <row r="15" spans="2:12" ht="15.5" x14ac:dyDescent="0.35">
      <c r="B15" s="789">
        <v>43617</v>
      </c>
      <c r="C15" s="13" t="s">
        <v>11</v>
      </c>
      <c r="D15" s="14">
        <v>195</v>
      </c>
      <c r="E15" s="14">
        <v>105</v>
      </c>
      <c r="F15" s="14">
        <v>165</v>
      </c>
      <c r="G15" s="14">
        <v>135</v>
      </c>
      <c r="H15" s="14">
        <v>30</v>
      </c>
      <c r="I15" s="14"/>
      <c r="J15" s="14">
        <f>SUM(D15:H15)</f>
        <v>630</v>
      </c>
      <c r="K15" s="413">
        <v>210</v>
      </c>
      <c r="L15" s="414">
        <f>SUM(J15:K15)</f>
        <v>840</v>
      </c>
    </row>
    <row r="16" spans="2:12" ht="15.5" x14ac:dyDescent="0.35">
      <c r="B16" s="790"/>
      <c r="C16" s="52" t="s">
        <v>156</v>
      </c>
      <c r="D16" s="419">
        <f t="shared" ref="D16:L16" si="10">D15/30</f>
        <v>6.5</v>
      </c>
      <c r="E16" s="419">
        <f t="shared" si="10"/>
        <v>3.5</v>
      </c>
      <c r="F16" s="419">
        <f t="shared" si="10"/>
        <v>5.5</v>
      </c>
      <c r="G16" s="419">
        <f t="shared" si="10"/>
        <v>4.5</v>
      </c>
      <c r="H16" s="419">
        <f t="shared" si="10"/>
        <v>1</v>
      </c>
      <c r="I16" s="419"/>
      <c r="J16" s="419">
        <f t="shared" si="10"/>
        <v>21</v>
      </c>
      <c r="K16" s="420">
        <f t="shared" si="10"/>
        <v>7</v>
      </c>
      <c r="L16" s="421">
        <f t="shared" si="10"/>
        <v>28</v>
      </c>
    </row>
    <row r="17" spans="2:12" ht="16" thickBot="1" x14ac:dyDescent="0.4">
      <c r="B17" s="790"/>
      <c r="C17" s="20" t="s">
        <v>12</v>
      </c>
      <c r="D17" s="21">
        <v>168</v>
      </c>
      <c r="E17" s="21">
        <v>107</v>
      </c>
      <c r="F17" s="21">
        <v>144</v>
      </c>
      <c r="G17" s="21">
        <v>108</v>
      </c>
      <c r="H17" s="21">
        <v>15</v>
      </c>
      <c r="I17" s="21"/>
      <c r="J17" s="21">
        <f>SUM(D17:H17)</f>
        <v>542</v>
      </c>
      <c r="K17" s="22">
        <v>160</v>
      </c>
      <c r="L17" s="51">
        <f>+J17+K17</f>
        <v>702</v>
      </c>
    </row>
    <row r="18" spans="2:12" ht="16" thickBot="1" x14ac:dyDescent="0.4">
      <c r="B18" s="791"/>
      <c r="C18" s="409" t="s">
        <v>13</v>
      </c>
      <c r="D18" s="65">
        <f>D17/30</f>
        <v>5.6</v>
      </c>
      <c r="E18" s="65">
        <f t="shared" ref="E18" si="11">E17/30</f>
        <v>3.5666666666666669</v>
      </c>
      <c r="F18" s="65">
        <f t="shared" ref="F18" si="12">F17/30</f>
        <v>4.8</v>
      </c>
      <c r="G18" s="65">
        <f t="shared" ref="G18" si="13">G17/30</f>
        <v>3.6</v>
      </c>
      <c r="H18" s="65">
        <f t="shared" ref="H18" si="14">H17/30</f>
        <v>0.5</v>
      </c>
      <c r="I18" s="65"/>
      <c r="J18" s="65">
        <f t="shared" ref="J18" si="15">J17/30</f>
        <v>18.066666666666666</v>
      </c>
      <c r="K18" s="29">
        <f t="shared" ref="K18" si="16">K17/30</f>
        <v>5.333333333333333</v>
      </c>
      <c r="L18" s="30">
        <f t="shared" ref="L18" si="17">L17/30</f>
        <v>23.4</v>
      </c>
    </row>
    <row r="19" spans="2:12" ht="15.5" x14ac:dyDescent="0.35">
      <c r="B19" s="789">
        <v>43647</v>
      </c>
      <c r="C19" s="13" t="s">
        <v>11</v>
      </c>
      <c r="D19" s="14">
        <v>189</v>
      </c>
      <c r="E19" s="14">
        <v>111</v>
      </c>
      <c r="F19" s="14">
        <v>156</v>
      </c>
      <c r="G19" s="14">
        <v>144</v>
      </c>
      <c r="H19" s="14">
        <v>30</v>
      </c>
      <c r="I19" s="14"/>
      <c r="J19" s="14">
        <f>SUM(D19:H19)</f>
        <v>630</v>
      </c>
      <c r="K19" s="49">
        <v>210</v>
      </c>
      <c r="L19" s="50">
        <f>SUM(J19:K19)</f>
        <v>840</v>
      </c>
    </row>
    <row r="20" spans="2:12" ht="15.5" x14ac:dyDescent="0.35">
      <c r="B20" s="790"/>
      <c r="C20" s="52" t="s">
        <v>156</v>
      </c>
      <c r="D20" s="419">
        <f>+D19/31</f>
        <v>6.096774193548387</v>
      </c>
      <c r="E20" s="419">
        <f t="shared" ref="E20:L20" si="18">+E19/31</f>
        <v>3.5806451612903225</v>
      </c>
      <c r="F20" s="419">
        <f t="shared" si="18"/>
        <v>5.032258064516129</v>
      </c>
      <c r="G20" s="419">
        <f t="shared" si="18"/>
        <v>4.645161290322581</v>
      </c>
      <c r="H20" s="419">
        <f t="shared" si="18"/>
        <v>0.967741935483871</v>
      </c>
      <c r="I20" s="419"/>
      <c r="J20" s="419">
        <f t="shared" si="18"/>
        <v>20.322580645161292</v>
      </c>
      <c r="K20" s="420">
        <f t="shared" si="18"/>
        <v>6.774193548387097</v>
      </c>
      <c r="L20" s="421">
        <f t="shared" si="18"/>
        <v>27.096774193548388</v>
      </c>
    </row>
    <row r="21" spans="2:12" ht="16" thickBot="1" x14ac:dyDescent="0.4">
      <c r="B21" s="790"/>
      <c r="C21" s="20" t="s">
        <v>12</v>
      </c>
      <c r="D21" s="21">
        <v>167</v>
      </c>
      <c r="E21" s="21">
        <v>88</v>
      </c>
      <c r="F21" s="21">
        <v>146</v>
      </c>
      <c r="G21" s="21">
        <v>115</v>
      </c>
      <c r="H21" s="21">
        <v>16</v>
      </c>
      <c r="I21" s="21"/>
      <c r="J21" s="21">
        <f>SUM(D21:H21)</f>
        <v>532</v>
      </c>
      <c r="K21" s="22">
        <v>167</v>
      </c>
      <c r="L21" s="51">
        <f>SUM(J21:K21)</f>
        <v>699</v>
      </c>
    </row>
    <row r="22" spans="2:12" ht="16" thickBot="1" x14ac:dyDescent="0.4">
      <c r="B22" s="791"/>
      <c r="C22" s="409" t="s">
        <v>13</v>
      </c>
      <c r="D22" s="65">
        <f>+D21/31</f>
        <v>5.387096774193548</v>
      </c>
      <c r="E22" s="65">
        <f t="shared" ref="E22" si="19">+E21/31</f>
        <v>2.838709677419355</v>
      </c>
      <c r="F22" s="65">
        <f t="shared" ref="F22" si="20">+F21/31</f>
        <v>4.709677419354839</v>
      </c>
      <c r="G22" s="65">
        <f t="shared" ref="G22" si="21">+G21/31</f>
        <v>3.7096774193548385</v>
      </c>
      <c r="H22" s="65">
        <f t="shared" ref="H22" si="22">+H21/31</f>
        <v>0.5161290322580645</v>
      </c>
      <c r="I22" s="65"/>
      <c r="J22" s="65">
        <f t="shared" ref="J22" si="23">+J21/31</f>
        <v>17.161290322580644</v>
      </c>
      <c r="K22" s="29">
        <f t="shared" ref="K22" si="24">+K21/31</f>
        <v>5.387096774193548</v>
      </c>
      <c r="L22" s="30">
        <f t="shared" ref="L22" si="25">+L21/31</f>
        <v>22.548387096774192</v>
      </c>
    </row>
    <row r="23" spans="2:12" ht="15.5" x14ac:dyDescent="0.35">
      <c r="B23" s="789">
        <v>43678</v>
      </c>
      <c r="C23" s="13" t="s">
        <v>11</v>
      </c>
      <c r="D23" s="14">
        <v>189</v>
      </c>
      <c r="E23" s="14">
        <v>111</v>
      </c>
      <c r="F23" s="14">
        <v>156</v>
      </c>
      <c r="G23" s="14">
        <v>144</v>
      </c>
      <c r="H23" s="14">
        <v>30</v>
      </c>
      <c r="I23" s="14"/>
      <c r="J23" s="14">
        <f>SUM(D23:H23)</f>
        <v>630</v>
      </c>
      <c r="K23" s="49">
        <v>210</v>
      </c>
      <c r="L23" s="50">
        <f>SUM(J23:K23)</f>
        <v>840</v>
      </c>
    </row>
    <row r="24" spans="2:12" ht="15.5" x14ac:dyDescent="0.35">
      <c r="B24" s="790"/>
      <c r="C24" s="52" t="s">
        <v>156</v>
      </c>
      <c r="D24" s="419">
        <f>+D23/31</f>
        <v>6.096774193548387</v>
      </c>
      <c r="E24" s="419">
        <f t="shared" ref="E24" si="26">+E23/31</f>
        <v>3.5806451612903225</v>
      </c>
      <c r="F24" s="419">
        <f t="shared" ref="F24" si="27">+F23/31</f>
        <v>5.032258064516129</v>
      </c>
      <c r="G24" s="419">
        <f t="shared" ref="G24" si="28">+G23/31</f>
        <v>4.645161290322581</v>
      </c>
      <c r="H24" s="419">
        <f t="shared" ref="H24" si="29">+H23/31</f>
        <v>0.967741935483871</v>
      </c>
      <c r="I24" s="419"/>
      <c r="J24" s="419">
        <f t="shared" ref="J24" si="30">+J23/31</f>
        <v>20.322580645161292</v>
      </c>
      <c r="K24" s="420">
        <f t="shared" ref="K24" si="31">+K23/31</f>
        <v>6.774193548387097</v>
      </c>
      <c r="L24" s="421">
        <f t="shared" ref="L24" si="32">+L23/31</f>
        <v>27.096774193548388</v>
      </c>
    </row>
    <row r="25" spans="2:12" ht="16" thickBot="1" x14ac:dyDescent="0.4">
      <c r="B25" s="790"/>
      <c r="C25" s="20" t="s">
        <v>12</v>
      </c>
      <c r="D25" s="21">
        <v>139</v>
      </c>
      <c r="E25" s="21">
        <v>93</v>
      </c>
      <c r="F25" s="21">
        <v>108</v>
      </c>
      <c r="G25" s="21">
        <v>115</v>
      </c>
      <c r="H25" s="21">
        <v>17</v>
      </c>
      <c r="I25" s="21"/>
      <c r="J25" s="21">
        <f>SUM(D25:H25)</f>
        <v>472</v>
      </c>
      <c r="K25" s="22">
        <v>169</v>
      </c>
      <c r="L25" s="51">
        <f>SUM(J25:K25)</f>
        <v>641</v>
      </c>
    </row>
    <row r="26" spans="2:12" ht="16" thickBot="1" x14ac:dyDescent="0.4">
      <c r="B26" s="791"/>
      <c r="C26" s="409" t="s">
        <v>13</v>
      </c>
      <c r="D26" s="65">
        <f>+D25/31</f>
        <v>4.4838709677419351</v>
      </c>
      <c r="E26" s="65">
        <f t="shared" ref="E26" si="33">+E25/31</f>
        <v>3</v>
      </c>
      <c r="F26" s="65">
        <f t="shared" ref="F26" si="34">+F25/31</f>
        <v>3.4838709677419355</v>
      </c>
      <c r="G26" s="65">
        <f t="shared" ref="G26" si="35">+G25/31</f>
        <v>3.7096774193548385</v>
      </c>
      <c r="H26" s="65">
        <f t="shared" ref="H26" si="36">+H25/31</f>
        <v>0.54838709677419351</v>
      </c>
      <c r="I26" s="65"/>
      <c r="J26" s="65">
        <f t="shared" ref="J26" si="37">+J25/31</f>
        <v>15.225806451612904</v>
      </c>
      <c r="K26" s="29">
        <f t="shared" ref="K26" si="38">+K25/31</f>
        <v>5.4516129032258061</v>
      </c>
      <c r="L26" s="30">
        <f t="shared" ref="L26" si="39">+L25/31</f>
        <v>20.677419354838708</v>
      </c>
    </row>
    <row r="27" spans="2:12" ht="15.5" x14ac:dyDescent="0.35">
      <c r="B27" s="789">
        <v>43709</v>
      </c>
      <c r="C27" s="13" t="s">
        <v>11</v>
      </c>
      <c r="D27" s="14">
        <v>189</v>
      </c>
      <c r="E27" s="14">
        <v>111</v>
      </c>
      <c r="F27" s="14">
        <v>156</v>
      </c>
      <c r="G27" s="14">
        <v>144</v>
      </c>
      <c r="H27" s="14">
        <v>30</v>
      </c>
      <c r="I27" s="14"/>
      <c r="J27" s="14">
        <f>SUM(D27:H27)</f>
        <v>630</v>
      </c>
      <c r="K27" s="49">
        <v>210</v>
      </c>
      <c r="L27" s="50">
        <f>SUM(J27:K27)</f>
        <v>840</v>
      </c>
    </row>
    <row r="28" spans="2:12" ht="15.5" x14ac:dyDescent="0.35">
      <c r="B28" s="790"/>
      <c r="C28" s="52" t="s">
        <v>156</v>
      </c>
      <c r="D28" s="419">
        <f>+D27/30</f>
        <v>6.3</v>
      </c>
      <c r="E28" s="419">
        <f t="shared" ref="E28:L28" si="40">+E27/30</f>
        <v>3.7</v>
      </c>
      <c r="F28" s="419">
        <f t="shared" si="40"/>
        <v>5.2</v>
      </c>
      <c r="G28" s="419">
        <f t="shared" si="40"/>
        <v>4.8</v>
      </c>
      <c r="H28" s="419">
        <f t="shared" si="40"/>
        <v>1</v>
      </c>
      <c r="I28" s="419"/>
      <c r="J28" s="419">
        <f t="shared" si="40"/>
        <v>21</v>
      </c>
      <c r="K28" s="419">
        <f t="shared" si="40"/>
        <v>7</v>
      </c>
      <c r="L28" s="419">
        <f t="shared" si="40"/>
        <v>28</v>
      </c>
    </row>
    <row r="29" spans="2:12" ht="16" thickBot="1" x14ac:dyDescent="0.4">
      <c r="B29" s="790"/>
      <c r="C29" s="20" t="s">
        <v>12</v>
      </c>
      <c r="D29" s="21">
        <v>122</v>
      </c>
      <c r="E29" s="21">
        <v>72</v>
      </c>
      <c r="F29" s="21">
        <v>123</v>
      </c>
      <c r="G29" s="21">
        <v>96</v>
      </c>
      <c r="H29" s="21">
        <v>14</v>
      </c>
      <c r="I29" s="21"/>
      <c r="J29" s="21">
        <f>SUM(D29:H29)</f>
        <v>427</v>
      </c>
      <c r="K29" s="459">
        <v>149</v>
      </c>
      <c r="L29" s="460">
        <f>SUM(J29:K29)</f>
        <v>576</v>
      </c>
    </row>
    <row r="30" spans="2:12" ht="16" thickBot="1" x14ac:dyDescent="0.4">
      <c r="B30" s="791"/>
      <c r="C30" s="409" t="s">
        <v>13</v>
      </c>
      <c r="D30" s="65">
        <f t="shared" ref="D30:L30" si="41">+D29/30</f>
        <v>4.0666666666666664</v>
      </c>
      <c r="E30" s="65">
        <f t="shared" si="41"/>
        <v>2.4</v>
      </c>
      <c r="F30" s="65">
        <f t="shared" si="41"/>
        <v>4.0999999999999996</v>
      </c>
      <c r="G30" s="65">
        <f t="shared" si="41"/>
        <v>3.2</v>
      </c>
      <c r="H30" s="65">
        <f t="shared" si="41"/>
        <v>0.46666666666666667</v>
      </c>
      <c r="I30" s="65"/>
      <c r="J30" s="65">
        <f>+J29/30</f>
        <v>14.233333333333333</v>
      </c>
      <c r="K30" s="29">
        <f t="shared" si="41"/>
        <v>4.9666666666666668</v>
      </c>
      <c r="L30" s="30">
        <f t="shared" si="41"/>
        <v>19.2</v>
      </c>
    </row>
    <row r="31" spans="2:12" ht="15.5" x14ac:dyDescent="0.35">
      <c r="B31" s="789">
        <v>43739</v>
      </c>
      <c r="C31" s="13" t="s">
        <v>11</v>
      </c>
      <c r="D31" s="14">
        <v>180</v>
      </c>
      <c r="E31" s="14">
        <v>105</v>
      </c>
      <c r="F31" s="14">
        <v>140</v>
      </c>
      <c r="G31" s="14">
        <v>120</v>
      </c>
      <c r="H31" s="14">
        <v>25</v>
      </c>
      <c r="I31" s="14"/>
      <c r="J31" s="14">
        <f>SUM(D31:H31)</f>
        <v>570</v>
      </c>
      <c r="K31" s="49">
        <v>210</v>
      </c>
      <c r="L31" s="50">
        <f>SUM(J31:K31)</f>
        <v>780</v>
      </c>
    </row>
    <row r="32" spans="2:12" ht="15.5" x14ac:dyDescent="0.35">
      <c r="B32" s="790"/>
      <c r="C32" s="52" t="s">
        <v>156</v>
      </c>
      <c r="D32" s="419">
        <f>+D31/31</f>
        <v>5.806451612903226</v>
      </c>
      <c r="E32" s="419">
        <f t="shared" ref="E32:L32" si="42">+E31/31</f>
        <v>3.3870967741935485</v>
      </c>
      <c r="F32" s="419">
        <f t="shared" si="42"/>
        <v>4.5161290322580649</v>
      </c>
      <c r="G32" s="419">
        <f t="shared" si="42"/>
        <v>3.870967741935484</v>
      </c>
      <c r="H32" s="419">
        <f t="shared" si="42"/>
        <v>0.80645161290322576</v>
      </c>
      <c r="I32" s="419"/>
      <c r="J32" s="419">
        <f t="shared" si="42"/>
        <v>18.387096774193548</v>
      </c>
      <c r="K32" s="420">
        <f t="shared" si="42"/>
        <v>6.774193548387097</v>
      </c>
      <c r="L32" s="421">
        <f t="shared" si="42"/>
        <v>25.161290322580644</v>
      </c>
    </row>
    <row r="33" spans="2:18" ht="16" thickBot="1" x14ac:dyDescent="0.4">
      <c r="B33" s="790"/>
      <c r="C33" s="20" t="s">
        <v>12</v>
      </c>
      <c r="D33" s="21">
        <v>149</v>
      </c>
      <c r="E33" s="21">
        <v>89</v>
      </c>
      <c r="F33" s="21">
        <v>149</v>
      </c>
      <c r="G33" s="21">
        <v>93</v>
      </c>
      <c r="H33" s="21">
        <v>23</v>
      </c>
      <c r="I33" s="21"/>
      <c r="J33" s="21">
        <f>SUM(D33:H33)</f>
        <v>503</v>
      </c>
      <c r="K33" s="22">
        <v>171</v>
      </c>
      <c r="L33" s="51">
        <f>SUM(J33:K33)</f>
        <v>674</v>
      </c>
    </row>
    <row r="34" spans="2:18" ht="16" thickBot="1" x14ac:dyDescent="0.4">
      <c r="B34" s="791"/>
      <c r="C34" s="409" t="s">
        <v>13</v>
      </c>
      <c r="D34" s="65">
        <f t="shared" ref="D34:L34" si="43">+D33/31</f>
        <v>4.806451612903226</v>
      </c>
      <c r="E34" s="65">
        <f t="shared" si="43"/>
        <v>2.870967741935484</v>
      </c>
      <c r="F34" s="65">
        <f t="shared" si="43"/>
        <v>4.806451612903226</v>
      </c>
      <c r="G34" s="65">
        <f t="shared" si="43"/>
        <v>3</v>
      </c>
      <c r="H34" s="65">
        <f t="shared" si="43"/>
        <v>0.74193548387096775</v>
      </c>
      <c r="I34" s="65"/>
      <c r="J34" s="65">
        <f t="shared" si="43"/>
        <v>16.225806451612904</v>
      </c>
      <c r="K34" s="29">
        <f t="shared" si="43"/>
        <v>5.5161290322580649</v>
      </c>
      <c r="L34" s="30">
        <f t="shared" si="43"/>
        <v>21.741935483870968</v>
      </c>
    </row>
    <row r="35" spans="2:18" ht="15.5" x14ac:dyDescent="0.35">
      <c r="B35" s="789">
        <v>43770</v>
      </c>
      <c r="C35" s="13" t="s">
        <v>11</v>
      </c>
      <c r="D35" s="14">
        <v>180</v>
      </c>
      <c r="E35" s="14">
        <v>105</v>
      </c>
      <c r="F35" s="14">
        <v>140</v>
      </c>
      <c r="G35" s="14">
        <v>120</v>
      </c>
      <c r="H35" s="14">
        <v>25</v>
      </c>
      <c r="I35" s="14"/>
      <c r="J35" s="14">
        <f>SUM(D35:H35)</f>
        <v>570</v>
      </c>
      <c r="K35" s="49">
        <v>210</v>
      </c>
      <c r="L35" s="50">
        <f>SUM(J35:K35)</f>
        <v>780</v>
      </c>
    </row>
    <row r="36" spans="2:18" ht="15.5" x14ac:dyDescent="0.35">
      <c r="B36" s="790"/>
      <c r="C36" s="52" t="s">
        <v>156</v>
      </c>
      <c r="D36" s="419">
        <f>+D35/30</f>
        <v>6</v>
      </c>
      <c r="E36" s="419">
        <f t="shared" ref="E36:L36" si="44">+E35/30</f>
        <v>3.5</v>
      </c>
      <c r="F36" s="419">
        <f t="shared" si="44"/>
        <v>4.666666666666667</v>
      </c>
      <c r="G36" s="419">
        <f t="shared" si="44"/>
        <v>4</v>
      </c>
      <c r="H36" s="419">
        <f t="shared" si="44"/>
        <v>0.83333333333333337</v>
      </c>
      <c r="I36" s="419"/>
      <c r="J36" s="417">
        <f t="shared" si="44"/>
        <v>19</v>
      </c>
      <c r="K36" s="420">
        <f t="shared" si="44"/>
        <v>7</v>
      </c>
      <c r="L36" s="421">
        <f t="shared" si="44"/>
        <v>26</v>
      </c>
    </row>
    <row r="37" spans="2:18" ht="16" thickBot="1" x14ac:dyDescent="0.4">
      <c r="B37" s="790"/>
      <c r="C37" s="20" t="s">
        <v>12</v>
      </c>
      <c r="D37" s="21">
        <v>137</v>
      </c>
      <c r="E37" s="21">
        <v>99</v>
      </c>
      <c r="F37" s="21">
        <v>144</v>
      </c>
      <c r="G37" s="21">
        <v>116</v>
      </c>
      <c r="H37" s="21">
        <v>33</v>
      </c>
      <c r="I37" s="63"/>
      <c r="J37" s="462">
        <f>SUM(D37:H37)</f>
        <v>529</v>
      </c>
      <c r="K37" s="22">
        <v>162</v>
      </c>
      <c r="L37" s="51">
        <f>SUM(J37:K37)</f>
        <v>691</v>
      </c>
    </row>
    <row r="38" spans="2:18" ht="16" thickBot="1" x14ac:dyDescent="0.4">
      <c r="B38" s="791"/>
      <c r="C38" s="409" t="s">
        <v>13</v>
      </c>
      <c r="D38" s="65">
        <f t="shared" ref="D38:L38" si="45">+D37/30</f>
        <v>4.5666666666666664</v>
      </c>
      <c r="E38" s="65">
        <f t="shared" si="45"/>
        <v>3.3</v>
      </c>
      <c r="F38" s="65">
        <f t="shared" si="45"/>
        <v>4.8</v>
      </c>
      <c r="G38" s="65">
        <f t="shared" si="45"/>
        <v>3.8666666666666667</v>
      </c>
      <c r="H38" s="65">
        <f t="shared" si="45"/>
        <v>1.1000000000000001</v>
      </c>
      <c r="I38" s="65"/>
      <c r="J38" s="65">
        <f t="shared" si="45"/>
        <v>17.633333333333333</v>
      </c>
      <c r="K38" s="29">
        <f t="shared" si="45"/>
        <v>5.4</v>
      </c>
      <c r="L38" s="30">
        <f t="shared" si="45"/>
        <v>23.033333333333335</v>
      </c>
    </row>
    <row r="39" spans="2:18" ht="15.5" x14ac:dyDescent="0.35">
      <c r="B39" s="789">
        <v>43800</v>
      </c>
      <c r="C39" s="13" t="s">
        <v>11</v>
      </c>
      <c r="D39" s="14">
        <v>180</v>
      </c>
      <c r="E39" s="14">
        <v>105</v>
      </c>
      <c r="F39" s="14">
        <v>140</v>
      </c>
      <c r="G39" s="14">
        <v>120</v>
      </c>
      <c r="H39" s="14">
        <v>25</v>
      </c>
      <c r="I39" s="14"/>
      <c r="J39" s="14">
        <f>SUM(D39:H39)</f>
        <v>570</v>
      </c>
      <c r="K39" s="49">
        <v>210</v>
      </c>
      <c r="L39" s="50">
        <f>SUM(J39:K39)</f>
        <v>780</v>
      </c>
    </row>
    <row r="40" spans="2:18" ht="15.5" x14ac:dyDescent="0.35">
      <c r="B40" s="790"/>
      <c r="C40" s="52" t="s">
        <v>156</v>
      </c>
      <c r="D40" s="419">
        <f>+D39/31</f>
        <v>5.806451612903226</v>
      </c>
      <c r="E40" s="419">
        <f t="shared" ref="E40:L40" si="46">+E39/31</f>
        <v>3.3870967741935485</v>
      </c>
      <c r="F40" s="419">
        <f t="shared" si="46"/>
        <v>4.5161290322580649</v>
      </c>
      <c r="G40" s="419">
        <f t="shared" si="46"/>
        <v>3.870967741935484</v>
      </c>
      <c r="H40" s="419">
        <f t="shared" si="46"/>
        <v>0.80645161290322576</v>
      </c>
      <c r="I40" s="419"/>
      <c r="J40" s="417">
        <f t="shared" si="46"/>
        <v>18.387096774193548</v>
      </c>
      <c r="K40" s="420">
        <f t="shared" si="46"/>
        <v>6.774193548387097</v>
      </c>
      <c r="L40" s="421">
        <f t="shared" si="46"/>
        <v>25.161290322580644</v>
      </c>
    </row>
    <row r="41" spans="2:18" ht="16" thickBot="1" x14ac:dyDescent="0.4">
      <c r="B41" s="790"/>
      <c r="C41" s="20" t="s">
        <v>12</v>
      </c>
      <c r="D41" s="21">
        <v>128</v>
      </c>
      <c r="E41" s="21">
        <v>89</v>
      </c>
      <c r="F41" s="21">
        <v>155</v>
      </c>
      <c r="G41" s="21">
        <v>111</v>
      </c>
      <c r="H41" s="21">
        <v>24</v>
      </c>
      <c r="I41" s="63"/>
      <c r="J41" s="462">
        <f>SUM(D41:H41)</f>
        <v>507</v>
      </c>
      <c r="K41" s="22">
        <v>166</v>
      </c>
      <c r="L41" s="51">
        <f>SUM(J41:K41)</f>
        <v>673</v>
      </c>
    </row>
    <row r="42" spans="2:18" ht="16" thickBot="1" x14ac:dyDescent="0.4">
      <c r="B42" s="791"/>
      <c r="C42" s="409" t="s">
        <v>13</v>
      </c>
      <c r="D42" s="65">
        <f t="shared" ref="D42:L44" si="47">+D41/31</f>
        <v>4.129032258064516</v>
      </c>
      <c r="E42" s="65">
        <f t="shared" si="47"/>
        <v>2.870967741935484</v>
      </c>
      <c r="F42" s="65">
        <f t="shared" si="47"/>
        <v>5</v>
      </c>
      <c r="G42" s="65">
        <f t="shared" si="47"/>
        <v>3.5806451612903225</v>
      </c>
      <c r="H42" s="65">
        <f t="shared" si="47"/>
        <v>0.77419354838709675</v>
      </c>
      <c r="I42" s="65"/>
      <c r="J42" s="65">
        <f t="shared" si="47"/>
        <v>16.35483870967742</v>
      </c>
      <c r="K42" s="29">
        <f t="shared" si="47"/>
        <v>5.354838709677419</v>
      </c>
      <c r="L42" s="30">
        <f t="shared" si="47"/>
        <v>21.70967741935484</v>
      </c>
    </row>
    <row r="43" spans="2:18" ht="15.5" x14ac:dyDescent="0.35">
      <c r="B43" s="789">
        <v>43831</v>
      </c>
      <c r="C43" s="13" t="s">
        <v>11</v>
      </c>
      <c r="D43" s="14">
        <v>160</v>
      </c>
      <c r="E43" s="14">
        <v>95</v>
      </c>
      <c r="F43" s="14">
        <v>165</v>
      </c>
      <c r="G43" s="14">
        <v>120</v>
      </c>
      <c r="H43" s="14">
        <v>30</v>
      </c>
      <c r="I43" s="14"/>
      <c r="J43" s="14">
        <f t="shared" ref="J43:J45" si="48">SUM(D43:H43)</f>
        <v>570</v>
      </c>
      <c r="K43" s="49">
        <v>210</v>
      </c>
      <c r="L43" s="50">
        <f t="shared" ref="L43:L45" si="49">SUM(J43:K43)</f>
        <v>780</v>
      </c>
    </row>
    <row r="44" spans="2:18" ht="15.5" x14ac:dyDescent="0.35">
      <c r="B44" s="790"/>
      <c r="C44" s="52" t="s">
        <v>156</v>
      </c>
      <c r="D44" s="419">
        <f t="shared" si="47"/>
        <v>5.161290322580645</v>
      </c>
      <c r="E44" s="419">
        <f t="shared" si="47"/>
        <v>3.064516129032258</v>
      </c>
      <c r="F44" s="419">
        <f t="shared" si="47"/>
        <v>5.32258064516129</v>
      </c>
      <c r="G44" s="419">
        <f t="shared" si="47"/>
        <v>3.870967741935484</v>
      </c>
      <c r="H44" s="419">
        <f t="shared" si="47"/>
        <v>0.967741935483871</v>
      </c>
      <c r="I44" s="419"/>
      <c r="J44" s="419">
        <f t="shared" si="47"/>
        <v>18.387096774193548</v>
      </c>
      <c r="K44" s="420">
        <f t="shared" si="47"/>
        <v>6.774193548387097</v>
      </c>
      <c r="L44" s="421">
        <f t="shared" si="47"/>
        <v>25.161290322580644</v>
      </c>
      <c r="R44">
        <f>366-91</f>
        <v>275</v>
      </c>
    </row>
    <row r="45" spans="2:18" ht="16" thickBot="1" x14ac:dyDescent="0.4">
      <c r="B45" s="790"/>
      <c r="C45" s="20" t="s">
        <v>12</v>
      </c>
      <c r="D45" s="21">
        <v>148</v>
      </c>
      <c r="E45" s="21">
        <v>101</v>
      </c>
      <c r="F45" s="21">
        <v>167</v>
      </c>
      <c r="G45" s="21">
        <v>137</v>
      </c>
      <c r="H45" s="21">
        <v>34</v>
      </c>
      <c r="I45" s="21"/>
      <c r="J45" s="21">
        <f t="shared" si="48"/>
        <v>587</v>
      </c>
      <c r="K45" s="22">
        <v>175</v>
      </c>
      <c r="L45" s="51">
        <f t="shared" si="49"/>
        <v>762</v>
      </c>
    </row>
    <row r="46" spans="2:18" ht="16" thickBot="1" x14ac:dyDescent="0.4">
      <c r="B46" s="791"/>
      <c r="C46" s="409" t="s">
        <v>13</v>
      </c>
      <c r="D46" s="65">
        <f t="shared" ref="D46:L46" si="50">+D45/31</f>
        <v>4.774193548387097</v>
      </c>
      <c r="E46" s="65">
        <f t="shared" si="50"/>
        <v>3.2580645161290325</v>
      </c>
      <c r="F46" s="65">
        <f t="shared" si="50"/>
        <v>5.387096774193548</v>
      </c>
      <c r="G46" s="65">
        <f t="shared" si="50"/>
        <v>4.419354838709677</v>
      </c>
      <c r="H46" s="65">
        <f t="shared" si="50"/>
        <v>1.096774193548387</v>
      </c>
      <c r="I46" s="65"/>
      <c r="J46" s="65">
        <f t="shared" si="50"/>
        <v>18.93548387096774</v>
      </c>
      <c r="K46" s="29">
        <f t="shared" si="50"/>
        <v>5.645161290322581</v>
      </c>
      <c r="L46" s="30">
        <f t="shared" si="50"/>
        <v>24.580645161290324</v>
      </c>
    </row>
    <row r="47" spans="2:18" ht="15.5" x14ac:dyDescent="0.35">
      <c r="B47" s="789">
        <v>43862</v>
      </c>
      <c r="C47" s="13" t="s">
        <v>11</v>
      </c>
      <c r="D47" s="14">
        <v>160</v>
      </c>
      <c r="E47" s="14">
        <v>95</v>
      </c>
      <c r="F47" s="14">
        <v>165</v>
      </c>
      <c r="G47" s="14">
        <v>120</v>
      </c>
      <c r="H47" s="14">
        <v>30</v>
      </c>
      <c r="I47" s="14"/>
      <c r="J47" s="14">
        <f t="shared" ref="J47" si="51">SUM(D47:H47)</f>
        <v>570</v>
      </c>
      <c r="K47" s="49">
        <v>210</v>
      </c>
      <c r="L47" s="50">
        <f t="shared" ref="L47" si="52">SUM(J47:K47)</f>
        <v>780</v>
      </c>
    </row>
    <row r="48" spans="2:18" ht="15.5" x14ac:dyDescent="0.35">
      <c r="B48" s="790"/>
      <c r="C48" s="52" t="s">
        <v>156</v>
      </c>
      <c r="D48" s="419">
        <f>+D47/29</f>
        <v>5.5172413793103452</v>
      </c>
      <c r="E48" s="419">
        <f t="shared" ref="E48:L48" si="53">+E47/29</f>
        <v>3.2758620689655173</v>
      </c>
      <c r="F48" s="419">
        <f t="shared" si="53"/>
        <v>5.6896551724137927</v>
      </c>
      <c r="G48" s="419">
        <f t="shared" si="53"/>
        <v>4.1379310344827589</v>
      </c>
      <c r="H48" s="419">
        <f t="shared" si="53"/>
        <v>1.0344827586206897</v>
      </c>
      <c r="I48" s="419"/>
      <c r="J48" s="419">
        <f t="shared" si="53"/>
        <v>19.655172413793103</v>
      </c>
      <c r="K48" s="419">
        <f t="shared" si="53"/>
        <v>7.2413793103448274</v>
      </c>
      <c r="L48" s="419">
        <f t="shared" si="53"/>
        <v>26.896551724137932</v>
      </c>
    </row>
    <row r="49" spans="2:12" ht="16" thickBot="1" x14ac:dyDescent="0.4">
      <c r="B49" s="790"/>
      <c r="C49" s="20" t="s">
        <v>12</v>
      </c>
      <c r="D49" s="21">
        <v>147</v>
      </c>
      <c r="E49" s="21">
        <v>94</v>
      </c>
      <c r="F49" s="21">
        <v>175</v>
      </c>
      <c r="G49" s="21">
        <v>117</v>
      </c>
      <c r="H49" s="21">
        <v>43</v>
      </c>
      <c r="I49" s="21"/>
      <c r="J49" s="21">
        <f t="shared" ref="J49" si="54">SUM(D49:H49)</f>
        <v>576</v>
      </c>
      <c r="K49" s="596"/>
      <c r="L49" s="51">
        <f t="shared" ref="L49" si="55">SUM(J49:K49)</f>
        <v>576</v>
      </c>
    </row>
    <row r="50" spans="2:12" ht="16" thickBot="1" x14ac:dyDescent="0.4">
      <c r="B50" s="791"/>
      <c r="C50" s="409" t="s">
        <v>13</v>
      </c>
      <c r="D50" s="65">
        <f>+D49/29</f>
        <v>5.068965517241379</v>
      </c>
      <c r="E50" s="65">
        <f t="shared" ref="E50:L50" si="56">+E49/29</f>
        <v>3.2413793103448274</v>
      </c>
      <c r="F50" s="65">
        <f t="shared" si="56"/>
        <v>6.0344827586206895</v>
      </c>
      <c r="G50" s="65">
        <f t="shared" si="56"/>
        <v>4.0344827586206895</v>
      </c>
      <c r="H50" s="65">
        <f t="shared" si="56"/>
        <v>1.4827586206896552</v>
      </c>
      <c r="I50" s="65"/>
      <c r="J50" s="65">
        <f t="shared" si="56"/>
        <v>19.862068965517242</v>
      </c>
      <c r="K50" s="65">
        <f t="shared" si="56"/>
        <v>0</v>
      </c>
      <c r="L50" s="65">
        <f t="shared" si="56"/>
        <v>19.862068965517242</v>
      </c>
    </row>
    <row r="51" spans="2:12" ht="15.5" x14ac:dyDescent="0.35">
      <c r="B51" s="789">
        <v>43891</v>
      </c>
      <c r="C51" s="13" t="s">
        <v>11</v>
      </c>
      <c r="D51" s="14">
        <v>160</v>
      </c>
      <c r="E51" s="14">
        <v>95</v>
      </c>
      <c r="F51" s="14">
        <v>165</v>
      </c>
      <c r="G51" s="14">
        <v>120</v>
      </c>
      <c r="H51" s="14">
        <v>30</v>
      </c>
      <c r="I51" s="14"/>
      <c r="J51" s="14">
        <f t="shared" ref="J51" si="57">SUM(D51:H51)</f>
        <v>570</v>
      </c>
      <c r="K51" s="49">
        <v>210</v>
      </c>
      <c r="L51" s="50">
        <f t="shared" ref="L51" si="58">SUM(J51:K51)</f>
        <v>780</v>
      </c>
    </row>
    <row r="52" spans="2:12" ht="15.5" x14ac:dyDescent="0.35">
      <c r="B52" s="790"/>
      <c r="C52" s="52" t="s">
        <v>156</v>
      </c>
      <c r="D52" s="419">
        <f t="shared" ref="D52:L52" si="59">+D51/31</f>
        <v>5.161290322580645</v>
      </c>
      <c r="E52" s="419">
        <f t="shared" si="59"/>
        <v>3.064516129032258</v>
      </c>
      <c r="F52" s="419">
        <f t="shared" si="59"/>
        <v>5.32258064516129</v>
      </c>
      <c r="G52" s="419">
        <f t="shared" si="59"/>
        <v>3.870967741935484</v>
      </c>
      <c r="H52" s="419">
        <f t="shared" si="59"/>
        <v>0.967741935483871</v>
      </c>
      <c r="I52" s="419"/>
      <c r="J52" s="419">
        <f t="shared" si="59"/>
        <v>18.387096774193548</v>
      </c>
      <c r="K52" s="420">
        <f t="shared" si="59"/>
        <v>6.774193548387097</v>
      </c>
      <c r="L52" s="421">
        <f t="shared" si="59"/>
        <v>25.161290322580644</v>
      </c>
    </row>
    <row r="53" spans="2:12" ht="16" thickBot="1" x14ac:dyDescent="0.4">
      <c r="B53" s="790"/>
      <c r="C53" s="20" t="s">
        <v>12</v>
      </c>
      <c r="D53" s="21">
        <v>152</v>
      </c>
      <c r="E53" s="21">
        <v>78</v>
      </c>
      <c r="F53" s="21">
        <v>161</v>
      </c>
      <c r="G53" s="21">
        <v>128</v>
      </c>
      <c r="H53" s="21">
        <v>28</v>
      </c>
      <c r="I53" s="21">
        <v>8</v>
      </c>
      <c r="J53" s="21">
        <f>SUM(D53:I53)</f>
        <v>555</v>
      </c>
      <c r="K53" s="22">
        <v>178</v>
      </c>
      <c r="L53" s="51">
        <f t="shared" ref="L53" si="60">SUM(J53:K53)</f>
        <v>733</v>
      </c>
    </row>
    <row r="54" spans="2:12" ht="16" thickBot="1" x14ac:dyDescent="0.4">
      <c r="B54" s="791"/>
      <c r="C54" s="409" t="s">
        <v>13</v>
      </c>
      <c r="D54" s="65">
        <f t="shared" ref="D54:L54" si="61">+D53/31</f>
        <v>4.903225806451613</v>
      </c>
      <c r="E54" s="65">
        <f t="shared" si="61"/>
        <v>2.5161290322580645</v>
      </c>
      <c r="F54" s="65">
        <f t="shared" si="61"/>
        <v>5.193548387096774</v>
      </c>
      <c r="G54" s="65">
        <f t="shared" si="61"/>
        <v>4.129032258064516</v>
      </c>
      <c r="H54" s="65">
        <f t="shared" si="61"/>
        <v>0.90322580645161288</v>
      </c>
      <c r="I54" s="65">
        <f t="shared" si="61"/>
        <v>0.25806451612903225</v>
      </c>
      <c r="J54" s="65">
        <f t="shared" si="61"/>
        <v>17.903225806451612</v>
      </c>
      <c r="K54" s="29">
        <f t="shared" si="61"/>
        <v>5.741935483870968</v>
      </c>
      <c r="L54" s="30">
        <f t="shared" si="61"/>
        <v>23.64516129032258</v>
      </c>
    </row>
    <row r="55" spans="2:12" ht="15.5" x14ac:dyDescent="0.35">
      <c r="B55" s="789" t="s">
        <v>157</v>
      </c>
      <c r="C55" s="13" t="s">
        <v>11</v>
      </c>
      <c r="D55" s="14">
        <f>+D7+D11+D15+D19+D23+D27+D31+D35+D39+D43+D47+D51</f>
        <v>2172</v>
      </c>
      <c r="E55" s="14">
        <f t="shared" ref="E55:L55" si="62">+E7+E11+E15+E19+E23+E27+E31+E35+E39+E43+E47+E51</f>
        <v>1248</v>
      </c>
      <c r="F55" s="14">
        <f t="shared" si="62"/>
        <v>1878</v>
      </c>
      <c r="G55" s="14">
        <f t="shared" si="62"/>
        <v>1557</v>
      </c>
      <c r="H55" s="14">
        <f t="shared" si="62"/>
        <v>345</v>
      </c>
      <c r="I55" s="14"/>
      <c r="J55" s="14">
        <f t="shared" si="62"/>
        <v>7200</v>
      </c>
      <c r="K55" s="14">
        <f t="shared" si="62"/>
        <v>2520</v>
      </c>
      <c r="L55" s="14">
        <f t="shared" si="62"/>
        <v>9720</v>
      </c>
    </row>
    <row r="56" spans="2:12" ht="16" thickBot="1" x14ac:dyDescent="0.4">
      <c r="B56" s="790"/>
      <c r="C56" s="52" t="s">
        <v>156</v>
      </c>
      <c r="D56" s="419">
        <f>+D55/275</f>
        <v>7.8981818181818184</v>
      </c>
      <c r="E56" s="419">
        <f t="shared" ref="E56:L56" si="63">+E55/275</f>
        <v>4.5381818181818181</v>
      </c>
      <c r="F56" s="419">
        <f t="shared" si="63"/>
        <v>6.8290909090909091</v>
      </c>
      <c r="G56" s="419">
        <f t="shared" si="63"/>
        <v>5.6618181818181821</v>
      </c>
      <c r="H56" s="419">
        <f t="shared" si="63"/>
        <v>1.2545454545454546</v>
      </c>
      <c r="I56" s="419"/>
      <c r="J56" s="419">
        <f t="shared" si="63"/>
        <v>26.181818181818183</v>
      </c>
      <c r="K56" s="420">
        <f t="shared" si="63"/>
        <v>9.163636363636364</v>
      </c>
      <c r="L56" s="421">
        <f t="shared" si="63"/>
        <v>35.345454545454544</v>
      </c>
    </row>
    <row r="57" spans="2:12" ht="16" thickBot="1" x14ac:dyDescent="0.4">
      <c r="B57" s="790"/>
      <c r="C57" s="20" t="s">
        <v>12</v>
      </c>
      <c r="D57" s="14">
        <f t="shared" ref="D57:L57" si="64">+D9+D13+D17+D21+D25+D29+D33+D37+D41+D45+D49+D53</f>
        <v>1815</v>
      </c>
      <c r="E57" s="14">
        <f t="shared" si="64"/>
        <v>1096</v>
      </c>
      <c r="F57" s="14">
        <f t="shared" si="64"/>
        <v>1805</v>
      </c>
      <c r="G57" s="14">
        <f t="shared" si="64"/>
        <v>1307</v>
      </c>
      <c r="H57" s="14">
        <f t="shared" si="64"/>
        <v>295</v>
      </c>
      <c r="I57" s="14"/>
      <c r="J57" s="594">
        <f t="shared" si="64"/>
        <v>6326</v>
      </c>
      <c r="K57" s="14">
        <f t="shared" si="64"/>
        <v>1841</v>
      </c>
      <c r="L57" s="14">
        <f t="shared" si="64"/>
        <v>8167</v>
      </c>
    </row>
    <row r="58" spans="2:12" ht="16" thickBot="1" x14ac:dyDescent="0.4">
      <c r="B58" s="791"/>
      <c r="C58" s="409" t="s">
        <v>13</v>
      </c>
      <c r="D58" s="65">
        <f t="shared" ref="D58:L58" si="65">+D57/275</f>
        <v>6.6</v>
      </c>
      <c r="E58" s="65">
        <f t="shared" si="65"/>
        <v>3.9854545454545454</v>
      </c>
      <c r="F58" s="65">
        <f t="shared" si="65"/>
        <v>6.5636363636363635</v>
      </c>
      <c r="G58" s="65">
        <f t="shared" si="65"/>
        <v>4.7527272727272729</v>
      </c>
      <c r="H58" s="65">
        <f t="shared" si="65"/>
        <v>1.0727272727272728</v>
      </c>
      <c r="I58" s="65"/>
      <c r="J58" s="65">
        <f t="shared" si="65"/>
        <v>23.003636363636364</v>
      </c>
      <c r="K58" s="29">
        <f t="shared" si="65"/>
        <v>6.6945454545454544</v>
      </c>
      <c r="L58" s="30">
        <f t="shared" si="65"/>
        <v>29.698181818181819</v>
      </c>
    </row>
    <row r="64" spans="2:12" x14ac:dyDescent="0.35">
      <c r="I64" s="500"/>
      <c r="J64" s="500"/>
      <c r="K64" s="500"/>
    </row>
    <row r="65" spans="9:11" x14ac:dyDescent="0.35">
      <c r="I65" s="500"/>
      <c r="J65" s="504"/>
      <c r="K65" s="500"/>
    </row>
    <row r="66" spans="9:11" x14ac:dyDescent="0.35">
      <c r="I66" s="500"/>
      <c r="J66" s="504"/>
      <c r="K66" s="500"/>
    </row>
    <row r="67" spans="9:11" x14ac:dyDescent="0.35">
      <c r="I67" s="500"/>
      <c r="J67" s="504"/>
      <c r="K67" s="500"/>
    </row>
    <row r="68" spans="9:11" x14ac:dyDescent="0.35">
      <c r="I68" s="500"/>
      <c r="J68" s="504"/>
      <c r="K68" s="500"/>
    </row>
    <row r="69" spans="9:11" x14ac:dyDescent="0.35">
      <c r="I69" s="500"/>
      <c r="J69" s="504"/>
      <c r="K69" s="500"/>
    </row>
    <row r="70" spans="9:11" x14ac:dyDescent="0.35">
      <c r="I70" s="500"/>
      <c r="J70" s="504"/>
      <c r="K70" s="500"/>
    </row>
    <row r="71" spans="9:11" x14ac:dyDescent="0.35">
      <c r="I71" s="500"/>
      <c r="J71" s="504"/>
      <c r="K71" s="500"/>
    </row>
    <row r="72" spans="9:11" x14ac:dyDescent="0.35">
      <c r="I72" s="500"/>
      <c r="J72" s="504"/>
      <c r="K72" s="500"/>
    </row>
    <row r="73" spans="9:11" x14ac:dyDescent="0.35">
      <c r="I73" s="500"/>
      <c r="J73" s="504"/>
      <c r="K73" s="500"/>
    </row>
    <row r="74" spans="9:11" x14ac:dyDescent="0.35">
      <c r="I74" s="500"/>
      <c r="J74" s="504"/>
      <c r="K74" s="500"/>
    </row>
    <row r="75" spans="9:11" x14ac:dyDescent="0.35">
      <c r="I75" s="500"/>
      <c r="J75" s="504"/>
      <c r="K75" s="500"/>
    </row>
    <row r="76" spans="9:11" x14ac:dyDescent="0.35">
      <c r="I76" s="500"/>
      <c r="J76" s="595"/>
      <c r="K76" s="500"/>
    </row>
    <row r="77" spans="9:11" x14ac:dyDescent="0.35">
      <c r="I77" s="500"/>
      <c r="J77" s="595"/>
      <c r="K77" s="500"/>
    </row>
    <row r="78" spans="9:11" x14ac:dyDescent="0.35">
      <c r="I78" s="500"/>
      <c r="J78" s="595"/>
      <c r="K78" s="500"/>
    </row>
    <row r="79" spans="9:11" x14ac:dyDescent="0.35">
      <c r="I79" s="500"/>
      <c r="J79" s="500"/>
      <c r="K79" s="500"/>
    </row>
    <row r="80" spans="9:11" x14ac:dyDescent="0.35">
      <c r="I80" s="500"/>
      <c r="J80" s="500"/>
      <c r="K80" s="500"/>
    </row>
  </sheetData>
  <mergeCells count="14">
    <mergeCell ref="B55:B58"/>
    <mergeCell ref="B35:B38"/>
    <mergeCell ref="B39:B42"/>
    <mergeCell ref="B43:B46"/>
    <mergeCell ref="B11:B14"/>
    <mergeCell ref="B15:B18"/>
    <mergeCell ref="B19:B22"/>
    <mergeCell ref="B23:B26"/>
    <mergeCell ref="B27:B30"/>
    <mergeCell ref="B3:L3"/>
    <mergeCell ref="B7:B10"/>
    <mergeCell ref="B31:B34"/>
    <mergeCell ref="B47:B50"/>
    <mergeCell ref="B51:B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AS66"/>
  <sheetViews>
    <sheetView topLeftCell="A22" workbookViewId="0">
      <selection activeCell="AF43" sqref="AF43"/>
    </sheetView>
  </sheetViews>
  <sheetFormatPr defaultColWidth="9.1796875" defaultRowHeight="14.5" x14ac:dyDescent="0.35"/>
  <cols>
    <col min="1" max="2" width="9.1796875" style="2"/>
    <col min="3" max="3" width="16.1796875" style="2" customWidth="1"/>
    <col min="4" max="4" width="6.54296875" style="2" customWidth="1"/>
    <col min="5" max="5" width="7.26953125" style="2" customWidth="1"/>
    <col min="6" max="6" width="5.26953125" style="2" customWidth="1"/>
    <col min="7" max="7" width="7.26953125" style="2" customWidth="1"/>
    <col min="8" max="8" width="5.26953125" style="2" customWidth="1"/>
    <col min="9" max="9" width="7.26953125" style="2" customWidth="1"/>
    <col min="10" max="10" width="5.26953125" style="2" customWidth="1"/>
    <col min="11" max="11" width="7.26953125" style="2" customWidth="1"/>
    <col min="12" max="12" width="5.26953125" style="2" customWidth="1"/>
    <col min="13" max="13" width="7.26953125" style="2" customWidth="1"/>
    <col min="14" max="14" width="5.26953125" style="2" customWidth="1"/>
    <col min="15" max="15" width="7.26953125" style="2" customWidth="1"/>
    <col min="16" max="16" width="5.26953125" style="2" customWidth="1"/>
    <col min="17" max="17" width="7.26953125" style="2" customWidth="1"/>
    <col min="18" max="18" width="5.26953125" style="2" customWidth="1"/>
    <col min="19" max="19" width="7.26953125" style="2" customWidth="1"/>
    <col min="20" max="20" width="5.26953125" style="2" customWidth="1"/>
    <col min="21" max="21" width="7.26953125" style="2" customWidth="1"/>
    <col min="22" max="22" width="5.26953125" style="2" customWidth="1"/>
    <col min="23" max="23" width="7.26953125" style="2" customWidth="1"/>
    <col min="24" max="24" width="5.26953125" style="2" customWidth="1"/>
    <col min="25" max="25" width="7.26953125" style="2" customWidth="1"/>
    <col min="26" max="26" width="5.26953125" style="2" customWidth="1"/>
    <col min="27" max="27" width="7.26953125" style="2" customWidth="1"/>
    <col min="28" max="28" width="6.1796875" style="2" customWidth="1"/>
    <col min="29" max="29" width="7.26953125" style="2" customWidth="1"/>
    <col min="30" max="30" width="5.54296875" style="2" customWidth="1"/>
    <col min="31" max="33" width="5.54296875" style="2" bestFit="1" customWidth="1"/>
    <col min="34" max="34" width="16.54296875" style="2" bestFit="1" customWidth="1"/>
    <col min="35" max="16384" width="9.1796875" style="2"/>
  </cols>
  <sheetData>
    <row r="2" spans="2:33" ht="15" x14ac:dyDescent="0.25">
      <c r="E2" s="2">
        <v>30</v>
      </c>
      <c r="G2" s="2">
        <v>31</v>
      </c>
      <c r="I2" s="2">
        <v>30</v>
      </c>
      <c r="K2" s="2">
        <v>31</v>
      </c>
      <c r="M2" s="2">
        <v>31</v>
      </c>
      <c r="O2" s="2">
        <v>30</v>
      </c>
      <c r="Q2" s="2">
        <v>31</v>
      </c>
      <c r="S2" s="2">
        <v>30</v>
      </c>
      <c r="U2" s="2">
        <v>31</v>
      </c>
      <c r="W2" s="2">
        <v>31</v>
      </c>
      <c r="Y2" s="2">
        <v>29</v>
      </c>
      <c r="AA2" s="2">
        <v>31</v>
      </c>
      <c r="AC2" s="2">
        <v>335</v>
      </c>
    </row>
    <row r="4" spans="2:33" ht="18.75" x14ac:dyDescent="0.3">
      <c r="B4" s="811" t="s">
        <v>151</v>
      </c>
      <c r="C4" s="811"/>
      <c r="D4" s="811"/>
      <c r="E4" s="811"/>
      <c r="F4" s="811"/>
      <c r="G4" s="811"/>
      <c r="H4" s="811"/>
      <c r="I4" s="811"/>
      <c r="J4" s="811"/>
      <c r="K4" s="811"/>
      <c r="L4" s="811"/>
      <c r="M4" s="811"/>
      <c r="N4" s="811"/>
      <c r="O4" s="811"/>
      <c r="P4" s="811"/>
      <c r="Q4" s="811"/>
      <c r="R4" s="811"/>
      <c r="S4" s="811"/>
      <c r="T4" s="811"/>
      <c r="U4" s="811"/>
      <c r="V4" s="811"/>
      <c r="W4" s="811"/>
      <c r="X4" s="811"/>
      <c r="Y4" s="811"/>
      <c r="Z4" s="811"/>
      <c r="AA4" s="811"/>
      <c r="AB4" s="811"/>
      <c r="AC4" s="811"/>
    </row>
    <row r="5" spans="2:33" ht="15.75" thickBot="1" x14ac:dyDescent="0.3"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  <c r="X5" s="388"/>
      <c r="Y5" s="388"/>
      <c r="Z5" s="388"/>
      <c r="AA5" s="388"/>
      <c r="AB5" s="388"/>
      <c r="AC5" s="388"/>
    </row>
    <row r="6" spans="2:33" ht="15" x14ac:dyDescent="0.25">
      <c r="B6" s="388"/>
      <c r="C6" s="388"/>
      <c r="D6" s="807">
        <v>43556</v>
      </c>
      <c r="E6" s="808"/>
      <c r="F6" s="807">
        <v>43586</v>
      </c>
      <c r="G6" s="808"/>
      <c r="H6" s="807">
        <v>43617</v>
      </c>
      <c r="I6" s="808"/>
      <c r="J6" s="807">
        <v>43647</v>
      </c>
      <c r="K6" s="808"/>
      <c r="L6" s="807">
        <v>43678</v>
      </c>
      <c r="M6" s="808"/>
      <c r="N6" s="807">
        <v>43709</v>
      </c>
      <c r="O6" s="808"/>
      <c r="P6" s="807">
        <v>43739</v>
      </c>
      <c r="Q6" s="808"/>
      <c r="R6" s="807">
        <v>43770</v>
      </c>
      <c r="S6" s="808"/>
      <c r="T6" s="807">
        <v>43800</v>
      </c>
      <c r="U6" s="808"/>
      <c r="V6" s="807">
        <v>43831</v>
      </c>
      <c r="W6" s="808"/>
      <c r="X6" s="807">
        <v>43862</v>
      </c>
      <c r="Y6" s="808"/>
      <c r="Z6" s="807">
        <v>43891</v>
      </c>
      <c r="AA6" s="808"/>
      <c r="AB6" s="837" t="s">
        <v>152</v>
      </c>
      <c r="AC6" s="838"/>
      <c r="AD6" s="759" t="s">
        <v>143</v>
      </c>
      <c r="AE6" s="759" t="s">
        <v>145</v>
      </c>
      <c r="AF6" s="759" t="s">
        <v>146</v>
      </c>
      <c r="AG6" s="759" t="s">
        <v>148</v>
      </c>
    </row>
    <row r="7" spans="2:33" ht="16.5" thickBot="1" x14ac:dyDescent="0.3">
      <c r="B7" s="389"/>
      <c r="C7" s="388"/>
      <c r="D7" s="390" t="s">
        <v>123</v>
      </c>
      <c r="E7" s="391" t="s">
        <v>124</v>
      </c>
      <c r="F7" s="392" t="s">
        <v>123</v>
      </c>
      <c r="G7" s="393" t="s">
        <v>124</v>
      </c>
      <c r="H7" s="390" t="s">
        <v>123</v>
      </c>
      <c r="I7" s="391" t="s">
        <v>124</v>
      </c>
      <c r="J7" s="392" t="s">
        <v>123</v>
      </c>
      <c r="K7" s="393" t="s">
        <v>124</v>
      </c>
      <c r="L7" s="390" t="s">
        <v>123</v>
      </c>
      <c r="M7" s="391" t="s">
        <v>124</v>
      </c>
      <c r="N7" s="392" t="s">
        <v>123</v>
      </c>
      <c r="O7" s="393" t="s">
        <v>124</v>
      </c>
      <c r="P7" s="390" t="s">
        <v>123</v>
      </c>
      <c r="Q7" s="391" t="s">
        <v>124</v>
      </c>
      <c r="R7" s="392" t="s">
        <v>123</v>
      </c>
      <c r="S7" s="393" t="s">
        <v>124</v>
      </c>
      <c r="T7" s="390" t="s">
        <v>123</v>
      </c>
      <c r="U7" s="391" t="s">
        <v>124</v>
      </c>
      <c r="V7" s="392" t="s">
        <v>123</v>
      </c>
      <c r="W7" s="393" t="s">
        <v>124</v>
      </c>
      <c r="X7" s="390" t="s">
        <v>123</v>
      </c>
      <c r="Y7" s="391" t="s">
        <v>124</v>
      </c>
      <c r="Z7" s="392" t="s">
        <v>123</v>
      </c>
      <c r="AA7" s="393" t="s">
        <v>124</v>
      </c>
      <c r="AB7" s="390" t="s">
        <v>123</v>
      </c>
      <c r="AC7" s="391" t="s">
        <v>124</v>
      </c>
    </row>
    <row r="8" spans="2:33" ht="15" customHeight="1" x14ac:dyDescent="0.35">
      <c r="B8" s="793" t="s">
        <v>42</v>
      </c>
      <c r="C8" s="394" t="s">
        <v>90</v>
      </c>
      <c r="D8" s="471">
        <v>30</v>
      </c>
      <c r="E8" s="43">
        <v>27</v>
      </c>
      <c r="F8" s="471">
        <v>30</v>
      </c>
      <c r="G8" s="472">
        <v>24</v>
      </c>
      <c r="H8" s="471">
        <v>30</v>
      </c>
      <c r="I8" s="43">
        <v>27</v>
      </c>
      <c r="J8" s="471">
        <v>30</v>
      </c>
      <c r="K8" s="472">
        <v>30</v>
      </c>
      <c r="L8" s="471">
        <v>30</v>
      </c>
      <c r="M8" s="43">
        <v>28</v>
      </c>
      <c r="N8" s="473">
        <v>30</v>
      </c>
      <c r="O8" s="472">
        <v>24</v>
      </c>
      <c r="P8" s="471">
        <v>28</v>
      </c>
      <c r="Q8" s="43">
        <v>28</v>
      </c>
      <c r="R8" s="471">
        <v>28</v>
      </c>
      <c r="S8" s="472">
        <v>19</v>
      </c>
      <c r="T8" s="471">
        <v>28</v>
      </c>
      <c r="U8" s="43">
        <v>23</v>
      </c>
      <c r="V8" s="473">
        <v>30</v>
      </c>
      <c r="W8" s="472">
        <v>22</v>
      </c>
      <c r="X8" s="473">
        <v>30</v>
      </c>
      <c r="Y8" s="43">
        <v>24</v>
      </c>
      <c r="Z8" s="473">
        <v>30</v>
      </c>
      <c r="AA8" s="472">
        <v>20</v>
      </c>
      <c r="AB8" s="469">
        <f>+D8+F8+H8+J8+L8+N8+P8+R8+T8+V8+X8+Z8</f>
        <v>354</v>
      </c>
      <c r="AC8" s="474">
        <f>+E8+G8+I8+K8+M8+O8+Q8+S8+U8+W8+Y8+AA8</f>
        <v>296</v>
      </c>
    </row>
    <row r="9" spans="2:33" ht="15" customHeight="1" x14ac:dyDescent="0.35">
      <c r="B9" s="794"/>
      <c r="C9" s="399" t="s">
        <v>92</v>
      </c>
      <c r="D9" s="469">
        <v>90</v>
      </c>
      <c r="E9" s="44">
        <v>77</v>
      </c>
      <c r="F9" s="469">
        <v>90</v>
      </c>
      <c r="G9" s="374">
        <v>75</v>
      </c>
      <c r="H9" s="469">
        <v>90</v>
      </c>
      <c r="I9" s="44">
        <v>77</v>
      </c>
      <c r="J9" s="469">
        <v>90</v>
      </c>
      <c r="K9" s="374">
        <v>73</v>
      </c>
      <c r="L9" s="469">
        <v>90</v>
      </c>
      <c r="M9" s="44">
        <v>61</v>
      </c>
      <c r="N9" s="470">
        <v>90</v>
      </c>
      <c r="O9" s="374">
        <v>60</v>
      </c>
      <c r="P9" s="469">
        <v>70</v>
      </c>
      <c r="Q9" s="44">
        <v>62</v>
      </c>
      <c r="R9" s="469">
        <v>70</v>
      </c>
      <c r="S9" s="374">
        <v>64</v>
      </c>
      <c r="T9" s="469">
        <v>70</v>
      </c>
      <c r="U9" s="44">
        <v>40</v>
      </c>
      <c r="V9" s="470">
        <v>70</v>
      </c>
      <c r="W9" s="374">
        <v>65</v>
      </c>
      <c r="X9" s="470">
        <v>70</v>
      </c>
      <c r="Y9" s="44">
        <v>68</v>
      </c>
      <c r="Z9" s="470">
        <v>70</v>
      </c>
      <c r="AA9" s="374">
        <v>72</v>
      </c>
      <c r="AB9" s="469">
        <f>+D9+F9+H9+J9+L9+N9+P9+R9+T9+V9+X9+Z9</f>
        <v>960</v>
      </c>
      <c r="AC9" s="258">
        <f>+E9+G9+I9+K9+M9+O9+Q9+S9+U9+W9+Y9+AA9</f>
        <v>794</v>
      </c>
    </row>
    <row r="10" spans="2:33" x14ac:dyDescent="0.35">
      <c r="B10" s="794"/>
      <c r="C10" s="399" t="s">
        <v>125</v>
      </c>
      <c r="D10" s="467">
        <f t="shared" ref="D10:AB10" si="0">SUM(D8:D9)</f>
        <v>120</v>
      </c>
      <c r="E10" s="466">
        <f t="shared" si="0"/>
        <v>104</v>
      </c>
      <c r="F10" s="467">
        <f t="shared" si="0"/>
        <v>120</v>
      </c>
      <c r="G10" s="467">
        <f t="shared" si="0"/>
        <v>99</v>
      </c>
      <c r="H10" s="467">
        <f t="shared" si="0"/>
        <v>120</v>
      </c>
      <c r="I10" s="467">
        <f t="shared" si="0"/>
        <v>104</v>
      </c>
      <c r="J10" s="467">
        <f t="shared" ref="J10:L10" si="1">SUM(J8:J9)</f>
        <v>120</v>
      </c>
      <c r="K10" s="468">
        <f t="shared" si="0"/>
        <v>103</v>
      </c>
      <c r="L10" s="469">
        <f t="shared" si="1"/>
        <v>120</v>
      </c>
      <c r="M10" s="258">
        <f t="shared" si="0"/>
        <v>89</v>
      </c>
      <c r="N10" s="470">
        <f t="shared" ref="N10" si="2">SUM(N8:N9)</f>
        <v>120</v>
      </c>
      <c r="O10" s="468">
        <f t="shared" si="0"/>
        <v>84</v>
      </c>
      <c r="P10" s="469">
        <f t="shared" si="0"/>
        <v>98</v>
      </c>
      <c r="Q10" s="258">
        <f t="shared" si="0"/>
        <v>90</v>
      </c>
      <c r="R10" s="469">
        <f t="shared" ref="R10:T10" si="3">SUM(R8:R9)</f>
        <v>98</v>
      </c>
      <c r="S10" s="468">
        <f t="shared" si="0"/>
        <v>83</v>
      </c>
      <c r="T10" s="469">
        <f t="shared" si="3"/>
        <v>98</v>
      </c>
      <c r="U10" s="258">
        <f t="shared" si="0"/>
        <v>63</v>
      </c>
      <c r="V10" s="470">
        <f t="shared" ref="V10" si="4">SUM(V8:V9)</f>
        <v>100</v>
      </c>
      <c r="W10" s="468">
        <f t="shared" si="0"/>
        <v>87</v>
      </c>
      <c r="X10" s="470">
        <f t="shared" ref="X10" si="5">SUM(X8:X9)</f>
        <v>100</v>
      </c>
      <c r="Y10" s="258">
        <v>92</v>
      </c>
      <c r="Z10" s="470">
        <f t="shared" si="0"/>
        <v>100</v>
      </c>
      <c r="AA10" s="468">
        <f t="shared" si="0"/>
        <v>92</v>
      </c>
      <c r="AB10" s="469">
        <f t="shared" si="0"/>
        <v>1314</v>
      </c>
      <c r="AC10" s="258">
        <f>SUM(AC8:AC9)</f>
        <v>1090</v>
      </c>
      <c r="AD10" s="135">
        <f>E10+G10+I10</f>
        <v>307</v>
      </c>
      <c r="AE10" s="135">
        <f>+K10+M10+O10</f>
        <v>276</v>
      </c>
      <c r="AF10" s="135">
        <f>Q10+S10+U10</f>
        <v>236</v>
      </c>
      <c r="AG10" s="135">
        <f>W10+Y10+AA10</f>
        <v>271</v>
      </c>
    </row>
    <row r="11" spans="2:33" ht="16" thickBot="1" x14ac:dyDescent="0.4">
      <c r="B11" s="839"/>
      <c r="C11" s="402" t="s">
        <v>126</v>
      </c>
      <c r="D11" s="254">
        <f>D10/E2</f>
        <v>4</v>
      </c>
      <c r="E11" s="255">
        <f>E10/E2</f>
        <v>3.4666666666666668</v>
      </c>
      <c r="F11" s="254">
        <f>F10/G2</f>
        <v>3.870967741935484</v>
      </c>
      <c r="G11" s="257">
        <f t="shared" ref="G11" si="6">G10/G2</f>
        <v>3.193548387096774</v>
      </c>
      <c r="H11" s="254">
        <f>H10/I2</f>
        <v>4</v>
      </c>
      <c r="I11" s="255">
        <f>I10/I2</f>
        <v>3.4666666666666668</v>
      </c>
      <c r="J11" s="254">
        <f>J10/K2</f>
        <v>3.870967741935484</v>
      </c>
      <c r="K11" s="257">
        <f t="shared" ref="K11" si="7">K10/K2</f>
        <v>3.3225806451612905</v>
      </c>
      <c r="L11" s="254">
        <f>L10/M2</f>
        <v>3.870967741935484</v>
      </c>
      <c r="M11" s="255">
        <f t="shared" ref="M11" si="8">M10/M2</f>
        <v>2.870967741935484</v>
      </c>
      <c r="N11" s="256">
        <f>N10/O2</f>
        <v>4</v>
      </c>
      <c r="O11" s="257">
        <f t="shared" ref="O11" si="9">O10/O2</f>
        <v>2.8</v>
      </c>
      <c r="P11" s="254">
        <f t="shared" ref="P11:T11" si="10">P10/Q2</f>
        <v>3.161290322580645</v>
      </c>
      <c r="Q11" s="255">
        <f>Q10/Q2</f>
        <v>2.903225806451613</v>
      </c>
      <c r="R11" s="254">
        <f t="shared" si="10"/>
        <v>3.2666666666666666</v>
      </c>
      <c r="S11" s="257">
        <f t="shared" ref="S11" si="11">S10/S2</f>
        <v>2.7666666666666666</v>
      </c>
      <c r="T11" s="254">
        <f t="shared" si="10"/>
        <v>3.161290322580645</v>
      </c>
      <c r="U11" s="255">
        <f t="shared" ref="U11" si="12">U10/U2</f>
        <v>2.032258064516129</v>
      </c>
      <c r="V11" s="256">
        <f>V10/W2</f>
        <v>3.225806451612903</v>
      </c>
      <c r="W11" s="257">
        <f t="shared" ref="W11" si="13">W10/W2</f>
        <v>2.806451612903226</v>
      </c>
      <c r="X11" s="256">
        <f>X10/Y2</f>
        <v>3.4482758620689653</v>
      </c>
      <c r="Y11" s="255">
        <f>Y10/Y$2</f>
        <v>3.1724137931034484</v>
      </c>
      <c r="Z11" s="256">
        <f>Z10/AA2</f>
        <v>3.225806451612903</v>
      </c>
      <c r="AA11" s="257">
        <f>AA10/AA$2</f>
        <v>2.967741935483871</v>
      </c>
      <c r="AB11" s="254">
        <f>AB10/$AC$2</f>
        <v>3.9223880597014924</v>
      </c>
      <c r="AC11" s="255">
        <f>AC10/$AC$2</f>
        <v>3.2537313432835822</v>
      </c>
      <c r="AD11" s="2">
        <f>+AD10/91</f>
        <v>3.3736263736263736</v>
      </c>
      <c r="AE11" s="2">
        <f>+AE10/92</f>
        <v>3</v>
      </c>
      <c r="AF11" s="2">
        <f>+AF10/91</f>
        <v>2.5934065934065935</v>
      </c>
      <c r="AG11" s="2">
        <f t="shared" ref="AG11" si="14">+AG10/91</f>
        <v>2.9780219780219781</v>
      </c>
    </row>
    <row r="12" spans="2:33" ht="15" customHeight="1" x14ac:dyDescent="0.35">
      <c r="B12" s="793" t="s">
        <v>26</v>
      </c>
      <c r="C12" s="394" t="s">
        <v>90</v>
      </c>
      <c r="D12" s="395"/>
      <c r="E12" s="43">
        <v>30</v>
      </c>
      <c r="F12" s="471"/>
      <c r="G12" s="472">
        <v>19</v>
      </c>
      <c r="H12" s="471"/>
      <c r="I12" s="43">
        <v>20.6</v>
      </c>
      <c r="J12" s="471"/>
      <c r="K12" s="472">
        <v>22.5</v>
      </c>
      <c r="L12" s="471"/>
      <c r="M12" s="43">
        <v>26.4</v>
      </c>
      <c r="N12" s="473"/>
      <c r="O12" s="472">
        <v>25</v>
      </c>
      <c r="P12" s="471"/>
      <c r="Q12" s="43">
        <v>27</v>
      </c>
      <c r="R12" s="471"/>
      <c r="S12" s="472">
        <v>25</v>
      </c>
      <c r="T12" s="471"/>
      <c r="U12" s="43">
        <v>14</v>
      </c>
      <c r="V12" s="473"/>
      <c r="W12" s="472">
        <v>27</v>
      </c>
      <c r="X12" s="473"/>
      <c r="Y12" s="43">
        <v>27</v>
      </c>
      <c r="Z12" s="473"/>
      <c r="AA12" s="472">
        <v>26</v>
      </c>
      <c r="AB12" s="471"/>
      <c r="AC12" s="474">
        <f t="shared" ref="AC12:AC13" si="15">+E12+G12+I12+K12+M12+O12+Q12+S12+U12+W12+Y12+AA12</f>
        <v>289.5</v>
      </c>
    </row>
    <row r="13" spans="2:33" ht="15" customHeight="1" x14ac:dyDescent="0.35">
      <c r="B13" s="794"/>
      <c r="C13" s="399" t="s">
        <v>92</v>
      </c>
      <c r="D13" s="397"/>
      <c r="E13" s="44">
        <v>78</v>
      </c>
      <c r="F13" s="469"/>
      <c r="G13" s="374">
        <v>82</v>
      </c>
      <c r="H13" s="469"/>
      <c r="I13" s="44">
        <v>72.400000000000006</v>
      </c>
      <c r="J13" s="469"/>
      <c r="K13" s="374">
        <v>73.5</v>
      </c>
      <c r="L13" s="469"/>
      <c r="M13" s="44">
        <v>58.6</v>
      </c>
      <c r="N13" s="470"/>
      <c r="O13" s="374">
        <v>52</v>
      </c>
      <c r="P13" s="469"/>
      <c r="Q13" s="44">
        <v>64</v>
      </c>
      <c r="R13" s="469"/>
      <c r="S13" s="374">
        <v>55</v>
      </c>
      <c r="T13" s="469"/>
      <c r="U13" s="44">
        <v>48</v>
      </c>
      <c r="V13" s="470"/>
      <c r="W13" s="374">
        <v>67</v>
      </c>
      <c r="X13" s="470"/>
      <c r="Y13" s="44">
        <v>60</v>
      </c>
      <c r="Z13" s="470"/>
      <c r="AA13" s="374">
        <v>71</v>
      </c>
      <c r="AB13" s="469"/>
      <c r="AC13" s="258">
        <f t="shared" si="15"/>
        <v>781.5</v>
      </c>
    </row>
    <row r="14" spans="2:33" x14ac:dyDescent="0.35">
      <c r="B14" s="794"/>
      <c r="C14" s="399" t="s">
        <v>125</v>
      </c>
      <c r="D14" s="397">
        <v>120</v>
      </c>
      <c r="E14" s="466">
        <f>SUM(E12:E13)</f>
        <v>108</v>
      </c>
      <c r="F14" s="469">
        <v>120</v>
      </c>
      <c r="G14" s="467">
        <f>SUM(G12:G13)</f>
        <v>101</v>
      </c>
      <c r="H14" s="469">
        <v>120</v>
      </c>
      <c r="I14" s="469">
        <f>SUM(I12:I13)</f>
        <v>93</v>
      </c>
      <c r="J14" s="469">
        <v>120</v>
      </c>
      <c r="K14" s="468">
        <f t="shared" ref="K14:AC14" si="16">SUM(K12:K13)</f>
        <v>96</v>
      </c>
      <c r="L14" s="469">
        <v>120</v>
      </c>
      <c r="M14" s="258">
        <f t="shared" si="16"/>
        <v>85</v>
      </c>
      <c r="N14" s="470">
        <v>120</v>
      </c>
      <c r="O14" s="468">
        <f t="shared" si="16"/>
        <v>77</v>
      </c>
      <c r="P14" s="469">
        <v>87</v>
      </c>
      <c r="Q14" s="258">
        <f t="shared" si="16"/>
        <v>91</v>
      </c>
      <c r="R14" s="469">
        <v>87</v>
      </c>
      <c r="S14" s="468">
        <f t="shared" si="16"/>
        <v>80</v>
      </c>
      <c r="T14" s="469">
        <v>87</v>
      </c>
      <c r="U14" s="258">
        <f t="shared" si="16"/>
        <v>62</v>
      </c>
      <c r="V14" s="470">
        <v>100</v>
      </c>
      <c r="W14" s="468">
        <f t="shared" si="16"/>
        <v>94</v>
      </c>
      <c r="X14" s="470">
        <v>100</v>
      </c>
      <c r="Y14" s="258">
        <v>87</v>
      </c>
      <c r="Z14" s="470">
        <v>100</v>
      </c>
      <c r="AA14" s="468">
        <f t="shared" si="16"/>
        <v>97</v>
      </c>
      <c r="AB14" s="469">
        <f>+D14+F14+H14+J14+L14+N14+P14+R14+T14+V14+X14+Z14</f>
        <v>1281</v>
      </c>
      <c r="AC14" s="258">
        <f t="shared" si="16"/>
        <v>1071</v>
      </c>
      <c r="AD14" s="135">
        <f>E14+G14+I14</f>
        <v>302</v>
      </c>
      <c r="AE14" s="135">
        <f>+K14+M14+O14</f>
        <v>258</v>
      </c>
      <c r="AF14" s="135">
        <f>Q14+S14+U14</f>
        <v>233</v>
      </c>
      <c r="AG14" s="135">
        <f>W14+Y14+AA14</f>
        <v>278</v>
      </c>
    </row>
    <row r="15" spans="2:33" s="494" customFormat="1" ht="16" thickBot="1" x14ac:dyDescent="0.4">
      <c r="B15" s="795"/>
      <c r="C15" s="490" t="s">
        <v>126</v>
      </c>
      <c r="D15" s="491"/>
      <c r="E15" s="492">
        <f>E14/E2</f>
        <v>3.6</v>
      </c>
      <c r="F15" s="491"/>
      <c r="G15" s="263">
        <f t="shared" ref="G15" si="17">G14/G2</f>
        <v>3.2580645161290325</v>
      </c>
      <c r="H15" s="491"/>
      <c r="I15" s="261">
        <f t="shared" ref="I15" si="18">I14/I2</f>
        <v>3.1</v>
      </c>
      <c r="J15" s="491"/>
      <c r="K15" s="263">
        <f t="shared" ref="K15" si="19">K14/K2</f>
        <v>3.096774193548387</v>
      </c>
      <c r="L15" s="491"/>
      <c r="M15" s="261">
        <f t="shared" ref="M15" si="20">M14/M2</f>
        <v>2.7419354838709675</v>
      </c>
      <c r="N15" s="493"/>
      <c r="O15" s="263">
        <f t="shared" ref="O15" si="21">O14/O2</f>
        <v>2.5666666666666669</v>
      </c>
      <c r="P15" s="491"/>
      <c r="Q15" s="261">
        <f t="shared" ref="Q15" si="22">Q14/Q2</f>
        <v>2.935483870967742</v>
      </c>
      <c r="R15" s="491"/>
      <c r="S15" s="263">
        <f t="shared" ref="S15" si="23">S14/S2</f>
        <v>2.6666666666666665</v>
      </c>
      <c r="T15" s="491"/>
      <c r="U15" s="261">
        <f t="shared" ref="U15" si="24">U14/U2</f>
        <v>2</v>
      </c>
      <c r="V15" s="493"/>
      <c r="W15" s="263">
        <f t="shared" ref="W15:Y15" si="25">W14/W2</f>
        <v>3.032258064516129</v>
      </c>
      <c r="X15" s="493"/>
      <c r="Y15" s="263">
        <f t="shared" si="25"/>
        <v>3</v>
      </c>
      <c r="Z15" s="493"/>
      <c r="AA15" s="263">
        <f>AA14/AA$2</f>
        <v>3.129032258064516</v>
      </c>
      <c r="AB15" s="255">
        <f>AB14/$AC$2</f>
        <v>3.8238805970149254</v>
      </c>
      <c r="AC15" s="255">
        <f t="shared" ref="AC15" si="26">AC14/$AC$2</f>
        <v>3.1970149253731344</v>
      </c>
      <c r="AD15" s="2">
        <f>+AD14/91</f>
        <v>3.3186813186813189</v>
      </c>
      <c r="AE15" s="2">
        <f>+AE14/92</f>
        <v>2.8043478260869565</v>
      </c>
      <c r="AF15" s="2">
        <f>+AF14/91</f>
        <v>2.5604395604395602</v>
      </c>
      <c r="AG15" s="2">
        <f t="shared" ref="AG15" si="27">+AG14/91</f>
        <v>3.0549450549450547</v>
      </c>
    </row>
    <row r="16" spans="2:33" ht="15.75" customHeight="1" x14ac:dyDescent="0.35">
      <c r="B16" s="796" t="s">
        <v>27</v>
      </c>
      <c r="C16" s="404" t="s">
        <v>90</v>
      </c>
      <c r="D16" s="405"/>
      <c r="E16" s="137">
        <v>47.9</v>
      </c>
      <c r="F16" s="477"/>
      <c r="G16" s="368">
        <v>61.3</v>
      </c>
      <c r="H16" s="477"/>
      <c r="I16" s="137">
        <v>56.2</v>
      </c>
      <c r="J16" s="477"/>
      <c r="K16" s="368">
        <v>55.3</v>
      </c>
      <c r="L16" s="477"/>
      <c r="M16" s="137">
        <v>54.6</v>
      </c>
      <c r="N16" s="478"/>
      <c r="O16" s="368">
        <v>37.4</v>
      </c>
      <c r="P16" s="477"/>
      <c r="Q16" s="479">
        <v>44</v>
      </c>
      <c r="R16" s="477"/>
      <c r="S16" s="368">
        <v>50.4</v>
      </c>
      <c r="T16" s="477"/>
      <c r="U16" s="137">
        <v>56.4</v>
      </c>
      <c r="V16" s="478"/>
      <c r="W16" s="368">
        <v>41.6</v>
      </c>
      <c r="X16" s="478"/>
      <c r="Y16" s="137">
        <v>44.8</v>
      </c>
      <c r="Z16" s="478"/>
      <c r="AA16" s="498">
        <v>35.700000000000003</v>
      </c>
      <c r="AB16" s="477"/>
      <c r="AC16" s="479">
        <f t="shared" ref="AC16:AC17" si="28">+E16+G16+I16+K16+M16+O16+Q16+S16+U16+W16+Y16+AA16</f>
        <v>585.6</v>
      </c>
    </row>
    <row r="17" spans="2:45" ht="16.5" customHeight="1" x14ac:dyDescent="0.35">
      <c r="B17" s="797"/>
      <c r="C17" s="399" t="s">
        <v>92</v>
      </c>
      <c r="D17" s="397"/>
      <c r="E17" s="44">
        <v>77.099999999999994</v>
      </c>
      <c r="F17" s="469"/>
      <c r="G17" s="374">
        <v>82.7</v>
      </c>
      <c r="H17" s="469"/>
      <c r="I17" s="44">
        <v>95.8</v>
      </c>
      <c r="J17" s="469"/>
      <c r="K17" s="374">
        <v>88.7</v>
      </c>
      <c r="L17" s="469"/>
      <c r="M17" s="44">
        <v>84.4</v>
      </c>
      <c r="N17" s="470"/>
      <c r="O17" s="374">
        <v>69.599999999999994</v>
      </c>
      <c r="P17" s="469"/>
      <c r="Q17" s="258">
        <v>73</v>
      </c>
      <c r="R17" s="469"/>
      <c r="S17" s="374">
        <v>78.599999999999994</v>
      </c>
      <c r="T17" s="469"/>
      <c r="U17" s="44">
        <v>107.6</v>
      </c>
      <c r="V17" s="470"/>
      <c r="W17" s="374">
        <v>88.4</v>
      </c>
      <c r="X17" s="470"/>
      <c r="Y17" s="44">
        <v>75.2</v>
      </c>
      <c r="Z17" s="470"/>
      <c r="AA17" s="499">
        <v>71.3</v>
      </c>
      <c r="AB17" s="469"/>
      <c r="AC17" s="258">
        <f t="shared" si="28"/>
        <v>992.40000000000009</v>
      </c>
    </row>
    <row r="18" spans="2:45" x14ac:dyDescent="0.35">
      <c r="B18" s="797"/>
      <c r="C18" s="399" t="s">
        <v>125</v>
      </c>
      <c r="D18" s="397">
        <v>155</v>
      </c>
      <c r="E18" s="466">
        <f>SUM(E16:E17)</f>
        <v>125</v>
      </c>
      <c r="F18" s="469">
        <v>155</v>
      </c>
      <c r="G18" s="467">
        <f>SUM(G16:G17)</f>
        <v>144</v>
      </c>
      <c r="H18" s="469">
        <v>155</v>
      </c>
      <c r="I18" s="469">
        <f>SUM(I16:I17)</f>
        <v>152</v>
      </c>
      <c r="J18" s="469">
        <v>155</v>
      </c>
      <c r="K18" s="374">
        <f t="shared" ref="K18:AC18" si="29">SUM(K16:K17)</f>
        <v>144</v>
      </c>
      <c r="L18" s="469">
        <v>155</v>
      </c>
      <c r="M18" s="44">
        <f t="shared" si="29"/>
        <v>139</v>
      </c>
      <c r="N18" s="470">
        <v>155</v>
      </c>
      <c r="O18" s="374">
        <f t="shared" si="29"/>
        <v>107</v>
      </c>
      <c r="P18" s="469">
        <v>145</v>
      </c>
      <c r="Q18" s="258">
        <f t="shared" si="29"/>
        <v>117</v>
      </c>
      <c r="R18" s="469">
        <v>145</v>
      </c>
      <c r="S18" s="374">
        <f t="shared" si="29"/>
        <v>129</v>
      </c>
      <c r="T18" s="469">
        <v>145</v>
      </c>
      <c r="U18" s="44">
        <f t="shared" si="29"/>
        <v>164</v>
      </c>
      <c r="V18" s="470">
        <v>140</v>
      </c>
      <c r="W18" s="374">
        <f t="shared" si="29"/>
        <v>130</v>
      </c>
      <c r="X18" s="470">
        <v>140</v>
      </c>
      <c r="Y18" s="44">
        <v>120</v>
      </c>
      <c r="Z18" s="470">
        <v>140</v>
      </c>
      <c r="AA18" s="374">
        <f t="shared" si="29"/>
        <v>107</v>
      </c>
      <c r="AB18" s="469">
        <f>+D18+F18+H18+J18+L18+N18+P18+R18+T18+V18+X18+Z18</f>
        <v>1785</v>
      </c>
      <c r="AC18" s="258">
        <f t="shared" si="29"/>
        <v>1578</v>
      </c>
      <c r="AD18" s="135">
        <f>E18+G18+I18</f>
        <v>421</v>
      </c>
      <c r="AE18" s="135">
        <f>+K18+M18+O18</f>
        <v>390</v>
      </c>
      <c r="AF18" s="135">
        <f>Q18+S18+U18</f>
        <v>410</v>
      </c>
      <c r="AG18" s="135">
        <f>W18+Y18+AA18</f>
        <v>357</v>
      </c>
    </row>
    <row r="19" spans="2:45" ht="16" thickBot="1" x14ac:dyDescent="0.4">
      <c r="B19" s="798"/>
      <c r="C19" s="402" t="s">
        <v>126</v>
      </c>
      <c r="D19" s="406"/>
      <c r="E19" s="255">
        <f>E18/E2</f>
        <v>4.166666666666667</v>
      </c>
      <c r="F19" s="406"/>
      <c r="G19" s="257">
        <f t="shared" ref="G19" si="30">G18/G2</f>
        <v>4.645161290322581</v>
      </c>
      <c r="H19" s="406"/>
      <c r="I19" s="255">
        <f t="shared" ref="I19" si="31">I18/I2</f>
        <v>5.0666666666666664</v>
      </c>
      <c r="J19" s="406"/>
      <c r="K19" s="257">
        <f t="shared" ref="K19" si="32">K18/K2</f>
        <v>4.645161290322581</v>
      </c>
      <c r="L19" s="406"/>
      <c r="M19" s="255">
        <f t="shared" ref="M19" si="33">M18/M2</f>
        <v>4.4838709677419351</v>
      </c>
      <c r="N19" s="495"/>
      <c r="O19" s="257">
        <f t="shared" ref="O19" si="34">O18/O2</f>
        <v>3.5666666666666669</v>
      </c>
      <c r="P19" s="406"/>
      <c r="Q19" s="255">
        <f t="shared" ref="Q19" si="35">Q18/Q2</f>
        <v>3.774193548387097</v>
      </c>
      <c r="R19" s="406"/>
      <c r="S19" s="257">
        <f t="shared" ref="S19" si="36">S18/S2</f>
        <v>4.3</v>
      </c>
      <c r="T19" s="406"/>
      <c r="U19" s="255">
        <f t="shared" ref="U19" si="37">U18/U2</f>
        <v>5.290322580645161</v>
      </c>
      <c r="V19" s="495"/>
      <c r="W19" s="257">
        <f t="shared" ref="W19" si="38">W18/W2</f>
        <v>4.193548387096774</v>
      </c>
      <c r="X19" s="495"/>
      <c r="Y19" s="255">
        <f>Y18/Y$2</f>
        <v>4.1379310344827589</v>
      </c>
      <c r="Z19" s="495"/>
      <c r="AA19" s="257">
        <f>AA18/AA$2</f>
        <v>3.4516129032258065</v>
      </c>
      <c r="AB19" s="254">
        <f>AB18/$AC$2</f>
        <v>5.3283582089552235</v>
      </c>
      <c r="AC19" s="255">
        <f t="shared" ref="AC19" si="39">AC18/$AC$2</f>
        <v>4.7104477611940299</v>
      </c>
      <c r="AD19" s="2">
        <f>+AD18/91</f>
        <v>4.6263736263736268</v>
      </c>
      <c r="AE19" s="2">
        <f>+AE18/92</f>
        <v>4.2391304347826084</v>
      </c>
      <c r="AF19" s="2">
        <f>+AF18/91</f>
        <v>4.5054945054945055</v>
      </c>
      <c r="AG19" s="2">
        <f t="shared" ref="AG19" si="40">+AG18/91</f>
        <v>3.9230769230769229</v>
      </c>
    </row>
    <row r="20" spans="2:45" ht="15.75" customHeight="1" x14ac:dyDescent="0.35">
      <c r="B20" s="793" t="s">
        <v>29</v>
      </c>
      <c r="C20" s="394" t="s">
        <v>90</v>
      </c>
      <c r="D20" s="395"/>
      <c r="E20" s="43">
        <v>5</v>
      </c>
      <c r="F20" s="471"/>
      <c r="G20" s="482">
        <v>20</v>
      </c>
      <c r="H20" s="471"/>
      <c r="I20" s="474">
        <v>23</v>
      </c>
      <c r="J20" s="471"/>
      <c r="K20" s="482">
        <v>17</v>
      </c>
      <c r="L20" s="471"/>
      <c r="M20" s="474">
        <v>14</v>
      </c>
      <c r="N20" s="473"/>
      <c r="O20" s="482">
        <v>12</v>
      </c>
      <c r="P20" s="471"/>
      <c r="Q20" s="474">
        <v>14</v>
      </c>
      <c r="R20" s="471"/>
      <c r="S20" s="482">
        <v>17</v>
      </c>
      <c r="T20" s="471"/>
      <c r="U20" s="474">
        <v>23</v>
      </c>
      <c r="V20" s="473"/>
      <c r="W20" s="482">
        <v>24</v>
      </c>
      <c r="X20" s="473"/>
      <c r="Y20" s="474">
        <v>30</v>
      </c>
      <c r="Z20" s="473"/>
      <c r="AA20" s="482">
        <v>24</v>
      </c>
      <c r="AB20" s="471"/>
      <c r="AC20" s="474">
        <f t="shared" ref="AC20:AC21" si="41">+E20+G20+I20+K20+M20+O20+Q20+S20+U20+W20+Y20+AA20</f>
        <v>223</v>
      </c>
    </row>
    <row r="21" spans="2:45" ht="16.5" customHeight="1" x14ac:dyDescent="0.35">
      <c r="B21" s="794"/>
      <c r="C21" s="399" t="s">
        <v>92</v>
      </c>
      <c r="D21" s="397"/>
      <c r="E21" s="44">
        <v>18</v>
      </c>
      <c r="F21" s="469"/>
      <c r="G21" s="483">
        <v>16</v>
      </c>
      <c r="H21" s="469"/>
      <c r="I21" s="484">
        <v>31</v>
      </c>
      <c r="J21" s="469"/>
      <c r="K21" s="483">
        <v>19</v>
      </c>
      <c r="L21" s="485"/>
      <c r="M21" s="484">
        <v>25</v>
      </c>
      <c r="N21" s="486"/>
      <c r="O21" s="483">
        <v>21</v>
      </c>
      <c r="P21" s="485"/>
      <c r="Q21" s="484">
        <v>39</v>
      </c>
      <c r="R21" s="485"/>
      <c r="S21" s="483">
        <v>27</v>
      </c>
      <c r="T21" s="485"/>
      <c r="U21" s="484">
        <v>37</v>
      </c>
      <c r="V21" s="486"/>
      <c r="W21" s="483">
        <v>28</v>
      </c>
      <c r="X21" s="486"/>
      <c r="Y21" s="484">
        <v>31</v>
      </c>
      <c r="Z21" s="486"/>
      <c r="AA21" s="483">
        <v>34</v>
      </c>
      <c r="AB21" s="469"/>
      <c r="AC21" s="258">
        <f t="shared" si="41"/>
        <v>326</v>
      </c>
    </row>
    <row r="22" spans="2:45" ht="21" x14ac:dyDescent="0.35">
      <c r="B22" s="794"/>
      <c r="C22" s="399" t="s">
        <v>125</v>
      </c>
      <c r="D22" s="397">
        <v>45</v>
      </c>
      <c r="E22" s="466">
        <f>SUM(E20:E21)</f>
        <v>23</v>
      </c>
      <c r="F22" s="469">
        <v>45</v>
      </c>
      <c r="G22" s="467">
        <f>SUM(G20:G21)</f>
        <v>36</v>
      </c>
      <c r="H22" s="469">
        <v>45</v>
      </c>
      <c r="I22" s="258">
        <f>SUM(I20:I21)</f>
        <v>54</v>
      </c>
      <c r="J22" s="469">
        <v>45</v>
      </c>
      <c r="K22" s="468">
        <f t="shared" ref="K22:AC22" si="42">SUM(K20:K21)</f>
        <v>36</v>
      </c>
      <c r="L22" s="469">
        <v>45</v>
      </c>
      <c r="M22" s="258">
        <f t="shared" si="42"/>
        <v>39</v>
      </c>
      <c r="N22" s="470">
        <v>45</v>
      </c>
      <c r="O22" s="468">
        <f t="shared" si="42"/>
        <v>33</v>
      </c>
      <c r="P22" s="469">
        <v>50</v>
      </c>
      <c r="Q22" s="258">
        <f t="shared" si="42"/>
        <v>53</v>
      </c>
      <c r="R22" s="469">
        <v>50</v>
      </c>
      <c r="S22" s="468">
        <f t="shared" si="42"/>
        <v>44</v>
      </c>
      <c r="T22" s="469">
        <v>50</v>
      </c>
      <c r="U22" s="258">
        <f t="shared" si="42"/>
        <v>60</v>
      </c>
      <c r="V22" s="470">
        <v>70</v>
      </c>
      <c r="W22" s="468">
        <f t="shared" si="42"/>
        <v>52</v>
      </c>
      <c r="X22" s="470">
        <v>70</v>
      </c>
      <c r="Y22" s="44">
        <v>61</v>
      </c>
      <c r="Z22" s="470">
        <v>70</v>
      </c>
      <c r="AA22" s="374">
        <f t="shared" si="42"/>
        <v>58</v>
      </c>
      <c r="AB22" s="469">
        <f>+D22+F22+H22+J22+L22+N22+P22+R22+T22+V22+X22+Z22</f>
        <v>630</v>
      </c>
      <c r="AC22" s="258">
        <f t="shared" si="42"/>
        <v>549</v>
      </c>
      <c r="AD22" s="135">
        <f>E22+G22+I22</f>
        <v>113</v>
      </c>
      <c r="AE22" s="135">
        <f>+K22+M22+O22</f>
        <v>108</v>
      </c>
      <c r="AF22" s="135">
        <f>Q22+S22+U22</f>
        <v>157</v>
      </c>
      <c r="AG22" s="135">
        <f>W22+Y22+AA22</f>
        <v>171</v>
      </c>
      <c r="AH22" s="830" t="s">
        <v>183</v>
      </c>
      <c r="AI22" s="830"/>
      <c r="AJ22" s="830"/>
      <c r="AK22" s="830"/>
      <c r="AL22" s="830"/>
      <c r="AM22" s="830"/>
      <c r="AN22" s="830"/>
      <c r="AO22" s="830"/>
      <c r="AP22" s="830"/>
      <c r="AQ22" s="830"/>
      <c r="AR22" s="830"/>
      <c r="AS22" s="830"/>
    </row>
    <row r="23" spans="2:45" ht="21.5" thickBot="1" x14ac:dyDescent="0.55000000000000004">
      <c r="B23" s="795"/>
      <c r="C23" s="403" t="s">
        <v>126</v>
      </c>
      <c r="D23" s="280"/>
      <c r="E23" s="261">
        <f>E22/E2</f>
        <v>0.76666666666666672</v>
      </c>
      <c r="F23" s="475"/>
      <c r="G23" s="263">
        <f t="shared" ref="G23:Q23" si="43">G22/G$2</f>
        <v>1.1612903225806452</v>
      </c>
      <c r="H23" s="475"/>
      <c r="I23" s="261">
        <f t="shared" si="43"/>
        <v>1.8</v>
      </c>
      <c r="J23" s="475"/>
      <c r="K23" s="263">
        <f t="shared" si="43"/>
        <v>1.1612903225806452</v>
      </c>
      <c r="L23" s="475"/>
      <c r="M23" s="261">
        <f t="shared" si="43"/>
        <v>1.2580645161290323</v>
      </c>
      <c r="N23" s="476"/>
      <c r="O23" s="263">
        <f t="shared" si="43"/>
        <v>1.1000000000000001</v>
      </c>
      <c r="P23" s="475"/>
      <c r="Q23" s="261">
        <f t="shared" si="43"/>
        <v>1.7096774193548387</v>
      </c>
      <c r="R23" s="475"/>
      <c r="S23" s="263">
        <f t="shared" ref="S23" si="44">S22/S$2</f>
        <v>1.4666666666666666</v>
      </c>
      <c r="T23" s="475"/>
      <c r="U23" s="261">
        <f t="shared" ref="U23" si="45">U22/U$2</f>
        <v>1.935483870967742</v>
      </c>
      <c r="V23" s="476"/>
      <c r="W23" s="263">
        <f t="shared" ref="W23" si="46">W22/W$2</f>
        <v>1.6774193548387097</v>
      </c>
      <c r="X23" s="476"/>
      <c r="Y23" s="255">
        <f>Y22/Y$2</f>
        <v>2.103448275862069</v>
      </c>
      <c r="Z23" s="476"/>
      <c r="AA23" s="255">
        <f>AA22/AA$2</f>
        <v>1.8709677419354838</v>
      </c>
      <c r="AB23" s="255">
        <f>AB22/$AC$2</f>
        <v>1.8805970149253732</v>
      </c>
      <c r="AC23" s="255">
        <f t="shared" ref="AC23" si="47">AC22/$AC$2</f>
        <v>1.6388059701492537</v>
      </c>
      <c r="AD23" s="2">
        <f>+AD22/91</f>
        <v>1.2417582417582418</v>
      </c>
      <c r="AE23" s="2">
        <f>+AE22/92</f>
        <v>1.173913043478261</v>
      </c>
      <c r="AF23" s="2">
        <f>+AF22/91</f>
        <v>1.7252747252747254</v>
      </c>
      <c r="AG23" s="2">
        <f t="shared" ref="AG23" si="48">+AG22/91</f>
        <v>1.8791208791208791</v>
      </c>
      <c r="AH23" s="520"/>
      <c r="AI23" s="520"/>
      <c r="AJ23" s="520"/>
      <c r="AK23" s="520"/>
      <c r="AL23" s="520"/>
      <c r="AM23" s="520"/>
      <c r="AN23" s="520"/>
      <c r="AO23" s="520"/>
      <c r="AP23" s="520"/>
      <c r="AQ23" s="520"/>
      <c r="AR23" s="521"/>
      <c r="AS23" s="522" t="s">
        <v>184</v>
      </c>
    </row>
    <row r="24" spans="2:45" ht="15.75" customHeight="1" thickBot="1" x14ac:dyDescent="0.4">
      <c r="B24" s="796" t="s">
        <v>30</v>
      </c>
      <c r="C24" s="404" t="s">
        <v>90</v>
      </c>
      <c r="D24" s="405"/>
      <c r="E24" s="137">
        <v>7</v>
      </c>
      <c r="F24" s="477"/>
      <c r="G24" s="487">
        <v>7</v>
      </c>
      <c r="H24" s="477"/>
      <c r="I24" s="479">
        <v>7</v>
      </c>
      <c r="J24" s="477"/>
      <c r="K24" s="487">
        <v>8</v>
      </c>
      <c r="L24" s="477"/>
      <c r="M24" s="479">
        <v>3</v>
      </c>
      <c r="N24" s="478"/>
      <c r="O24" s="487">
        <v>14</v>
      </c>
      <c r="P24" s="477"/>
      <c r="Q24" s="479">
        <v>10</v>
      </c>
      <c r="R24" s="477"/>
      <c r="S24" s="487">
        <v>12</v>
      </c>
      <c r="T24" s="477"/>
      <c r="U24" s="479">
        <v>15</v>
      </c>
      <c r="V24" s="478"/>
      <c r="W24" s="487">
        <v>19</v>
      </c>
      <c r="X24" s="478"/>
      <c r="Y24" s="479">
        <v>8</v>
      </c>
      <c r="Z24" s="478"/>
      <c r="AA24" s="487">
        <v>6</v>
      </c>
      <c r="AB24" s="477"/>
      <c r="AC24" s="479">
        <f t="shared" ref="AC24:AC25" si="49">+E24+G24+I24+K24+M24+O24+Q24+S24+U24+W24+Y24+AA24</f>
        <v>116</v>
      </c>
      <c r="AH24" s="523"/>
      <c r="AI24" s="831" t="str">
        <f>+CONCATENATE("FOR THE  MONTH  OF - ",LEFT([1]Report_1!AW13,3),"- ",RIGHT([1]Report_1!AW13,2))</f>
        <v xml:space="preserve">FOR THE  MONTH  OF - - </v>
      </c>
      <c r="AJ24" s="832"/>
      <c r="AK24" s="832"/>
      <c r="AL24" s="832"/>
      <c r="AM24" s="833"/>
      <c r="AN24" s="831" t="str">
        <f>+CONCATENATE("19-20  TILL THE  MONTH  OF  ",LEFT([1]Report_1!AW13,3),"- ",RIGHT([1]Report_1!AW13,2))</f>
        <v xml:space="preserve">19-20  TILL THE  MONTH  OF  - </v>
      </c>
      <c r="AO24" s="832"/>
      <c r="AP24" s="832"/>
      <c r="AQ24" s="832"/>
      <c r="AR24" s="833"/>
      <c r="AS24" s="520"/>
    </row>
    <row r="25" spans="2:45" ht="16.5" customHeight="1" thickBot="1" x14ac:dyDescent="0.4">
      <c r="B25" s="797"/>
      <c r="C25" s="399" t="s">
        <v>92</v>
      </c>
      <c r="D25" s="397"/>
      <c r="E25" s="44">
        <v>7</v>
      </c>
      <c r="F25" s="469"/>
      <c r="G25" s="483">
        <v>6</v>
      </c>
      <c r="H25" s="469"/>
      <c r="I25" s="484">
        <v>4</v>
      </c>
      <c r="J25" s="469"/>
      <c r="K25" s="483">
        <v>13</v>
      </c>
      <c r="L25" s="485"/>
      <c r="M25" s="484">
        <v>8</v>
      </c>
      <c r="N25" s="486"/>
      <c r="O25" s="483">
        <v>12</v>
      </c>
      <c r="P25" s="485"/>
      <c r="Q25" s="484">
        <v>15</v>
      </c>
      <c r="R25" s="485"/>
      <c r="S25" s="483">
        <v>24</v>
      </c>
      <c r="T25" s="485"/>
      <c r="U25" s="484">
        <v>23</v>
      </c>
      <c r="V25" s="486"/>
      <c r="W25" s="483">
        <v>28</v>
      </c>
      <c r="X25" s="486"/>
      <c r="Y25" s="484">
        <v>32</v>
      </c>
      <c r="Z25" s="486"/>
      <c r="AA25" s="483">
        <v>7</v>
      </c>
      <c r="AB25" s="488"/>
      <c r="AC25" s="258">
        <f t="shared" si="49"/>
        <v>179</v>
      </c>
      <c r="AH25" s="524" t="s">
        <v>185</v>
      </c>
      <c r="AI25" s="525" t="s">
        <v>153</v>
      </c>
      <c r="AJ25" s="526" t="s">
        <v>154</v>
      </c>
      <c r="AK25" s="526" t="s">
        <v>186</v>
      </c>
      <c r="AL25" s="526" t="e">
        <f>+CONCATENATE(LEFT([1]Report_1!AW13,3),"- ",RIGHT([1]Report_1!AW13,2)-1)</f>
        <v>#VALUE!</v>
      </c>
      <c r="AM25" s="527" t="s">
        <v>187</v>
      </c>
      <c r="AN25" s="525" t="s">
        <v>153</v>
      </c>
      <c r="AO25" s="526" t="s">
        <v>154</v>
      </c>
      <c r="AP25" s="526" t="s">
        <v>186</v>
      </c>
      <c r="AQ25" s="526" t="s">
        <v>188</v>
      </c>
      <c r="AR25" s="527" t="s">
        <v>187</v>
      </c>
      <c r="AS25" s="520"/>
    </row>
    <row r="26" spans="2:45" ht="16" thickBot="1" x14ac:dyDescent="0.4">
      <c r="B26" s="797"/>
      <c r="C26" s="399" t="s">
        <v>125</v>
      </c>
      <c r="D26" s="397">
        <v>20</v>
      </c>
      <c r="E26" s="466">
        <f>SUM(E24:E25)</f>
        <v>14</v>
      </c>
      <c r="F26" s="469">
        <v>20</v>
      </c>
      <c r="G26" s="467">
        <f>SUM(G24:G25)</f>
        <v>13</v>
      </c>
      <c r="H26" s="469">
        <v>20</v>
      </c>
      <c r="I26" s="258">
        <f>SUM(I24:I25)</f>
        <v>11</v>
      </c>
      <c r="J26" s="469">
        <v>25</v>
      </c>
      <c r="K26" s="468">
        <f t="shared" ref="K26:AC26" si="50">SUM(K24:K25)</f>
        <v>21</v>
      </c>
      <c r="L26" s="469">
        <v>25</v>
      </c>
      <c r="M26" s="258">
        <f t="shared" si="50"/>
        <v>11</v>
      </c>
      <c r="N26" s="470">
        <v>25</v>
      </c>
      <c r="O26" s="468">
        <f t="shared" si="50"/>
        <v>26</v>
      </c>
      <c r="P26" s="469">
        <v>25</v>
      </c>
      <c r="Q26" s="258">
        <f t="shared" si="50"/>
        <v>25</v>
      </c>
      <c r="R26" s="469">
        <v>25</v>
      </c>
      <c r="S26" s="468">
        <f t="shared" si="50"/>
        <v>36</v>
      </c>
      <c r="T26" s="469">
        <v>25</v>
      </c>
      <c r="U26" s="258">
        <f t="shared" si="50"/>
        <v>38</v>
      </c>
      <c r="V26" s="470">
        <v>45</v>
      </c>
      <c r="W26" s="468">
        <f t="shared" si="50"/>
        <v>47</v>
      </c>
      <c r="X26" s="470">
        <v>45</v>
      </c>
      <c r="Y26" s="44">
        <v>40</v>
      </c>
      <c r="Z26" s="470">
        <v>45</v>
      </c>
      <c r="AA26" s="374">
        <f t="shared" si="50"/>
        <v>13</v>
      </c>
      <c r="AB26" s="469">
        <f>+D26+F26+H26+J26+L26+N26+P26+R26+T26+V26+X26+Z26</f>
        <v>345</v>
      </c>
      <c r="AC26" s="258">
        <f t="shared" si="50"/>
        <v>295</v>
      </c>
      <c r="AD26" s="135">
        <f>E26+G26+I26</f>
        <v>38</v>
      </c>
      <c r="AE26" s="135">
        <f>+K26+M26+O26</f>
        <v>58</v>
      </c>
      <c r="AF26" s="135">
        <f>Q26+S26+U26</f>
        <v>99</v>
      </c>
      <c r="AG26" s="135">
        <f>W26+Y26+AA26</f>
        <v>100</v>
      </c>
      <c r="AH26" s="523"/>
      <c r="AI26" s="528"/>
      <c r="AJ26" s="529"/>
      <c r="AK26" s="529"/>
      <c r="AL26" s="529"/>
      <c r="AM26" s="530"/>
      <c r="AN26" s="528"/>
      <c r="AO26" s="529"/>
      <c r="AP26" s="529"/>
      <c r="AQ26" s="529"/>
      <c r="AR26" s="530"/>
      <c r="AS26" s="520"/>
    </row>
    <row r="27" spans="2:45" ht="16" thickBot="1" x14ac:dyDescent="0.4">
      <c r="B27" s="798"/>
      <c r="C27" s="402" t="s">
        <v>126</v>
      </c>
      <c r="D27" s="406"/>
      <c r="E27" s="255">
        <f t="shared" ref="E27:O27" si="51">E26/E$2</f>
        <v>0.46666666666666667</v>
      </c>
      <c r="F27" s="480"/>
      <c r="G27" s="257">
        <f t="shared" ref="G27" si="52">G26/G$2</f>
        <v>0.41935483870967744</v>
      </c>
      <c r="H27" s="480"/>
      <c r="I27" s="255">
        <f t="shared" si="51"/>
        <v>0.36666666666666664</v>
      </c>
      <c r="J27" s="480"/>
      <c r="K27" s="257">
        <f t="shared" ref="K27" si="53">K26/K$2</f>
        <v>0.67741935483870963</v>
      </c>
      <c r="L27" s="480"/>
      <c r="M27" s="255">
        <f t="shared" si="51"/>
        <v>0.35483870967741937</v>
      </c>
      <c r="N27" s="481"/>
      <c r="O27" s="257">
        <f t="shared" si="51"/>
        <v>0.8666666666666667</v>
      </c>
      <c r="P27" s="480"/>
      <c r="Q27" s="255">
        <f t="shared" ref="Q27" si="54">Q26/Q$2</f>
        <v>0.80645161290322576</v>
      </c>
      <c r="R27" s="480"/>
      <c r="S27" s="257">
        <f t="shared" ref="S27" si="55">S26/S$2</f>
        <v>1.2</v>
      </c>
      <c r="T27" s="480"/>
      <c r="U27" s="255">
        <f t="shared" ref="U27" si="56">U26/U$2</f>
        <v>1.2258064516129032</v>
      </c>
      <c r="V27" s="481"/>
      <c r="W27" s="257">
        <f t="shared" ref="W27" si="57">W26/W$2</f>
        <v>1.5161290322580645</v>
      </c>
      <c r="X27" s="481"/>
      <c r="Y27" s="255">
        <f>Y26/Y$2</f>
        <v>1.3793103448275863</v>
      </c>
      <c r="Z27" s="481"/>
      <c r="AA27" s="255">
        <f>AA26/AA$2</f>
        <v>0.41935483870967744</v>
      </c>
      <c r="AB27" s="255">
        <f>AB26/$AC$2</f>
        <v>1.0298507462686568</v>
      </c>
      <c r="AC27" s="255">
        <f t="shared" ref="AC27" si="58">AC26/$AC$2</f>
        <v>0.88059701492537312</v>
      </c>
      <c r="AD27" s="2">
        <f>+AD26/91</f>
        <v>0.4175824175824176</v>
      </c>
      <c r="AE27" s="2">
        <f>+AE26/92</f>
        <v>0.63043478260869568</v>
      </c>
      <c r="AF27" s="2">
        <f>+AF26/91</f>
        <v>1.0879120879120878</v>
      </c>
      <c r="AG27" s="2">
        <f t="shared" ref="AG27" si="59">+AG26/91</f>
        <v>1.098901098901099</v>
      </c>
      <c r="AH27" s="531" t="s">
        <v>189</v>
      </c>
      <c r="AI27" s="532">
        <v>100</v>
      </c>
      <c r="AJ27" s="533">
        <v>92</v>
      </c>
      <c r="AK27" s="534">
        <f>+IFERROR(AJ27/AI27%,)</f>
        <v>92</v>
      </c>
      <c r="AL27" s="535"/>
      <c r="AM27" s="534" t="str">
        <f>IF(AL27=0," ",((AJ27-AL27)/AL27)*100)</f>
        <v xml:space="preserve"> </v>
      </c>
      <c r="AN27" s="532">
        <v>1314</v>
      </c>
      <c r="AO27" s="533">
        <v>1090</v>
      </c>
      <c r="AP27" s="534">
        <f>+IFERROR(AO27/AN27%,)</f>
        <v>82.952815829528149</v>
      </c>
      <c r="AQ27" s="535">
        <v>980</v>
      </c>
      <c r="AR27" s="536">
        <f>IF(AQ27=0," ",((AO27-AQ27)/AQ27)*100)</f>
        <v>11.224489795918368</v>
      </c>
      <c r="AS27" s="489"/>
    </row>
    <row r="28" spans="2:45" ht="15.75" customHeight="1" x14ac:dyDescent="0.35">
      <c r="B28" s="793" t="s">
        <v>31</v>
      </c>
      <c r="C28" s="394" t="s">
        <v>90</v>
      </c>
      <c r="D28" s="395"/>
      <c r="E28" s="43">
        <v>23</v>
      </c>
      <c r="F28" s="471"/>
      <c r="G28" s="482">
        <v>21</v>
      </c>
      <c r="H28" s="471"/>
      <c r="I28" s="474">
        <v>18</v>
      </c>
      <c r="J28" s="471"/>
      <c r="K28" s="482">
        <v>26</v>
      </c>
      <c r="L28" s="471"/>
      <c r="M28" s="474">
        <v>8</v>
      </c>
      <c r="N28" s="473"/>
      <c r="O28" s="482">
        <v>2</v>
      </c>
      <c r="P28" s="471"/>
      <c r="Q28" s="474">
        <v>16</v>
      </c>
      <c r="R28" s="471"/>
      <c r="S28" s="482">
        <v>23</v>
      </c>
      <c r="T28" s="471"/>
      <c r="U28" s="474">
        <v>23</v>
      </c>
      <c r="V28" s="473"/>
      <c r="W28" s="482">
        <v>27</v>
      </c>
      <c r="X28" s="473"/>
      <c r="Y28" s="474">
        <v>28</v>
      </c>
      <c r="Z28" s="473"/>
      <c r="AA28" s="482">
        <v>27</v>
      </c>
      <c r="AB28" s="471"/>
      <c r="AC28" s="474">
        <f t="shared" ref="AC28:AC29" si="60">+E28+G28+I28+K28+M28+O28+Q28+S28+U28+W28+Y28+AA28</f>
        <v>242</v>
      </c>
      <c r="AH28" s="531" t="s">
        <v>190</v>
      </c>
      <c r="AI28" s="537">
        <v>100</v>
      </c>
      <c r="AJ28" s="538">
        <v>97</v>
      </c>
      <c r="AK28" s="539">
        <f t="shared" ref="AK28:AK35" si="61">+IFERROR(AJ28/AI28%,)</f>
        <v>97</v>
      </c>
      <c r="AL28" s="540"/>
      <c r="AM28" s="539" t="str">
        <f>IF(AL28=0," ",((AJ28-AL28)/AL28)*100)</f>
        <v xml:space="preserve"> </v>
      </c>
      <c r="AN28" s="537">
        <v>1281</v>
      </c>
      <c r="AO28" s="538">
        <v>1071</v>
      </c>
      <c r="AP28" s="539">
        <f t="shared" ref="AP28:AP35" si="62">+IFERROR(AO28/AN28%,)</f>
        <v>83.606557377049171</v>
      </c>
      <c r="AQ28" s="540">
        <v>931</v>
      </c>
      <c r="AR28" s="541">
        <f>IF(AQ28=0," ",((AO28-AQ28)/AQ28)*100)</f>
        <v>15.037593984962406</v>
      </c>
      <c r="AS28" s="489"/>
    </row>
    <row r="29" spans="2:45" ht="16.5" customHeight="1" x14ac:dyDescent="0.35">
      <c r="B29" s="794"/>
      <c r="C29" s="399" t="s">
        <v>92</v>
      </c>
      <c r="D29" s="397"/>
      <c r="E29" s="44">
        <v>27</v>
      </c>
      <c r="F29" s="469"/>
      <c r="G29" s="483">
        <v>29</v>
      </c>
      <c r="H29" s="469"/>
      <c r="I29" s="484">
        <v>10</v>
      </c>
      <c r="J29" s="469"/>
      <c r="K29" s="483">
        <v>7</v>
      </c>
      <c r="L29" s="485"/>
      <c r="M29" s="484">
        <v>2</v>
      </c>
      <c r="N29" s="486"/>
      <c r="O29" s="483"/>
      <c r="P29" s="485"/>
      <c r="Q29" s="484">
        <v>10</v>
      </c>
      <c r="R29" s="485"/>
      <c r="S29" s="483">
        <v>23</v>
      </c>
      <c r="T29" s="485"/>
      <c r="U29" s="484">
        <v>31</v>
      </c>
      <c r="V29" s="486"/>
      <c r="W29" s="483">
        <v>38</v>
      </c>
      <c r="X29" s="486"/>
      <c r="Y29" s="484">
        <v>36</v>
      </c>
      <c r="Z29" s="486"/>
      <c r="AA29" s="483">
        <v>41</v>
      </c>
      <c r="AB29" s="488"/>
      <c r="AC29" s="258">
        <f t="shared" si="60"/>
        <v>254</v>
      </c>
      <c r="AH29" s="531" t="s">
        <v>191</v>
      </c>
      <c r="AI29" s="537">
        <v>140</v>
      </c>
      <c r="AJ29" s="538">
        <v>107</v>
      </c>
      <c r="AK29" s="539">
        <f t="shared" si="61"/>
        <v>76.428571428571431</v>
      </c>
      <c r="AL29" s="540"/>
      <c r="AM29" s="539" t="str">
        <f t="shared" ref="AM29:AM35" si="63">IF(AL29=0," ",(AJ29-AL29)/AL29 *100 )</f>
        <v xml:space="preserve"> </v>
      </c>
      <c r="AN29" s="537">
        <v>1785</v>
      </c>
      <c r="AO29" s="538">
        <v>1578</v>
      </c>
      <c r="AP29" s="539">
        <f t="shared" si="62"/>
        <v>88.403361344537814</v>
      </c>
      <c r="AQ29" s="540">
        <v>1425</v>
      </c>
      <c r="AR29" s="541">
        <f t="shared" ref="AR29:AR35" si="64">IF(AQ29=0," ",(AO29-AQ29)/AQ29 *100 )</f>
        <v>10.736842105263159</v>
      </c>
      <c r="AS29" s="489"/>
    </row>
    <row r="30" spans="2:45" ht="15.5" x14ac:dyDescent="0.35">
      <c r="B30" s="794"/>
      <c r="C30" s="399" t="s">
        <v>125</v>
      </c>
      <c r="D30" s="397">
        <v>50</v>
      </c>
      <c r="E30" s="466">
        <f>SUM(E28:E29)</f>
        <v>50</v>
      </c>
      <c r="F30" s="469">
        <v>50</v>
      </c>
      <c r="G30" s="467">
        <f>SUM(G28:G29)</f>
        <v>50</v>
      </c>
      <c r="H30" s="469">
        <v>50</v>
      </c>
      <c r="I30" s="258">
        <f>SUM(I28:I29)</f>
        <v>28</v>
      </c>
      <c r="J30" s="469">
        <v>50</v>
      </c>
      <c r="K30" s="468">
        <f t="shared" ref="K30:AC30" si="65">SUM(K28:K29)</f>
        <v>33</v>
      </c>
      <c r="L30" s="469">
        <v>50</v>
      </c>
      <c r="M30" s="258">
        <f t="shared" si="65"/>
        <v>10</v>
      </c>
      <c r="N30" s="470">
        <v>50</v>
      </c>
      <c r="O30" s="468">
        <f t="shared" si="65"/>
        <v>2</v>
      </c>
      <c r="P30" s="469">
        <v>55</v>
      </c>
      <c r="Q30" s="258">
        <f t="shared" si="65"/>
        <v>26</v>
      </c>
      <c r="R30" s="469">
        <v>55</v>
      </c>
      <c r="S30" s="468">
        <f t="shared" si="65"/>
        <v>46</v>
      </c>
      <c r="T30" s="469">
        <v>55</v>
      </c>
      <c r="U30" s="258">
        <f t="shared" si="65"/>
        <v>54</v>
      </c>
      <c r="V30" s="470">
        <v>70</v>
      </c>
      <c r="W30" s="468">
        <f t="shared" si="65"/>
        <v>65</v>
      </c>
      <c r="X30" s="470">
        <v>70</v>
      </c>
      <c r="Y30" s="468">
        <f t="shared" si="65"/>
        <v>64</v>
      </c>
      <c r="Z30" s="470">
        <v>70</v>
      </c>
      <c r="AA30" s="374">
        <f t="shared" si="65"/>
        <v>68</v>
      </c>
      <c r="AB30" s="469">
        <f>+D30+F30+H30+J30+L30+N30+P30+R30+T30+V30+X30+Z30</f>
        <v>675</v>
      </c>
      <c r="AC30" s="258">
        <f t="shared" si="65"/>
        <v>496</v>
      </c>
      <c r="AD30" s="135">
        <f>E30+G30+I30</f>
        <v>128</v>
      </c>
      <c r="AE30" s="135">
        <f>+K30+M30+O30</f>
        <v>45</v>
      </c>
      <c r="AF30" s="135">
        <f>Q30+S30+U30</f>
        <v>126</v>
      </c>
      <c r="AG30" s="135">
        <f>W30+Y30+AA30</f>
        <v>197</v>
      </c>
      <c r="AH30" s="531" t="s">
        <v>192</v>
      </c>
      <c r="AI30" s="537">
        <v>70</v>
      </c>
      <c r="AJ30" s="538">
        <v>58</v>
      </c>
      <c r="AK30" s="539">
        <f t="shared" si="61"/>
        <v>82.857142857142861</v>
      </c>
      <c r="AL30" s="540"/>
      <c r="AM30" s="539" t="str">
        <f t="shared" si="63"/>
        <v xml:space="preserve"> </v>
      </c>
      <c r="AN30" s="537">
        <v>630</v>
      </c>
      <c r="AO30" s="538">
        <v>549</v>
      </c>
      <c r="AP30" s="539">
        <f t="shared" si="62"/>
        <v>87.142857142857139</v>
      </c>
      <c r="AQ30" s="540">
        <v>434</v>
      </c>
      <c r="AR30" s="541">
        <f t="shared" si="64"/>
        <v>26.497695852534562</v>
      </c>
      <c r="AS30" s="489"/>
    </row>
    <row r="31" spans="2:45" ht="16" thickBot="1" x14ac:dyDescent="0.4">
      <c r="B31" s="795"/>
      <c r="C31" s="403" t="s">
        <v>126</v>
      </c>
      <c r="D31" s="280"/>
      <c r="E31" s="261">
        <f t="shared" ref="E31" si="66">E30/E$2</f>
        <v>1.6666666666666667</v>
      </c>
      <c r="F31" s="475"/>
      <c r="G31" s="263">
        <f t="shared" ref="G31" si="67">G30/G$2</f>
        <v>1.6129032258064515</v>
      </c>
      <c r="H31" s="475"/>
      <c r="I31" s="261">
        <f t="shared" ref="I31" si="68">I30/I$2</f>
        <v>0.93333333333333335</v>
      </c>
      <c r="J31" s="475"/>
      <c r="K31" s="263">
        <f t="shared" ref="K31" si="69">K30/K$2</f>
        <v>1.064516129032258</v>
      </c>
      <c r="L31" s="475"/>
      <c r="M31" s="261">
        <f t="shared" ref="M31" si="70">M30/M$2</f>
        <v>0.32258064516129031</v>
      </c>
      <c r="N31" s="476"/>
      <c r="O31" s="263">
        <f t="shared" ref="O31" si="71">O30/O$2</f>
        <v>6.6666666666666666E-2</v>
      </c>
      <c r="P31" s="475"/>
      <c r="Q31" s="261">
        <f t="shared" ref="Q31" si="72">Q30/Q$2</f>
        <v>0.83870967741935487</v>
      </c>
      <c r="R31" s="475"/>
      <c r="S31" s="263">
        <f t="shared" ref="S31" si="73">S30/S$2</f>
        <v>1.5333333333333334</v>
      </c>
      <c r="T31" s="475"/>
      <c r="U31" s="261">
        <f t="shared" ref="U31" si="74">U30/U$2</f>
        <v>1.7419354838709677</v>
      </c>
      <c r="V31" s="476"/>
      <c r="W31" s="263">
        <f t="shared" ref="W31" si="75">W30/W$2</f>
        <v>2.096774193548387</v>
      </c>
      <c r="X31" s="476"/>
      <c r="Y31" s="261">
        <f>Y30/Y$2</f>
        <v>2.2068965517241379</v>
      </c>
      <c r="Z31" s="476"/>
      <c r="AA31" s="255">
        <f>AA30/AA$2</f>
        <v>2.193548387096774</v>
      </c>
      <c r="AB31" s="255">
        <f>AB30/$AC$2</f>
        <v>2.0149253731343282</v>
      </c>
      <c r="AC31" s="255">
        <f t="shared" ref="AC31" si="76">AC30/$AC$2</f>
        <v>1.4805970149253731</v>
      </c>
      <c r="AD31" s="2">
        <f>+AD30/91</f>
        <v>1.4065934065934067</v>
      </c>
      <c r="AE31" s="2">
        <f>+AE30/92</f>
        <v>0.4891304347826087</v>
      </c>
      <c r="AF31" s="2">
        <f>+AF30/92</f>
        <v>1.3695652173913044</v>
      </c>
      <c r="AG31" s="2">
        <f t="shared" ref="AG31" si="77">+AG30/91</f>
        <v>2.1648351648351647</v>
      </c>
      <c r="AH31" s="531" t="s">
        <v>193</v>
      </c>
      <c r="AI31" s="537">
        <v>45</v>
      </c>
      <c r="AJ31" s="538">
        <v>13</v>
      </c>
      <c r="AK31" s="539">
        <f t="shared" si="61"/>
        <v>28.888888888888889</v>
      </c>
      <c r="AL31" s="540"/>
      <c r="AM31" s="539" t="str">
        <f t="shared" si="63"/>
        <v xml:space="preserve"> </v>
      </c>
      <c r="AN31" s="537">
        <v>345</v>
      </c>
      <c r="AO31" s="538">
        <v>295</v>
      </c>
      <c r="AP31" s="539">
        <f t="shared" si="62"/>
        <v>85.507246376811594</v>
      </c>
      <c r="AQ31" s="540">
        <v>82</v>
      </c>
      <c r="AR31" s="541">
        <f t="shared" si="64"/>
        <v>259.7560975609756</v>
      </c>
      <c r="AS31" s="489"/>
    </row>
    <row r="32" spans="2:45" ht="15.75" customHeight="1" x14ac:dyDescent="0.35">
      <c r="B32" s="796" t="s">
        <v>28</v>
      </c>
      <c r="C32" s="404" t="s">
        <v>90</v>
      </c>
      <c r="D32" s="405"/>
      <c r="E32" s="137">
        <v>29.6</v>
      </c>
      <c r="F32" s="477"/>
      <c r="G32" s="487">
        <v>26.3</v>
      </c>
      <c r="H32" s="477"/>
      <c r="I32" s="479">
        <v>24</v>
      </c>
      <c r="J32" s="477"/>
      <c r="K32" s="487">
        <v>22.6</v>
      </c>
      <c r="L32" s="477"/>
      <c r="M32" s="479">
        <v>19.5</v>
      </c>
      <c r="N32" s="478"/>
      <c r="O32" s="487">
        <v>17.5</v>
      </c>
      <c r="P32" s="477"/>
      <c r="Q32" s="479">
        <v>19.2</v>
      </c>
      <c r="R32" s="477"/>
      <c r="S32" s="487">
        <v>23.8</v>
      </c>
      <c r="T32" s="477"/>
      <c r="U32" s="479">
        <v>12.7</v>
      </c>
      <c r="V32" s="478"/>
      <c r="W32" s="487">
        <v>27.9</v>
      </c>
      <c r="X32" s="478"/>
      <c r="Y32" s="496">
        <v>28.6</v>
      </c>
      <c r="Z32" s="478"/>
      <c r="AA32" s="487">
        <v>32.700000000000003</v>
      </c>
      <c r="AB32" s="477"/>
      <c r="AC32" s="479">
        <f t="shared" ref="AC32:AC33" si="78">+E32+G32+I32+K32+M32+O32+Q32+S32+U32+W32+Y32+AA32</f>
        <v>284.39999999999998</v>
      </c>
      <c r="AH32" s="531" t="s">
        <v>194</v>
      </c>
      <c r="AI32" s="537">
        <v>70</v>
      </c>
      <c r="AJ32" s="538">
        <v>68</v>
      </c>
      <c r="AK32" s="539">
        <f t="shared" si="61"/>
        <v>97.142857142857153</v>
      </c>
      <c r="AL32" s="540"/>
      <c r="AM32" s="539" t="str">
        <f t="shared" si="63"/>
        <v xml:space="preserve"> </v>
      </c>
      <c r="AN32" s="537">
        <v>675</v>
      </c>
      <c r="AO32" s="538">
        <v>496</v>
      </c>
      <c r="AP32" s="539">
        <f t="shared" si="62"/>
        <v>73.481481481481481</v>
      </c>
      <c r="AQ32" s="540">
        <v>414</v>
      </c>
      <c r="AR32" s="541">
        <f t="shared" si="64"/>
        <v>19.806763285024154</v>
      </c>
      <c r="AS32" s="489"/>
    </row>
    <row r="33" spans="2:45" ht="16.5" customHeight="1" x14ac:dyDescent="0.35">
      <c r="B33" s="797"/>
      <c r="C33" s="399" t="s">
        <v>92</v>
      </c>
      <c r="D33" s="397"/>
      <c r="E33" s="44">
        <v>64.400000000000006</v>
      </c>
      <c r="F33" s="469"/>
      <c r="G33" s="483">
        <v>67.7</v>
      </c>
      <c r="H33" s="469"/>
      <c r="I33" s="484">
        <v>68</v>
      </c>
      <c r="J33" s="469"/>
      <c r="K33" s="483">
        <v>61.4</v>
      </c>
      <c r="L33" s="485"/>
      <c r="M33" s="484">
        <v>70.5</v>
      </c>
      <c r="N33" s="486"/>
      <c r="O33" s="483">
        <v>62.5</v>
      </c>
      <c r="P33" s="485"/>
      <c r="Q33" s="484">
        <v>59.8</v>
      </c>
      <c r="R33" s="485"/>
      <c r="S33" s="483">
        <v>69.2</v>
      </c>
      <c r="T33" s="485"/>
      <c r="U33" s="484">
        <v>37.299999999999997</v>
      </c>
      <c r="V33" s="486"/>
      <c r="W33" s="483">
        <v>67.099999999999994</v>
      </c>
      <c r="X33" s="486"/>
      <c r="Y33" s="497">
        <v>64.400000000000006</v>
      </c>
      <c r="Z33" s="486"/>
      <c r="AA33" s="483">
        <v>74.3</v>
      </c>
      <c r="AB33" s="488"/>
      <c r="AC33" s="258">
        <f t="shared" si="78"/>
        <v>766.59999999999991</v>
      </c>
      <c r="AH33" s="531" t="s">
        <v>28</v>
      </c>
      <c r="AI33" s="537">
        <v>100</v>
      </c>
      <c r="AJ33" s="538">
        <v>107</v>
      </c>
      <c r="AK33" s="539">
        <f t="shared" si="61"/>
        <v>107</v>
      </c>
      <c r="AL33" s="540"/>
      <c r="AM33" s="539" t="str">
        <f t="shared" si="63"/>
        <v xml:space="preserve"> </v>
      </c>
      <c r="AN33" s="537">
        <v>1185</v>
      </c>
      <c r="AO33" s="538">
        <v>1051</v>
      </c>
      <c r="AP33" s="539">
        <f t="shared" si="62"/>
        <v>88.691983122362871</v>
      </c>
      <c r="AQ33" s="540">
        <v>968</v>
      </c>
      <c r="AR33" s="541">
        <f t="shared" si="64"/>
        <v>8.5743801652892575</v>
      </c>
      <c r="AS33" s="489"/>
    </row>
    <row r="34" spans="2:45" ht="16" thickBot="1" x14ac:dyDescent="0.4">
      <c r="B34" s="797"/>
      <c r="C34" s="399" t="s">
        <v>125</v>
      </c>
      <c r="D34" s="397">
        <v>100</v>
      </c>
      <c r="E34" s="466">
        <f>SUM(E32:E33)</f>
        <v>94</v>
      </c>
      <c r="F34" s="469">
        <v>100</v>
      </c>
      <c r="G34" s="467">
        <f>SUM(G32:G33)</f>
        <v>94</v>
      </c>
      <c r="H34" s="469">
        <v>100</v>
      </c>
      <c r="I34" s="258">
        <f>SUM(I32:I33)</f>
        <v>92</v>
      </c>
      <c r="J34" s="469">
        <v>100</v>
      </c>
      <c r="K34" s="468">
        <f t="shared" ref="K34:AC34" si="79">SUM(K32:K33)</f>
        <v>84</v>
      </c>
      <c r="L34" s="469">
        <v>100</v>
      </c>
      <c r="M34" s="258">
        <f t="shared" si="79"/>
        <v>90</v>
      </c>
      <c r="N34" s="470">
        <v>100</v>
      </c>
      <c r="O34" s="468">
        <f t="shared" si="79"/>
        <v>80</v>
      </c>
      <c r="P34" s="469">
        <v>95</v>
      </c>
      <c r="Q34" s="258">
        <f t="shared" si="79"/>
        <v>79</v>
      </c>
      <c r="R34" s="469">
        <v>95</v>
      </c>
      <c r="S34" s="468">
        <f t="shared" si="79"/>
        <v>93</v>
      </c>
      <c r="T34" s="469">
        <v>95</v>
      </c>
      <c r="U34" s="258">
        <f t="shared" si="79"/>
        <v>50</v>
      </c>
      <c r="V34" s="470">
        <v>100</v>
      </c>
      <c r="W34" s="468">
        <f t="shared" si="79"/>
        <v>95</v>
      </c>
      <c r="X34" s="470">
        <v>100</v>
      </c>
      <c r="Y34" s="468">
        <f t="shared" si="79"/>
        <v>93</v>
      </c>
      <c r="Z34" s="470">
        <v>100</v>
      </c>
      <c r="AA34" s="374">
        <f t="shared" si="79"/>
        <v>107</v>
      </c>
      <c r="AB34" s="469">
        <f>+D34+F34+H34+J34+L34+N34+P34+R34+T34+V34+X34+Z34</f>
        <v>1185</v>
      </c>
      <c r="AC34" s="258">
        <f t="shared" si="79"/>
        <v>1051</v>
      </c>
      <c r="AD34" s="135">
        <f>E34+G34+I34</f>
        <v>280</v>
      </c>
      <c r="AE34" s="135">
        <f>+K34+M34+O34</f>
        <v>254</v>
      </c>
      <c r="AF34" s="135">
        <f>Q34+S34+U34</f>
        <v>222</v>
      </c>
      <c r="AG34" s="135">
        <f>W34+Y34+AA34</f>
        <v>295</v>
      </c>
      <c r="AH34" s="542" t="s">
        <v>195</v>
      </c>
      <c r="AI34" s="543">
        <v>25</v>
      </c>
      <c r="AJ34" s="544">
        <v>13</v>
      </c>
      <c r="AK34" s="545">
        <f t="shared" si="61"/>
        <v>52</v>
      </c>
      <c r="AL34" s="546"/>
      <c r="AM34" s="545" t="str">
        <f t="shared" si="63"/>
        <v xml:space="preserve"> </v>
      </c>
      <c r="AN34" s="543">
        <v>225</v>
      </c>
      <c r="AO34" s="544">
        <v>196</v>
      </c>
      <c r="AP34" s="545">
        <f t="shared" si="62"/>
        <v>87.111111111111114</v>
      </c>
      <c r="AQ34" s="546">
        <v>193</v>
      </c>
      <c r="AR34" s="547">
        <f t="shared" si="64"/>
        <v>1.5544041450777202</v>
      </c>
      <c r="AS34" s="489"/>
    </row>
    <row r="35" spans="2:45" ht="16" thickBot="1" x14ac:dyDescent="0.4">
      <c r="B35" s="798"/>
      <c r="C35" s="402" t="s">
        <v>126</v>
      </c>
      <c r="D35" s="406"/>
      <c r="E35" s="255">
        <f t="shared" ref="E35" si="80">E34/E$2</f>
        <v>3.1333333333333333</v>
      </c>
      <c r="F35" s="480"/>
      <c r="G35" s="257">
        <f t="shared" ref="G35" si="81">G34/G$2</f>
        <v>3.032258064516129</v>
      </c>
      <c r="H35" s="480"/>
      <c r="I35" s="255">
        <f t="shared" ref="I35" si="82">I34/I$2</f>
        <v>3.0666666666666669</v>
      </c>
      <c r="J35" s="480"/>
      <c r="K35" s="257">
        <f t="shared" ref="K35" si="83">K34/K$2</f>
        <v>2.7096774193548385</v>
      </c>
      <c r="L35" s="480"/>
      <c r="M35" s="255">
        <f t="shared" ref="M35" si="84">M34/M$2</f>
        <v>2.903225806451613</v>
      </c>
      <c r="N35" s="481"/>
      <c r="O35" s="257">
        <f t="shared" ref="O35" si="85">O34/O$2</f>
        <v>2.6666666666666665</v>
      </c>
      <c r="P35" s="480"/>
      <c r="Q35" s="255">
        <f t="shared" ref="Q35" si="86">Q34/Q$2</f>
        <v>2.5483870967741935</v>
      </c>
      <c r="R35" s="480"/>
      <c r="S35" s="257">
        <f t="shared" ref="S35" si="87">S34/S$2</f>
        <v>3.1</v>
      </c>
      <c r="T35" s="480"/>
      <c r="U35" s="255">
        <f t="shared" ref="U35" si="88">U34/U$2</f>
        <v>1.6129032258064515</v>
      </c>
      <c r="V35" s="481"/>
      <c r="W35" s="257">
        <f t="shared" ref="W35" si="89">W34/W$2</f>
        <v>3.064516129032258</v>
      </c>
      <c r="X35" s="481"/>
      <c r="Y35" s="255">
        <f>Y34/Y$2</f>
        <v>3.2068965517241379</v>
      </c>
      <c r="Z35" s="481"/>
      <c r="AA35" s="255">
        <f>AA34/AA$2</f>
        <v>3.4516129032258065</v>
      </c>
      <c r="AB35" s="255">
        <f>AB34/$AC$2</f>
        <v>3.5373134328358211</v>
      </c>
      <c r="AC35" s="255">
        <f t="shared" ref="AC35" si="90">AC34/$AC$2</f>
        <v>3.1373134328358208</v>
      </c>
      <c r="AD35" s="2">
        <f>+AD34/91</f>
        <v>3.0769230769230771</v>
      </c>
      <c r="AE35" s="2">
        <f>+AE34/92</f>
        <v>2.7608695652173911</v>
      </c>
      <c r="AF35" s="2">
        <f>+AF34/92</f>
        <v>2.4130434782608696</v>
      </c>
      <c r="AG35" s="2">
        <f t="shared" ref="AG35" si="91">+AG34/91</f>
        <v>3.2417582417582418</v>
      </c>
      <c r="AH35" s="548" t="s">
        <v>196</v>
      </c>
      <c r="AI35" s="549">
        <f>SUM(AI27:AI34)</f>
        <v>650</v>
      </c>
      <c r="AJ35" s="550">
        <f>SUM(AJ27:AJ34)</f>
        <v>555</v>
      </c>
      <c r="AK35" s="550">
        <f t="shared" si="61"/>
        <v>85.384615384615387</v>
      </c>
      <c r="AL35" s="550">
        <f>SUM(AL27:AL34)</f>
        <v>0</v>
      </c>
      <c r="AM35" s="550" t="str">
        <f t="shared" si="63"/>
        <v xml:space="preserve"> </v>
      </c>
      <c r="AN35" s="549">
        <f>SUM(AN27:AN34)</f>
        <v>7440</v>
      </c>
      <c r="AO35" s="550">
        <f>SUM(AO27:AO34)</f>
        <v>6326</v>
      </c>
      <c r="AP35" s="550">
        <f t="shared" si="62"/>
        <v>85.026881720430097</v>
      </c>
      <c r="AQ35" s="550">
        <f>SUM(AQ27:AQ34)</f>
        <v>5427</v>
      </c>
      <c r="AR35" s="551">
        <f t="shared" si="64"/>
        <v>16.565321540445918</v>
      </c>
      <c r="AS35" s="489"/>
    </row>
    <row r="36" spans="2:45" ht="15.75" customHeight="1" x14ac:dyDescent="0.35">
      <c r="B36" s="793" t="s">
        <v>32</v>
      </c>
      <c r="C36" s="394" t="s">
        <v>90</v>
      </c>
      <c r="D36" s="395"/>
      <c r="E36" s="43">
        <v>10</v>
      </c>
      <c r="F36" s="471"/>
      <c r="G36" s="482">
        <v>10</v>
      </c>
      <c r="H36" s="471"/>
      <c r="I36" s="474">
        <v>1.7</v>
      </c>
      <c r="J36" s="471"/>
      <c r="K36" s="482">
        <v>12.2</v>
      </c>
      <c r="L36" s="471"/>
      <c r="M36" s="474">
        <v>5</v>
      </c>
      <c r="N36" s="473"/>
      <c r="O36" s="482">
        <v>6.3</v>
      </c>
      <c r="P36" s="471"/>
      <c r="Q36" s="474">
        <v>7.5</v>
      </c>
      <c r="R36" s="471"/>
      <c r="S36" s="482">
        <v>8</v>
      </c>
      <c r="T36" s="471"/>
      <c r="U36" s="474">
        <v>11</v>
      </c>
      <c r="V36" s="473"/>
      <c r="W36" s="482">
        <v>7</v>
      </c>
      <c r="X36" s="473"/>
      <c r="Y36" s="474">
        <v>9</v>
      </c>
      <c r="Z36" s="473"/>
      <c r="AA36" s="482">
        <v>10</v>
      </c>
      <c r="AB36" s="471"/>
      <c r="AC36" s="474">
        <f t="shared" ref="AC36:AC37" si="92">+E36+G36+I36+K36+M36+O36+Q36+S36+U36+W36+Y36+AA36</f>
        <v>97.699999999999989</v>
      </c>
      <c r="AH36" s="520"/>
      <c r="AI36" s="520"/>
      <c r="AJ36" s="520"/>
      <c r="AK36" s="520"/>
      <c r="AL36" s="520"/>
      <c r="AM36" s="520"/>
      <c r="AN36" s="520"/>
      <c r="AO36" s="520"/>
      <c r="AP36" s="520"/>
      <c r="AQ36" s="520"/>
      <c r="AR36" s="520"/>
      <c r="AS36" s="520"/>
    </row>
    <row r="37" spans="2:45" ht="16.5" customHeight="1" thickBot="1" x14ac:dyDescent="0.4">
      <c r="B37" s="794"/>
      <c r="C37" s="399" t="s">
        <v>92</v>
      </c>
      <c r="D37" s="397"/>
      <c r="E37" s="44">
        <v>13</v>
      </c>
      <c r="F37" s="469"/>
      <c r="G37" s="483">
        <v>8</v>
      </c>
      <c r="H37" s="469"/>
      <c r="I37" s="484">
        <v>6.3</v>
      </c>
      <c r="J37" s="469"/>
      <c r="K37" s="483">
        <v>2.8</v>
      </c>
      <c r="L37" s="485"/>
      <c r="M37" s="484">
        <v>4</v>
      </c>
      <c r="N37" s="486"/>
      <c r="O37" s="483">
        <v>11.7</v>
      </c>
      <c r="P37" s="485"/>
      <c r="Q37" s="484">
        <v>14.5</v>
      </c>
      <c r="R37" s="485"/>
      <c r="S37" s="483">
        <v>10</v>
      </c>
      <c r="T37" s="485"/>
      <c r="U37" s="484">
        <v>5</v>
      </c>
      <c r="V37" s="486"/>
      <c r="W37" s="483">
        <v>10</v>
      </c>
      <c r="X37" s="486"/>
      <c r="Y37" s="484">
        <v>10</v>
      </c>
      <c r="Z37" s="486"/>
      <c r="AA37" s="483">
        <v>3</v>
      </c>
      <c r="AB37" s="488"/>
      <c r="AC37" s="258">
        <f t="shared" si="92"/>
        <v>98.3</v>
      </c>
      <c r="AH37" s="520"/>
      <c r="AI37" s="520"/>
      <c r="AJ37" s="520"/>
      <c r="AK37" s="520"/>
      <c r="AL37" s="520"/>
      <c r="AM37" s="520"/>
      <c r="AN37" s="520"/>
      <c r="AO37" s="520"/>
      <c r="AP37" s="520"/>
      <c r="AQ37" s="520"/>
      <c r="AR37" s="520"/>
      <c r="AS37" s="520"/>
    </row>
    <row r="38" spans="2:45" ht="15.5" x14ac:dyDescent="0.35">
      <c r="B38" s="794"/>
      <c r="C38" s="399" t="s">
        <v>125</v>
      </c>
      <c r="D38" s="397">
        <v>20</v>
      </c>
      <c r="E38" s="466">
        <f>SUM(E36:E37)</f>
        <v>23</v>
      </c>
      <c r="F38" s="469">
        <v>20</v>
      </c>
      <c r="G38" s="467">
        <f>SUM(G36:G37)</f>
        <v>18</v>
      </c>
      <c r="H38" s="469">
        <v>20</v>
      </c>
      <c r="I38" s="258">
        <f>SUM(I36:I37)</f>
        <v>8</v>
      </c>
      <c r="J38" s="469">
        <v>15</v>
      </c>
      <c r="K38" s="468">
        <f t="shared" ref="K38:AC38" si="93">SUM(K36:K37)</f>
        <v>15</v>
      </c>
      <c r="L38" s="469">
        <v>15</v>
      </c>
      <c r="M38" s="258">
        <f t="shared" si="93"/>
        <v>9</v>
      </c>
      <c r="N38" s="470">
        <v>15</v>
      </c>
      <c r="O38" s="468">
        <f t="shared" si="93"/>
        <v>18</v>
      </c>
      <c r="P38" s="469">
        <v>15</v>
      </c>
      <c r="Q38" s="258">
        <f t="shared" si="93"/>
        <v>22</v>
      </c>
      <c r="R38" s="469">
        <v>15</v>
      </c>
      <c r="S38" s="468">
        <f t="shared" si="93"/>
        <v>18</v>
      </c>
      <c r="T38" s="469">
        <v>15</v>
      </c>
      <c r="U38" s="258">
        <f t="shared" si="93"/>
        <v>16</v>
      </c>
      <c r="V38" s="470">
        <v>25</v>
      </c>
      <c r="W38" s="468">
        <f t="shared" si="93"/>
        <v>17</v>
      </c>
      <c r="X38" s="470">
        <v>25</v>
      </c>
      <c r="Y38" s="468">
        <f t="shared" si="93"/>
        <v>19</v>
      </c>
      <c r="Z38" s="470">
        <v>25</v>
      </c>
      <c r="AA38" s="374">
        <f t="shared" si="93"/>
        <v>13</v>
      </c>
      <c r="AB38" s="469">
        <f>+D38+F38+H38+J38+L38+N38+P38+R38+T38+V38+X38+Z38</f>
        <v>225</v>
      </c>
      <c r="AC38" s="258">
        <f t="shared" si="93"/>
        <v>196</v>
      </c>
      <c r="AD38" s="135">
        <f>E38+G38+I38</f>
        <v>49</v>
      </c>
      <c r="AE38" s="135">
        <f>+K38+M38+O38</f>
        <v>42</v>
      </c>
      <c r="AF38" s="135">
        <f>Q38+S38+U38</f>
        <v>56</v>
      </c>
      <c r="AG38" s="135">
        <f>W38+Y38+AA38</f>
        <v>49</v>
      </c>
      <c r="AH38" s="523"/>
      <c r="AI38" s="520"/>
      <c r="AJ38" s="834" t="str">
        <f>AI24</f>
        <v xml:space="preserve">FOR THE  MONTH  OF - - </v>
      </c>
      <c r="AK38" s="835"/>
      <c r="AL38" s="835"/>
      <c r="AM38" s="835"/>
      <c r="AN38" s="836"/>
      <c r="AO38" s="835" t="str">
        <f>AN24</f>
        <v xml:space="preserve">19-20  TILL THE  MONTH  OF  - </v>
      </c>
      <c r="AP38" s="835"/>
      <c r="AQ38" s="835"/>
      <c r="AR38" s="835"/>
      <c r="AS38" s="836"/>
    </row>
    <row r="39" spans="2:45" ht="16" thickBot="1" x14ac:dyDescent="0.4">
      <c r="B39" s="795"/>
      <c r="C39" s="403" t="s">
        <v>126</v>
      </c>
      <c r="D39" s="280"/>
      <c r="E39" s="261">
        <f t="shared" ref="E39" si="94">E38/E$2</f>
        <v>0.76666666666666672</v>
      </c>
      <c r="F39" s="475"/>
      <c r="G39" s="263">
        <f t="shared" ref="G39" si="95">G38/G$2</f>
        <v>0.58064516129032262</v>
      </c>
      <c r="H39" s="475"/>
      <c r="I39" s="261">
        <f t="shared" ref="I39" si="96">I38/I$2</f>
        <v>0.26666666666666666</v>
      </c>
      <c r="J39" s="475"/>
      <c r="K39" s="263">
        <f t="shared" ref="K39" si="97">K38/K$2</f>
        <v>0.4838709677419355</v>
      </c>
      <c r="L39" s="475"/>
      <c r="M39" s="261">
        <f t="shared" ref="M39" si="98">M38/M$2</f>
        <v>0.29032258064516131</v>
      </c>
      <c r="N39" s="476"/>
      <c r="O39" s="263">
        <f t="shared" ref="O39" si="99">O38/O$2</f>
        <v>0.6</v>
      </c>
      <c r="P39" s="475"/>
      <c r="Q39" s="261">
        <f t="shared" ref="Q39" si="100">Q38/Q$2</f>
        <v>0.70967741935483875</v>
      </c>
      <c r="R39" s="475"/>
      <c r="S39" s="263">
        <f t="shared" ref="S39" si="101">S38/S$2</f>
        <v>0.6</v>
      </c>
      <c r="T39" s="475"/>
      <c r="U39" s="261">
        <f t="shared" ref="U39" si="102">U38/U$2</f>
        <v>0.5161290322580645</v>
      </c>
      <c r="V39" s="476"/>
      <c r="W39" s="263">
        <f t="shared" ref="W39" si="103">W38/W$2</f>
        <v>0.54838709677419351</v>
      </c>
      <c r="X39" s="476"/>
      <c r="Y39" s="261">
        <f>Y38/Y$2</f>
        <v>0.65517241379310343</v>
      </c>
      <c r="Z39" s="476"/>
      <c r="AA39" s="255">
        <f>AA38/AA$2</f>
        <v>0.41935483870967744</v>
      </c>
      <c r="AB39" s="255">
        <f>AB38/$AC$2</f>
        <v>0.67164179104477617</v>
      </c>
      <c r="AC39" s="255">
        <f t="shared" ref="AC39" si="104">AC38/$AC$2</f>
        <v>0.58507462686567169</v>
      </c>
      <c r="AD39" s="2">
        <f>+AD38/91</f>
        <v>0.53846153846153844</v>
      </c>
      <c r="AE39" s="2">
        <f>+AE38/92</f>
        <v>0.45652173913043476</v>
      </c>
      <c r="AF39" s="2">
        <f>+AF38/92</f>
        <v>0.60869565217391308</v>
      </c>
      <c r="AG39" s="2">
        <f t="shared" ref="AG39" si="105">+AG38/91</f>
        <v>0.53846153846153844</v>
      </c>
      <c r="AH39" s="552" t="s">
        <v>197</v>
      </c>
      <c r="AI39" s="553" t="s">
        <v>198</v>
      </c>
      <c r="AJ39" s="554" t="s">
        <v>153</v>
      </c>
      <c r="AK39" s="555" t="s">
        <v>154</v>
      </c>
      <c r="AL39" s="555" t="s">
        <v>186</v>
      </c>
      <c r="AM39" s="555" t="e">
        <f>AL25</f>
        <v>#VALUE!</v>
      </c>
      <c r="AN39" s="556" t="s">
        <v>187</v>
      </c>
      <c r="AO39" s="554" t="s">
        <v>153</v>
      </c>
      <c r="AP39" s="555" t="s">
        <v>154</v>
      </c>
      <c r="AQ39" s="555" t="s">
        <v>186</v>
      </c>
      <c r="AR39" s="555" t="str">
        <f>AQ25</f>
        <v>CPLY</v>
      </c>
      <c r="AS39" s="556" t="s">
        <v>187</v>
      </c>
    </row>
    <row r="40" spans="2:45" s="513" customFormat="1" ht="15.75" customHeight="1" thickBot="1" x14ac:dyDescent="0.4">
      <c r="B40" s="799" t="s">
        <v>104</v>
      </c>
      <c r="C40" s="800"/>
      <c r="D40" s="509"/>
      <c r="E40" s="510">
        <f>E8+E12+E16+E20+E24+E28+E32+E36</f>
        <v>179.5</v>
      </c>
      <c r="F40" s="509"/>
      <c r="G40" s="507">
        <f>G8+G12+G16+G20+G24+G28+G32+G36</f>
        <v>188.60000000000002</v>
      </c>
      <c r="H40" s="509"/>
      <c r="I40" s="511">
        <f>I8+I12+I16+I20+I24+I28+I32+I36</f>
        <v>177.5</v>
      </c>
      <c r="J40" s="509"/>
      <c r="K40" s="507">
        <f>K8+K12+K16+K20+K24+K28+K32+K36</f>
        <v>193.6</v>
      </c>
      <c r="L40" s="509"/>
      <c r="M40" s="511">
        <f>M8+M12+M16+M20+M24+M28+M32+M36</f>
        <v>158.5</v>
      </c>
      <c r="N40" s="512"/>
      <c r="O40" s="507">
        <f>O8+O12+O16+O20+O24+O28+O32+O36</f>
        <v>138.20000000000002</v>
      </c>
      <c r="P40" s="509"/>
      <c r="Q40" s="511">
        <f>Q8+Q12+Q16+Q20+Q24+Q28+Q32+Q36</f>
        <v>165.7</v>
      </c>
      <c r="R40" s="509"/>
      <c r="S40" s="507">
        <f>S8+S12+S16+S20+S24+S28+S32+S36</f>
        <v>178.20000000000002</v>
      </c>
      <c r="T40" s="509"/>
      <c r="U40" s="511">
        <f>U8+U12+U16+U20+U24+U28+U32+U36</f>
        <v>178.1</v>
      </c>
      <c r="V40" s="512"/>
      <c r="W40" s="507">
        <f>W8+W12+W16+W20+W24+W28+W32+W36</f>
        <v>195.5</v>
      </c>
      <c r="X40" s="512"/>
      <c r="Y40" s="511">
        <f>Y8+Y12+Y16+Y20+Y24+Y28+Y32+Y36</f>
        <v>199.4</v>
      </c>
      <c r="Z40" s="512"/>
      <c r="AA40" s="507">
        <f>AA8+AA12+AA16+AA20+AA24+AA28+AA32+AA36</f>
        <v>181.39999999999998</v>
      </c>
      <c r="AB40" s="509"/>
      <c r="AC40" s="511">
        <f>+E40+G40+I40+K40+M40+O40+Q40+S40+U40+W40+Y40+AA40</f>
        <v>2134.2000000000003</v>
      </c>
      <c r="AD40" s="2"/>
      <c r="AE40" s="2"/>
      <c r="AF40" s="2"/>
      <c r="AG40" s="2"/>
      <c r="AH40" s="523"/>
      <c r="AI40" s="520"/>
      <c r="AJ40" s="528"/>
      <c r="AK40" s="529"/>
      <c r="AL40" s="529"/>
      <c r="AM40" s="529"/>
      <c r="AN40" s="530"/>
      <c r="AO40" s="529"/>
      <c r="AP40" s="529"/>
      <c r="AQ40" s="529"/>
      <c r="AR40" s="529"/>
      <c r="AS40" s="530"/>
    </row>
    <row r="41" spans="2:45" s="513" customFormat="1" ht="16.5" customHeight="1" x14ac:dyDescent="0.35">
      <c r="B41" s="801" t="s">
        <v>105</v>
      </c>
      <c r="C41" s="802"/>
      <c r="D41" s="514"/>
      <c r="E41" s="515">
        <f>E9+E13+E17+E21+E25+E29+E33+E37</f>
        <v>361.5</v>
      </c>
      <c r="F41" s="514"/>
      <c r="G41" s="508">
        <f>G9+G13+G17+G21+G25+G29+G33+G37</f>
        <v>366.4</v>
      </c>
      <c r="H41" s="514"/>
      <c r="I41" s="497">
        <f>I9+I13+I17+I21+I25+I29+I33+I37</f>
        <v>364.5</v>
      </c>
      <c r="J41" s="514"/>
      <c r="K41" s="508">
        <f>K9+K13+K17+K21+K25+K29+K33+K37</f>
        <v>338.4</v>
      </c>
      <c r="L41" s="516"/>
      <c r="M41" s="497">
        <f>M9+M13+M17+M21+M25+M29+M33+M37</f>
        <v>313.5</v>
      </c>
      <c r="N41" s="517"/>
      <c r="O41" s="508">
        <f>O9+O13+O17+O21+O25+O29+O33+O37</f>
        <v>288.8</v>
      </c>
      <c r="P41" s="516"/>
      <c r="Q41" s="497">
        <f>Q9+Q13+Q17+Q21+Q25+Q29+Q33+Q37</f>
        <v>337.3</v>
      </c>
      <c r="R41" s="516"/>
      <c r="S41" s="508">
        <f>S9+S13+S17+S21+S25+S29+S33+S37</f>
        <v>350.8</v>
      </c>
      <c r="T41" s="516"/>
      <c r="U41" s="497">
        <f>U9+U13+U17+U21+U25+U29+U33+U37</f>
        <v>328.90000000000003</v>
      </c>
      <c r="V41" s="517"/>
      <c r="W41" s="508">
        <f>W9+W13+W17+W21+W25+W29+W33+W37</f>
        <v>391.5</v>
      </c>
      <c r="X41" s="517"/>
      <c r="Y41" s="497">
        <f>Y9+Y13+Y17+Y21+Y25+Y29+Y33+Y37</f>
        <v>376.6</v>
      </c>
      <c r="Z41" s="517"/>
      <c r="AA41" s="508">
        <f>AA9+AA13+AA17+AA21+AA25+AA29+AA33+AA37</f>
        <v>373.6</v>
      </c>
      <c r="AB41" s="518"/>
      <c r="AC41" s="519">
        <f>+E41+G41+I41+K41+M41+O41+Q41+S41+U41+W41+Y41+AA41</f>
        <v>4191.8</v>
      </c>
      <c r="AH41" s="823" t="s">
        <v>1</v>
      </c>
      <c r="AI41" s="557" t="s">
        <v>199</v>
      </c>
      <c r="AJ41" s="558"/>
      <c r="AK41" s="559">
        <v>62.3</v>
      </c>
      <c r="AL41" s="560"/>
      <c r="AM41" s="559">
        <v>52.5</v>
      </c>
      <c r="AN41" s="561">
        <f>+IFERROR((AK41-AM41)/AM41%,)</f>
        <v>18.666666666666661</v>
      </c>
      <c r="AO41" s="558"/>
      <c r="AP41" s="559">
        <v>648.6</v>
      </c>
      <c r="AQ41" s="560">
        <f>+IFERROR(AP41/AO41%,)</f>
        <v>0</v>
      </c>
      <c r="AR41" s="559">
        <v>588</v>
      </c>
      <c r="AS41" s="561">
        <f>+IFERROR((AP41-AR41)/AR41%,)</f>
        <v>10.306122448979595</v>
      </c>
    </row>
    <row r="42" spans="2:45" ht="16" thickBot="1" x14ac:dyDescent="0.4">
      <c r="B42" s="840" t="s">
        <v>127</v>
      </c>
      <c r="C42" s="841"/>
      <c r="D42" s="397">
        <f>D10+D14+D18+D22+D26+D30+D34+D38</f>
        <v>630</v>
      </c>
      <c r="E42" s="44">
        <f>SUM(E40:E41)</f>
        <v>541</v>
      </c>
      <c r="F42" s="469">
        <f>F10+F14+F18+F22+F26+F30+F34+F38</f>
        <v>630</v>
      </c>
      <c r="G42" s="468">
        <f t="shared" ref="G42:W42" si="106">SUM(G40:G41)</f>
        <v>555</v>
      </c>
      <c r="H42" s="469">
        <f>H10+H14+H18+H22+H26+H30+H34+H38</f>
        <v>630</v>
      </c>
      <c r="I42" s="468">
        <f t="shared" si="106"/>
        <v>542</v>
      </c>
      <c r="J42" s="469">
        <f>J10+J14+J18+J22+J26+J30+J34+J38</f>
        <v>630</v>
      </c>
      <c r="K42" s="468">
        <f t="shared" si="106"/>
        <v>532</v>
      </c>
      <c r="L42" s="469">
        <f>L10+L14+L18+L22+L26+L30+L34+L38</f>
        <v>630</v>
      </c>
      <c r="M42" s="468">
        <f t="shared" si="106"/>
        <v>472</v>
      </c>
      <c r="N42" s="470">
        <f>N10+N14+N18+N22+N26+N30+N34+N38</f>
        <v>630</v>
      </c>
      <c r="O42" s="468">
        <f t="shared" si="106"/>
        <v>427</v>
      </c>
      <c r="P42" s="469">
        <f>P10+P14+P18+P22+P26+P30+P34+P38</f>
        <v>570</v>
      </c>
      <c r="Q42" s="468">
        <f t="shared" si="106"/>
        <v>503</v>
      </c>
      <c r="R42" s="469">
        <f>R10+R14+R18+R22+R26+R30+R34+R38</f>
        <v>570</v>
      </c>
      <c r="S42" s="468">
        <f t="shared" si="106"/>
        <v>529</v>
      </c>
      <c r="T42" s="469">
        <f>T10+T14+T18+T22+T26+T30+T34+T38</f>
        <v>570</v>
      </c>
      <c r="U42" s="468">
        <f t="shared" si="106"/>
        <v>507</v>
      </c>
      <c r="V42" s="470">
        <f>V10+V14+V18+V22+V26+V30+V34+V38</f>
        <v>650</v>
      </c>
      <c r="W42" s="468">
        <f t="shared" si="106"/>
        <v>587</v>
      </c>
      <c r="X42" s="470">
        <f>X10+X14+X18+X22+X26+X30+X34+X38</f>
        <v>650</v>
      </c>
      <c r="Y42" s="468">
        <f>Y10+Y14+Y18+Y22+Y26+Y30+Y34+Y38</f>
        <v>576</v>
      </c>
      <c r="Z42" s="470">
        <f>Z10+Z14+Z18+Z22+Z26+Z30+Z34+Z38</f>
        <v>650</v>
      </c>
      <c r="AA42" s="468">
        <f>AA10+AA14+AA18+AA22+AA26+AA30+AA34+AA38</f>
        <v>555</v>
      </c>
      <c r="AB42" s="469">
        <f>+D42+F42+H42+J42+L42+N42+P42+R42+T42+V42+X42+Z42</f>
        <v>7440</v>
      </c>
      <c r="AC42" s="468">
        <f>SUM(AC40:AC41)</f>
        <v>6326</v>
      </c>
      <c r="AD42" s="135">
        <f>E42+G42+I42</f>
        <v>1638</v>
      </c>
      <c r="AE42" s="135">
        <f>+K42+M42+O42</f>
        <v>1431</v>
      </c>
      <c r="AF42" s="135">
        <f>Q42+S42+U42</f>
        <v>1539</v>
      </c>
      <c r="AG42" s="135">
        <f>W42+Y42+AA42</f>
        <v>1718</v>
      </c>
      <c r="AH42" s="823"/>
      <c r="AI42" s="562" t="s">
        <v>200</v>
      </c>
      <c r="AJ42" s="563"/>
      <c r="AK42" s="564">
        <v>89.7</v>
      </c>
      <c r="AL42" s="565"/>
      <c r="AM42" s="564">
        <v>92.5</v>
      </c>
      <c r="AN42" s="566">
        <f t="shared" ref="AN42:AN59" si="107">+IFERROR((AK42-AM42)/AM42%,)</f>
        <v>-3.0270270270270236</v>
      </c>
      <c r="AO42" s="563"/>
      <c r="AP42" s="564">
        <v>1013.4</v>
      </c>
      <c r="AQ42" s="565">
        <f t="shared" ref="AQ42:AQ57" si="108">+IFERROR(AP42/AO42%,)</f>
        <v>0</v>
      </c>
      <c r="AR42" s="564">
        <v>1041</v>
      </c>
      <c r="AS42" s="566">
        <f t="shared" ref="AS42:AS59" si="109">+IFERROR((AP42-AR42)/AR42%,)</f>
        <v>-2.6512968299711837</v>
      </c>
    </row>
    <row r="43" spans="2:45" ht="16" thickBot="1" x14ac:dyDescent="0.4">
      <c r="B43" s="803" t="s">
        <v>128</v>
      </c>
      <c r="C43" s="804"/>
      <c r="D43" s="280"/>
      <c r="E43" s="261">
        <f>E42/E$2</f>
        <v>18.033333333333335</v>
      </c>
      <c r="F43" s="475"/>
      <c r="G43" s="261">
        <f t="shared" ref="G43" si="110">G42/G$2</f>
        <v>17.903225806451612</v>
      </c>
      <c r="H43" s="475"/>
      <c r="I43" s="758">
        <f t="shared" ref="I43" si="111">I42/I$2</f>
        <v>18.066666666666666</v>
      </c>
      <c r="J43" s="475"/>
      <c r="K43" s="261">
        <f t="shared" ref="K43" si="112">K42/K$2</f>
        <v>17.161290322580644</v>
      </c>
      <c r="L43" s="475"/>
      <c r="M43" s="261">
        <f t="shared" ref="M43" si="113">M42/M$2</f>
        <v>15.225806451612904</v>
      </c>
      <c r="N43" s="475"/>
      <c r="O43" s="261">
        <f t="shared" ref="O43" si="114">O42/O$2</f>
        <v>14.233333333333333</v>
      </c>
      <c r="P43" s="475"/>
      <c r="Q43" s="261">
        <f t="shared" ref="Q43" si="115">Q42/Q$2</f>
        <v>16.225806451612904</v>
      </c>
      <c r="R43" s="475"/>
      <c r="S43" s="261">
        <f t="shared" ref="S43" si="116">S42/S$2</f>
        <v>17.633333333333333</v>
      </c>
      <c r="T43" s="475"/>
      <c r="U43" s="261">
        <f t="shared" ref="U43" si="117">U42/U$2</f>
        <v>16.35483870967742</v>
      </c>
      <c r="V43" s="475"/>
      <c r="W43" s="261">
        <f t="shared" ref="W43" si="118">W42/W$2</f>
        <v>18.93548387096774</v>
      </c>
      <c r="X43" s="475"/>
      <c r="Y43" s="261">
        <f t="shared" ref="Y43" si="119">Y42/Y$2</f>
        <v>19.862068965517242</v>
      </c>
      <c r="Z43" s="475"/>
      <c r="AA43" s="261">
        <f t="shared" ref="AA43" si="120">AA42/AA$2</f>
        <v>17.903225806451612</v>
      </c>
      <c r="AB43" s="255">
        <f>AB42/AC$2</f>
        <v>22.208955223880597</v>
      </c>
      <c r="AC43" s="255">
        <f>AC42/AC$2</f>
        <v>18.883582089552238</v>
      </c>
      <c r="AD43" s="2">
        <f>+AD42/91</f>
        <v>18</v>
      </c>
      <c r="AE43" s="2">
        <f>+AE42/92</f>
        <v>15.554347826086957</v>
      </c>
      <c r="AF43" s="2">
        <f>+AF42/92</f>
        <v>16.728260869565219</v>
      </c>
      <c r="AG43" s="2">
        <f t="shared" ref="AG43" si="121">+AG42/91</f>
        <v>18.87912087912088</v>
      </c>
      <c r="AH43" s="823"/>
      <c r="AI43" s="567" t="s">
        <v>46</v>
      </c>
      <c r="AJ43" s="549">
        <v>160</v>
      </c>
      <c r="AK43" s="568">
        <f>SUM(AK41:AK42)</f>
        <v>152</v>
      </c>
      <c r="AL43" s="550">
        <f>+IFERROR(AK43/AJ43%,)</f>
        <v>95</v>
      </c>
      <c r="AM43" s="568">
        <f>SUM(AM41:AM42)</f>
        <v>145</v>
      </c>
      <c r="AN43" s="551">
        <f t="shared" si="107"/>
        <v>4.8275862068965516</v>
      </c>
      <c r="AO43" s="549">
        <f>1852+160</f>
        <v>2012</v>
      </c>
      <c r="AP43" s="568">
        <f>SUM(AP41:AP42)</f>
        <v>1662</v>
      </c>
      <c r="AQ43" s="550">
        <f t="shared" si="108"/>
        <v>82.604373757455264</v>
      </c>
      <c r="AR43" s="568">
        <f>SUM(AR41:AR42)</f>
        <v>1629</v>
      </c>
      <c r="AS43" s="551">
        <f t="shared" si="109"/>
        <v>2.0257826887661143</v>
      </c>
    </row>
    <row r="44" spans="2:45" ht="15.5" x14ac:dyDescent="0.35">
      <c r="AH44" s="824" t="s">
        <v>2</v>
      </c>
      <c r="AI44" s="569" t="s">
        <v>199</v>
      </c>
      <c r="AJ44" s="570"/>
      <c r="AK44" s="559">
        <v>28.3</v>
      </c>
      <c r="AL44" s="535"/>
      <c r="AM44" s="559">
        <v>27.2</v>
      </c>
      <c r="AN44" s="561">
        <f t="shared" si="107"/>
        <v>4.0441176470588287</v>
      </c>
      <c r="AO44" s="570"/>
      <c r="AP44" s="559">
        <v>372.3</v>
      </c>
      <c r="AQ44" s="535">
        <f t="shared" si="108"/>
        <v>0</v>
      </c>
      <c r="AR44" s="559">
        <v>360</v>
      </c>
      <c r="AS44" s="561">
        <f t="shared" si="109"/>
        <v>3.4166666666666696</v>
      </c>
    </row>
    <row r="45" spans="2:45" ht="16" thickBot="1" x14ac:dyDescent="0.4">
      <c r="C45" s="759" t="s">
        <v>239</v>
      </c>
      <c r="E45" s="2">
        <f>+E22+E26</f>
        <v>37</v>
      </c>
      <c r="G45" s="2">
        <f>+G22+G26</f>
        <v>49</v>
      </c>
      <c r="I45" s="2">
        <f>+I22+I26</f>
        <v>65</v>
      </c>
      <c r="K45" s="2">
        <f>+K22+K26</f>
        <v>57</v>
      </c>
      <c r="M45" s="2">
        <f>+M22+M26</f>
        <v>50</v>
      </c>
      <c r="O45" s="2">
        <f>+O22+O26</f>
        <v>59</v>
      </c>
      <c r="Q45" s="2">
        <f>+Q22+Q26</f>
        <v>78</v>
      </c>
      <c r="S45" s="2">
        <f>+S22+S26</f>
        <v>80</v>
      </c>
      <c r="U45" s="2">
        <f>+U22+U26</f>
        <v>98</v>
      </c>
      <c r="W45" s="2">
        <f>+W22+W26</f>
        <v>99</v>
      </c>
      <c r="Y45" s="2">
        <f>+Y22+Y26</f>
        <v>101</v>
      </c>
      <c r="AA45" s="2">
        <f>+AA22+AA26</f>
        <v>71</v>
      </c>
      <c r="AC45" s="2">
        <f>+AC22+AC26</f>
        <v>844</v>
      </c>
      <c r="AH45" s="825"/>
      <c r="AI45" s="562" t="s">
        <v>200</v>
      </c>
      <c r="AJ45" s="571"/>
      <c r="AK45" s="564">
        <v>49.7</v>
      </c>
      <c r="AL45" s="572"/>
      <c r="AM45" s="564">
        <v>45.8</v>
      </c>
      <c r="AN45" s="566">
        <f t="shared" si="107"/>
        <v>8.5152838427947728</v>
      </c>
      <c r="AO45" s="571"/>
      <c r="AP45" s="564">
        <v>645.69999999999993</v>
      </c>
      <c r="AQ45" s="572">
        <f t="shared" si="108"/>
        <v>0</v>
      </c>
      <c r="AR45" s="564">
        <v>708</v>
      </c>
      <c r="AS45" s="566">
        <f t="shared" si="109"/>
        <v>-8.7994350282485971</v>
      </c>
    </row>
    <row r="46" spans="2:45" ht="16" thickBot="1" x14ac:dyDescent="0.4">
      <c r="Y46" s="2">
        <f>+Y45/29</f>
        <v>3.4827586206896552</v>
      </c>
      <c r="AH46" s="826"/>
      <c r="AI46" s="567" t="s">
        <v>46</v>
      </c>
      <c r="AJ46" s="549">
        <v>120</v>
      </c>
      <c r="AK46" s="568">
        <f>SUM(AK44:AK45)</f>
        <v>78</v>
      </c>
      <c r="AL46" s="550">
        <f>+IFERROR(AK46/AJ46%,)</f>
        <v>65</v>
      </c>
      <c r="AM46" s="568">
        <f>SUM(AM44:AM45)</f>
        <v>73</v>
      </c>
      <c r="AN46" s="551">
        <f t="shared" si="107"/>
        <v>6.8493150684931505</v>
      </c>
      <c r="AO46" s="549">
        <f>1058+120</f>
        <v>1178</v>
      </c>
      <c r="AP46" s="568">
        <f>SUM(AP44:AP45)</f>
        <v>1018</v>
      </c>
      <c r="AQ46" s="550">
        <f t="shared" si="108"/>
        <v>86.417657045840414</v>
      </c>
      <c r="AR46" s="568">
        <f>SUM(AR44:AR45)</f>
        <v>1068</v>
      </c>
      <c r="AS46" s="551">
        <f t="shared" si="109"/>
        <v>-4.6816479400749067</v>
      </c>
    </row>
    <row r="47" spans="2:45" ht="16" thickBot="1" x14ac:dyDescent="0.4">
      <c r="AH47" s="827" t="s">
        <v>3</v>
      </c>
      <c r="AI47" s="569" t="s">
        <v>199</v>
      </c>
      <c r="AJ47" s="570"/>
      <c r="AK47" s="559">
        <v>58</v>
      </c>
      <c r="AL47" s="535"/>
      <c r="AM47" s="559">
        <v>59</v>
      </c>
      <c r="AN47" s="561">
        <f t="shared" si="107"/>
        <v>-1.6949152542372883</v>
      </c>
      <c r="AO47" s="570"/>
      <c r="AP47" s="559">
        <v>642.70000000000005</v>
      </c>
      <c r="AQ47" s="535">
        <f t="shared" si="108"/>
        <v>0</v>
      </c>
      <c r="AR47" s="559">
        <v>619</v>
      </c>
      <c r="AS47" s="561">
        <f t="shared" si="109"/>
        <v>3.8287560581583269</v>
      </c>
    </row>
    <row r="48" spans="2:45" ht="16" thickBot="1" x14ac:dyDescent="0.4">
      <c r="D48" s="807">
        <v>43556</v>
      </c>
      <c r="E48" s="808"/>
      <c r="F48" s="807">
        <v>43586</v>
      </c>
      <c r="G48" s="808"/>
      <c r="H48" s="807">
        <v>43619</v>
      </c>
      <c r="I48" s="808"/>
      <c r="J48" s="807">
        <v>43647</v>
      </c>
      <c r="K48" s="808"/>
      <c r="L48" s="807">
        <v>43678</v>
      </c>
      <c r="M48" s="808"/>
      <c r="N48" s="807">
        <v>43709</v>
      </c>
      <c r="O48" s="808"/>
      <c r="P48" s="807">
        <v>43739</v>
      </c>
      <c r="Q48" s="808"/>
      <c r="R48" s="807">
        <v>43770</v>
      </c>
      <c r="S48" s="808"/>
      <c r="T48" s="807">
        <v>43800</v>
      </c>
      <c r="U48" s="808"/>
      <c r="V48" s="807">
        <v>43831</v>
      </c>
      <c r="W48" s="808"/>
      <c r="X48" s="807">
        <v>43863</v>
      </c>
      <c r="Y48" s="808"/>
      <c r="Z48" s="807">
        <v>43893</v>
      </c>
      <c r="AA48" s="808"/>
      <c r="AB48" s="807" t="s">
        <v>181</v>
      </c>
      <c r="AC48" s="808"/>
      <c r="AE48" s="388"/>
      <c r="AH48" s="828"/>
      <c r="AI48" s="562" t="s">
        <v>200</v>
      </c>
      <c r="AJ48" s="571"/>
      <c r="AK48" s="564">
        <v>103</v>
      </c>
      <c r="AL48" s="572"/>
      <c r="AM48" s="564">
        <v>93</v>
      </c>
      <c r="AN48" s="566">
        <f t="shared" si="107"/>
        <v>10.75268817204301</v>
      </c>
      <c r="AO48" s="571"/>
      <c r="AP48" s="564">
        <v>1002.3</v>
      </c>
      <c r="AQ48" s="572">
        <f t="shared" si="108"/>
        <v>0</v>
      </c>
      <c r="AR48" s="564">
        <v>1014</v>
      </c>
      <c r="AS48" s="566">
        <f t="shared" si="109"/>
        <v>-1.1538461538461582</v>
      </c>
    </row>
    <row r="49" spans="2:45" ht="16" thickBot="1" x14ac:dyDescent="0.4">
      <c r="B49" s="192"/>
      <c r="C49" s="193"/>
      <c r="D49" s="407" t="s">
        <v>153</v>
      </c>
      <c r="E49" s="407" t="s">
        <v>154</v>
      </c>
      <c r="F49" s="407" t="s">
        <v>153</v>
      </c>
      <c r="G49" s="407" t="s">
        <v>154</v>
      </c>
      <c r="H49" s="407" t="s">
        <v>153</v>
      </c>
      <c r="I49" s="407" t="s">
        <v>154</v>
      </c>
      <c r="J49" s="407" t="s">
        <v>153</v>
      </c>
      <c r="K49" s="407" t="s">
        <v>154</v>
      </c>
      <c r="L49" s="407" t="s">
        <v>153</v>
      </c>
      <c r="M49" s="407" t="s">
        <v>154</v>
      </c>
      <c r="N49" s="407" t="s">
        <v>153</v>
      </c>
      <c r="O49" s="407" t="s">
        <v>154</v>
      </c>
      <c r="P49" s="407" t="s">
        <v>153</v>
      </c>
      <c r="Q49" s="407" t="s">
        <v>154</v>
      </c>
      <c r="R49" s="407" t="s">
        <v>153</v>
      </c>
      <c r="S49" s="407" t="s">
        <v>154</v>
      </c>
      <c r="T49" s="407" t="s">
        <v>153</v>
      </c>
      <c r="U49" s="407" t="s">
        <v>154</v>
      </c>
      <c r="V49" s="407" t="s">
        <v>153</v>
      </c>
      <c r="W49" s="407" t="s">
        <v>154</v>
      </c>
      <c r="X49" s="407" t="s">
        <v>153</v>
      </c>
      <c r="Y49" s="407" t="s">
        <v>154</v>
      </c>
      <c r="Z49" s="407" t="s">
        <v>153</v>
      </c>
      <c r="AA49" s="407" t="s">
        <v>154</v>
      </c>
      <c r="AB49" s="407" t="s">
        <v>153</v>
      </c>
      <c r="AC49" s="407" t="s">
        <v>154</v>
      </c>
      <c r="AE49" s="229"/>
      <c r="AH49" s="829"/>
      <c r="AI49" s="567" t="s">
        <v>46</v>
      </c>
      <c r="AJ49" s="549">
        <v>190</v>
      </c>
      <c r="AK49" s="568">
        <f>SUM(AK47:AK48)</f>
        <v>161</v>
      </c>
      <c r="AL49" s="550">
        <f>+IFERROR(AK49/AJ49%,)</f>
        <v>84.736842105263165</v>
      </c>
      <c r="AM49" s="568">
        <f>SUM(AM47:AM48)</f>
        <v>152</v>
      </c>
      <c r="AN49" s="551">
        <f t="shared" si="107"/>
        <v>5.9210526315789469</v>
      </c>
      <c r="AO49" s="549">
        <f>1548+190</f>
        <v>1738</v>
      </c>
      <c r="AP49" s="568">
        <f>SUM(AP47:AP48)</f>
        <v>1645</v>
      </c>
      <c r="AQ49" s="550">
        <f t="shared" si="108"/>
        <v>94.649021864211747</v>
      </c>
      <c r="AR49" s="568">
        <f>SUM(AR47:AR48)</f>
        <v>1633</v>
      </c>
      <c r="AS49" s="551">
        <f t="shared" si="109"/>
        <v>0.73484384568279248</v>
      </c>
    </row>
    <row r="50" spans="2:45" ht="15.5" x14ac:dyDescent="0.35">
      <c r="B50" s="809" t="s">
        <v>1</v>
      </c>
      <c r="C50" s="226" t="s">
        <v>90</v>
      </c>
      <c r="D50" s="792">
        <v>195</v>
      </c>
      <c r="E50" s="210">
        <v>63</v>
      </c>
      <c r="F50" s="792">
        <v>195</v>
      </c>
      <c r="G50" s="210">
        <v>71.5</v>
      </c>
      <c r="H50" s="792">
        <v>195</v>
      </c>
      <c r="I50" s="210">
        <v>62.4</v>
      </c>
      <c r="J50" s="792">
        <v>189</v>
      </c>
      <c r="K50" s="210">
        <v>71.400000000000006</v>
      </c>
      <c r="L50" s="792">
        <v>189</v>
      </c>
      <c r="M50" s="227">
        <v>49</v>
      </c>
      <c r="N50" s="792">
        <v>189</v>
      </c>
      <c r="O50" s="227">
        <v>46.4</v>
      </c>
      <c r="P50" s="792">
        <v>180</v>
      </c>
      <c r="Q50" s="227">
        <v>53.1</v>
      </c>
      <c r="R50" s="792">
        <v>180</v>
      </c>
      <c r="S50" s="227">
        <v>49.3</v>
      </c>
      <c r="T50" s="792">
        <v>180</v>
      </c>
      <c r="U50" s="227">
        <v>53.4</v>
      </c>
      <c r="V50" s="792">
        <v>160</v>
      </c>
      <c r="W50" s="227">
        <v>60.2</v>
      </c>
      <c r="X50" s="792">
        <v>160</v>
      </c>
      <c r="Y50" s="227">
        <v>67.900000000000006</v>
      </c>
      <c r="Z50" s="792">
        <v>160</v>
      </c>
      <c r="AA50" s="227">
        <v>62.3</v>
      </c>
      <c r="AB50" s="792">
        <f>D50+F50+H50+J50+L50+N50+P50+R50+T50+V50+X50+Z50</f>
        <v>2172</v>
      </c>
      <c r="AC50" s="228">
        <f>E50+G50+I50+K50+M50+O50+Q50+S50+U50+W50+Y50+AA50</f>
        <v>709.9</v>
      </c>
      <c r="AE50" s="388"/>
      <c r="AH50" s="827" t="s">
        <v>4</v>
      </c>
      <c r="AI50" s="569" t="s">
        <v>199</v>
      </c>
      <c r="AJ50" s="570"/>
      <c r="AK50" s="559">
        <v>32.700000000000003</v>
      </c>
      <c r="AL50" s="535"/>
      <c r="AM50" s="559">
        <v>34.6</v>
      </c>
      <c r="AN50" s="561">
        <f t="shared" si="107"/>
        <v>-5.4913294797687815</v>
      </c>
      <c r="AO50" s="570"/>
      <c r="AP50" s="559">
        <v>290.10000000000002</v>
      </c>
      <c r="AQ50" s="535">
        <f t="shared" si="108"/>
        <v>0</v>
      </c>
      <c r="AR50" s="559">
        <v>305</v>
      </c>
      <c r="AS50" s="561">
        <f t="shared" si="109"/>
        <v>-4.8852459016393368</v>
      </c>
    </row>
    <row r="51" spans="2:45" ht="16" thickBot="1" x14ac:dyDescent="0.4">
      <c r="B51" s="809"/>
      <c r="C51" s="226" t="s">
        <v>92</v>
      </c>
      <c r="D51" s="792"/>
      <c r="E51" s="210">
        <v>122</v>
      </c>
      <c r="F51" s="792"/>
      <c r="G51" s="210">
        <v>101.5</v>
      </c>
      <c r="H51" s="792"/>
      <c r="I51" s="210">
        <v>105.6</v>
      </c>
      <c r="J51" s="792"/>
      <c r="K51" s="210">
        <v>95.6</v>
      </c>
      <c r="L51" s="792"/>
      <c r="M51" s="227">
        <v>90</v>
      </c>
      <c r="N51" s="792"/>
      <c r="O51" s="227">
        <v>75.599999999999994</v>
      </c>
      <c r="P51" s="792"/>
      <c r="Q51" s="227">
        <v>94.9</v>
      </c>
      <c r="R51" s="792"/>
      <c r="S51" s="227">
        <v>87.7</v>
      </c>
      <c r="T51" s="792"/>
      <c r="U51" s="227">
        <v>74.599999999999994</v>
      </c>
      <c r="V51" s="792"/>
      <c r="W51" s="227">
        <v>87.8</v>
      </c>
      <c r="X51" s="792"/>
      <c r="Y51" s="227">
        <v>79.099999999999994</v>
      </c>
      <c r="Z51" s="792"/>
      <c r="AA51" s="227">
        <v>89.7</v>
      </c>
      <c r="AB51" s="792"/>
      <c r="AC51" s="228">
        <f t="shared" ref="AC51:AC59" si="122">E51+G51+I51+K51+M51+O51+Q51+S51+U51+W51+Y51+AA51</f>
        <v>1104.1000000000001</v>
      </c>
      <c r="AE51" s="504"/>
      <c r="AH51" s="828"/>
      <c r="AI51" s="562" t="s">
        <v>200</v>
      </c>
      <c r="AJ51" s="571"/>
      <c r="AK51" s="564">
        <v>95.3</v>
      </c>
      <c r="AL51" s="572"/>
      <c r="AM51" s="564">
        <v>85.4</v>
      </c>
      <c r="AN51" s="566">
        <f t="shared" si="107"/>
        <v>11.592505854800926</v>
      </c>
      <c r="AO51" s="571"/>
      <c r="AP51" s="564">
        <v>888.90000000000009</v>
      </c>
      <c r="AQ51" s="572">
        <f t="shared" si="108"/>
        <v>0</v>
      </c>
      <c r="AR51" s="564">
        <v>769</v>
      </c>
      <c r="AS51" s="566">
        <f t="shared" si="109"/>
        <v>15.591677503250986</v>
      </c>
    </row>
    <row r="52" spans="2:45" ht="16" thickBot="1" x14ac:dyDescent="0.4">
      <c r="B52" s="809" t="s">
        <v>2</v>
      </c>
      <c r="C52" s="226" t="s">
        <v>90</v>
      </c>
      <c r="D52" s="792">
        <v>105</v>
      </c>
      <c r="E52" s="210">
        <v>32.4</v>
      </c>
      <c r="F52" s="792">
        <v>105</v>
      </c>
      <c r="G52" s="210">
        <v>28.6</v>
      </c>
      <c r="H52" s="792">
        <v>105</v>
      </c>
      <c r="I52" s="210">
        <v>40.4</v>
      </c>
      <c r="J52" s="792">
        <v>111</v>
      </c>
      <c r="K52" s="210">
        <v>30</v>
      </c>
      <c r="L52" s="792">
        <v>111</v>
      </c>
      <c r="M52" s="227">
        <v>36.700000000000003</v>
      </c>
      <c r="N52" s="792">
        <v>111</v>
      </c>
      <c r="O52" s="227">
        <v>28.8</v>
      </c>
      <c r="P52" s="792">
        <v>105</v>
      </c>
      <c r="Q52" s="227">
        <v>33.5</v>
      </c>
      <c r="R52" s="792">
        <v>105</v>
      </c>
      <c r="S52" s="227">
        <v>36.799999999999997</v>
      </c>
      <c r="T52" s="792">
        <v>105</v>
      </c>
      <c r="U52" s="227">
        <v>32.6</v>
      </c>
      <c r="V52" s="792">
        <v>120</v>
      </c>
      <c r="W52" s="227">
        <v>38.299999999999997</v>
      </c>
      <c r="X52" s="792">
        <v>120</v>
      </c>
      <c r="Y52" s="227">
        <v>34.200000000000003</v>
      </c>
      <c r="Z52" s="792">
        <v>120</v>
      </c>
      <c r="AA52" s="227">
        <v>28.3</v>
      </c>
      <c r="AB52" s="792">
        <f t="shared" ref="AB52" si="123">D52+F52+H52+J52+L52+N52+P52+R52+T52+V52+X52+Z52</f>
        <v>1323</v>
      </c>
      <c r="AC52" s="228">
        <f t="shared" si="122"/>
        <v>400.60000000000008</v>
      </c>
      <c r="AE52" s="504"/>
      <c r="AH52" s="829"/>
      <c r="AI52" s="567" t="s">
        <v>46</v>
      </c>
      <c r="AJ52" s="549">
        <v>130</v>
      </c>
      <c r="AK52" s="568">
        <f>SUM(AK50:AK51)</f>
        <v>128</v>
      </c>
      <c r="AL52" s="550">
        <f>+IFERROR(AK52/AJ52%,)</f>
        <v>98.461538461538453</v>
      </c>
      <c r="AM52" s="568">
        <f>SUM(AM50:AM51)</f>
        <v>120</v>
      </c>
      <c r="AN52" s="551">
        <f t="shared" si="107"/>
        <v>6.666666666666667</v>
      </c>
      <c r="AO52" s="549">
        <f>1317+130</f>
        <v>1447</v>
      </c>
      <c r="AP52" s="568">
        <f>SUM(AP50:AP51)</f>
        <v>1179</v>
      </c>
      <c r="AQ52" s="550">
        <f t="shared" si="108"/>
        <v>81.478921907394607</v>
      </c>
      <c r="AR52" s="568">
        <f>SUM(AR50:AR51)</f>
        <v>1074</v>
      </c>
      <c r="AS52" s="551">
        <f t="shared" si="109"/>
        <v>9.7765363128491618</v>
      </c>
    </row>
    <row r="53" spans="2:45" ht="15.5" x14ac:dyDescent="0.35">
      <c r="B53" s="809"/>
      <c r="C53" s="226" t="s">
        <v>92</v>
      </c>
      <c r="D53" s="792"/>
      <c r="E53" s="210">
        <v>57.6</v>
      </c>
      <c r="F53" s="792"/>
      <c r="G53" s="210">
        <v>67.400000000000006</v>
      </c>
      <c r="H53" s="792"/>
      <c r="I53" s="210">
        <v>66.599999999999994</v>
      </c>
      <c r="J53" s="792"/>
      <c r="K53" s="210">
        <v>58</v>
      </c>
      <c r="L53" s="792"/>
      <c r="M53" s="227">
        <v>56.3</v>
      </c>
      <c r="N53" s="792"/>
      <c r="O53" s="227">
        <v>43.2</v>
      </c>
      <c r="P53" s="792"/>
      <c r="Q53" s="227">
        <v>55.5</v>
      </c>
      <c r="R53" s="792"/>
      <c r="S53" s="227">
        <v>62.2</v>
      </c>
      <c r="T53" s="792"/>
      <c r="U53" s="227">
        <v>56.4</v>
      </c>
      <c r="V53" s="792"/>
      <c r="W53" s="227">
        <v>62.7</v>
      </c>
      <c r="X53" s="792"/>
      <c r="Y53" s="227">
        <v>59.8</v>
      </c>
      <c r="Z53" s="792"/>
      <c r="AA53" s="227">
        <v>49.7</v>
      </c>
      <c r="AB53" s="792"/>
      <c r="AC53" s="228">
        <f t="shared" si="122"/>
        <v>695.4</v>
      </c>
      <c r="AE53" s="504"/>
      <c r="AH53" s="827" t="s">
        <v>48</v>
      </c>
      <c r="AI53" s="569" t="s">
        <v>199</v>
      </c>
      <c r="AJ53" s="573"/>
      <c r="AK53" s="574">
        <v>0</v>
      </c>
      <c r="AL53" s="535"/>
      <c r="AM53" s="559"/>
      <c r="AN53" s="561">
        <f t="shared" si="107"/>
        <v>0</v>
      </c>
      <c r="AO53" s="573"/>
      <c r="AP53" s="574">
        <v>0</v>
      </c>
      <c r="AQ53" s="535">
        <f t="shared" si="108"/>
        <v>0</v>
      </c>
      <c r="AR53" s="559"/>
      <c r="AS53" s="561">
        <f t="shared" si="109"/>
        <v>0</v>
      </c>
    </row>
    <row r="54" spans="2:45" ht="16" thickBot="1" x14ac:dyDescent="0.4">
      <c r="B54" s="809" t="s">
        <v>3</v>
      </c>
      <c r="C54" s="226" t="s">
        <v>90</v>
      </c>
      <c r="D54" s="792">
        <v>165</v>
      </c>
      <c r="E54" s="210">
        <v>56</v>
      </c>
      <c r="F54" s="792">
        <v>165</v>
      </c>
      <c r="G54" s="210">
        <v>65</v>
      </c>
      <c r="H54" s="792">
        <v>165</v>
      </c>
      <c r="I54" s="210">
        <v>58</v>
      </c>
      <c r="J54" s="792">
        <v>156</v>
      </c>
      <c r="K54" s="210">
        <v>61.2</v>
      </c>
      <c r="L54" s="792">
        <v>156</v>
      </c>
      <c r="M54" s="227">
        <v>42</v>
      </c>
      <c r="N54" s="792">
        <v>156</v>
      </c>
      <c r="O54" s="227">
        <v>43.9</v>
      </c>
      <c r="P54" s="792">
        <v>140</v>
      </c>
      <c r="Q54" s="227">
        <v>54.6</v>
      </c>
      <c r="R54" s="792">
        <v>140</v>
      </c>
      <c r="S54" s="227">
        <v>61</v>
      </c>
      <c r="T54" s="792">
        <v>140</v>
      </c>
      <c r="U54" s="227">
        <v>66</v>
      </c>
      <c r="V54" s="792">
        <v>190</v>
      </c>
      <c r="W54" s="227">
        <v>67</v>
      </c>
      <c r="X54" s="792">
        <v>190</v>
      </c>
      <c r="Y54" s="227">
        <v>68</v>
      </c>
      <c r="Z54" s="792">
        <v>190</v>
      </c>
      <c r="AA54" s="227">
        <v>58</v>
      </c>
      <c r="AB54" s="792">
        <f t="shared" ref="AB54" si="124">D54+F54+H54+J54+L54+N54+P54+R54+T54+V54+X54+Z54</f>
        <v>1953</v>
      </c>
      <c r="AC54" s="228">
        <f t="shared" si="122"/>
        <v>700.7</v>
      </c>
      <c r="AE54" s="504"/>
      <c r="AH54" s="828"/>
      <c r="AI54" s="562" t="s">
        <v>200</v>
      </c>
      <c r="AJ54" s="571"/>
      <c r="AK54" s="564">
        <v>28</v>
      </c>
      <c r="AL54" s="572"/>
      <c r="AM54" s="564">
        <v>5</v>
      </c>
      <c r="AN54" s="566">
        <f t="shared" si="107"/>
        <v>460</v>
      </c>
      <c r="AO54" s="571"/>
      <c r="AP54" s="564">
        <v>267</v>
      </c>
      <c r="AQ54" s="572">
        <f t="shared" si="108"/>
        <v>0</v>
      </c>
      <c r="AR54" s="564">
        <v>23</v>
      </c>
      <c r="AS54" s="566">
        <f t="shared" si="109"/>
        <v>1060.8695652173913</v>
      </c>
    </row>
    <row r="55" spans="2:45" ht="16" thickBot="1" x14ac:dyDescent="0.4">
      <c r="B55" s="809"/>
      <c r="C55" s="226" t="s">
        <v>92</v>
      </c>
      <c r="D55" s="792"/>
      <c r="E55" s="210">
        <f>160-E54</f>
        <v>104</v>
      </c>
      <c r="F55" s="792"/>
      <c r="G55" s="210">
        <v>108</v>
      </c>
      <c r="H55" s="792"/>
      <c r="I55" s="210">
        <v>86</v>
      </c>
      <c r="J55" s="792"/>
      <c r="K55" s="210">
        <v>84.8</v>
      </c>
      <c r="L55" s="792"/>
      <c r="M55" s="227">
        <v>66</v>
      </c>
      <c r="N55" s="792"/>
      <c r="O55" s="227">
        <v>79.099999999999994</v>
      </c>
      <c r="P55" s="792"/>
      <c r="Q55" s="227">
        <v>95.4</v>
      </c>
      <c r="R55" s="792"/>
      <c r="S55" s="227">
        <v>83</v>
      </c>
      <c r="T55" s="792"/>
      <c r="U55" s="227">
        <v>89</v>
      </c>
      <c r="V55" s="792"/>
      <c r="W55" s="227">
        <v>100</v>
      </c>
      <c r="X55" s="792"/>
      <c r="Y55" s="227">
        <v>107</v>
      </c>
      <c r="Z55" s="792"/>
      <c r="AA55" s="227">
        <v>103</v>
      </c>
      <c r="AB55" s="792"/>
      <c r="AC55" s="228">
        <f t="shared" si="122"/>
        <v>1105.3</v>
      </c>
      <c r="AE55" s="504"/>
      <c r="AH55" s="828"/>
      <c r="AI55" s="567" t="s">
        <v>46</v>
      </c>
      <c r="AJ55" s="575">
        <v>50</v>
      </c>
      <c r="AK55" s="576">
        <f>SUM(AK53:AK54)</f>
        <v>28</v>
      </c>
      <c r="AL55" s="577">
        <f>+IFERROR(AK55/AJ55%,)</f>
        <v>56</v>
      </c>
      <c r="AM55" s="576">
        <f>SUM(AM53:AM54)</f>
        <v>5</v>
      </c>
      <c r="AN55" s="578">
        <f t="shared" si="107"/>
        <v>460</v>
      </c>
      <c r="AO55" s="575">
        <f>285+50</f>
        <v>335</v>
      </c>
      <c r="AP55" s="576">
        <f>SUM(AP53:AP54)</f>
        <v>267</v>
      </c>
      <c r="AQ55" s="577">
        <f t="shared" si="108"/>
        <v>79.701492537313428</v>
      </c>
      <c r="AR55" s="576">
        <f>SUM(AR53:AR54)</f>
        <v>23</v>
      </c>
      <c r="AS55" s="578">
        <f t="shared" si="109"/>
        <v>1060.8695652173913</v>
      </c>
    </row>
    <row r="56" spans="2:45" ht="16" thickBot="1" x14ac:dyDescent="0.4">
      <c r="B56" s="809" t="s">
        <v>47</v>
      </c>
      <c r="C56" s="226" t="s">
        <v>90</v>
      </c>
      <c r="D56" s="792">
        <v>135</v>
      </c>
      <c r="E56" s="210">
        <v>28.1</v>
      </c>
      <c r="F56" s="792">
        <v>135</v>
      </c>
      <c r="G56" s="210">
        <v>23.5</v>
      </c>
      <c r="H56" s="792">
        <v>135</v>
      </c>
      <c r="I56" s="210">
        <v>16.7</v>
      </c>
      <c r="J56" s="792">
        <v>144</v>
      </c>
      <c r="K56" s="210">
        <v>31</v>
      </c>
      <c r="L56" s="792">
        <v>144</v>
      </c>
      <c r="M56" s="227">
        <v>30.7</v>
      </c>
      <c r="N56" s="792">
        <v>144</v>
      </c>
      <c r="O56" s="227">
        <v>19.100000000000001</v>
      </c>
      <c r="P56" s="792">
        <v>120</v>
      </c>
      <c r="Q56" s="227">
        <v>24.5</v>
      </c>
      <c r="R56" s="792">
        <v>120</v>
      </c>
      <c r="S56" s="227">
        <v>31.1</v>
      </c>
      <c r="T56" s="792">
        <v>120</v>
      </c>
      <c r="U56" s="227">
        <v>26.1</v>
      </c>
      <c r="V56" s="792">
        <v>130</v>
      </c>
      <c r="W56" s="227">
        <v>30</v>
      </c>
      <c r="X56" s="792">
        <v>130</v>
      </c>
      <c r="Y56" s="227">
        <v>29.3</v>
      </c>
      <c r="Z56" s="792">
        <v>130</v>
      </c>
      <c r="AA56" s="227">
        <v>32.700000000000003</v>
      </c>
      <c r="AB56" s="792">
        <f t="shared" ref="AB56" si="125">D56+F56+H56+J56+L56+N56+P56+R56+T56+V56+X56+Z56</f>
        <v>1587</v>
      </c>
      <c r="AC56" s="228">
        <f t="shared" si="122"/>
        <v>322.79999999999995</v>
      </c>
      <c r="AE56" s="504"/>
      <c r="AH56" s="579" t="s">
        <v>182</v>
      </c>
      <c r="AI56" s="562" t="s">
        <v>200</v>
      </c>
      <c r="AJ56" s="575"/>
      <c r="AK56" s="576">
        <v>8</v>
      </c>
      <c r="AL56" s="577"/>
      <c r="AM56" s="576"/>
      <c r="AN56" s="578"/>
      <c r="AO56" s="575"/>
      <c r="AP56" s="576">
        <v>8</v>
      </c>
      <c r="AQ56" s="577"/>
      <c r="AR56" s="576"/>
      <c r="AS56" s="578"/>
    </row>
    <row r="57" spans="2:45" ht="15.5" x14ac:dyDescent="0.35">
      <c r="B57" s="809"/>
      <c r="C57" s="226" t="s">
        <v>92</v>
      </c>
      <c r="D57" s="792"/>
      <c r="E57" s="210">
        <f>84-E56</f>
        <v>55.9</v>
      </c>
      <c r="F57" s="792"/>
      <c r="G57" s="210">
        <v>63.5</v>
      </c>
      <c r="H57" s="792"/>
      <c r="I57" s="210">
        <v>91.3</v>
      </c>
      <c r="J57" s="792"/>
      <c r="K57" s="210">
        <v>84</v>
      </c>
      <c r="L57" s="792"/>
      <c r="M57" s="227">
        <v>84.3</v>
      </c>
      <c r="N57" s="792"/>
      <c r="O57" s="227">
        <v>76.900000000000006</v>
      </c>
      <c r="P57" s="792"/>
      <c r="Q57" s="227">
        <v>68.5</v>
      </c>
      <c r="R57" s="792"/>
      <c r="S57" s="227">
        <v>84.9</v>
      </c>
      <c r="T57" s="792"/>
      <c r="U57" s="227">
        <v>84.9</v>
      </c>
      <c r="V57" s="792"/>
      <c r="W57" s="227">
        <v>107</v>
      </c>
      <c r="X57" s="792"/>
      <c r="Y57" s="227">
        <v>87.7</v>
      </c>
      <c r="Z57" s="792"/>
      <c r="AA57" s="227">
        <v>95.3</v>
      </c>
      <c r="AB57" s="792"/>
      <c r="AC57" s="228">
        <f t="shared" si="122"/>
        <v>984.19999999999993</v>
      </c>
      <c r="AE57" s="504"/>
      <c r="AH57" s="820" t="s">
        <v>201</v>
      </c>
      <c r="AI57" s="580" t="s">
        <v>199</v>
      </c>
      <c r="AJ57" s="581"/>
      <c r="AK57" s="582">
        <f>+AK41+AK44+AK47+AK50+AK53</f>
        <v>181.3</v>
      </c>
      <c r="AL57" s="583"/>
      <c r="AM57" s="582">
        <f>+AM41+AM44+AM47+AM50+AM53</f>
        <v>173.29999999999998</v>
      </c>
      <c r="AN57" s="561">
        <f t="shared" si="107"/>
        <v>4.616272360069261</v>
      </c>
      <c r="AO57" s="581"/>
      <c r="AP57" s="582">
        <f>+AP41+AP44+AP47+AP50+AP53</f>
        <v>1953.7000000000003</v>
      </c>
      <c r="AQ57" s="583">
        <f t="shared" si="108"/>
        <v>0</v>
      </c>
      <c r="AR57" s="582">
        <f>+AR41+AR44+AR47+AR50+AR53</f>
        <v>1872</v>
      </c>
      <c r="AS57" s="561">
        <f t="shared" si="109"/>
        <v>4.3643162393162545</v>
      </c>
    </row>
    <row r="58" spans="2:45" ht="15.5" x14ac:dyDescent="0.35">
      <c r="B58" s="809" t="s">
        <v>48</v>
      </c>
      <c r="C58" s="226" t="s">
        <v>90</v>
      </c>
      <c r="D58" s="792">
        <v>30</v>
      </c>
      <c r="E58" s="210"/>
      <c r="F58" s="792">
        <v>30</v>
      </c>
      <c r="G58" s="210">
        <v>0</v>
      </c>
      <c r="H58" s="792">
        <v>30</v>
      </c>
      <c r="I58" s="210"/>
      <c r="J58" s="792">
        <v>30</v>
      </c>
      <c r="K58" s="210"/>
      <c r="L58" s="792">
        <v>30</v>
      </c>
      <c r="M58" s="227"/>
      <c r="N58" s="792">
        <v>30</v>
      </c>
      <c r="O58" s="227">
        <v>0</v>
      </c>
      <c r="P58" s="792">
        <v>25</v>
      </c>
      <c r="Q58" s="227">
        <v>0</v>
      </c>
      <c r="R58" s="792">
        <v>25</v>
      </c>
      <c r="S58" s="227">
        <v>0</v>
      </c>
      <c r="T58" s="792">
        <v>25</v>
      </c>
      <c r="U58" s="227">
        <v>0</v>
      </c>
      <c r="V58" s="792">
        <v>50</v>
      </c>
      <c r="W58" s="227">
        <v>0</v>
      </c>
      <c r="X58" s="792">
        <v>50</v>
      </c>
      <c r="Y58" s="227"/>
      <c r="Z58" s="792">
        <v>50</v>
      </c>
      <c r="AA58" s="227"/>
      <c r="AB58" s="792">
        <f t="shared" ref="AB58" si="126">D58+F58+H58+J58+L58+N58+P58+R58+T58+V58+X58+Z58</f>
        <v>405</v>
      </c>
      <c r="AC58" s="228">
        <f t="shared" si="122"/>
        <v>0</v>
      </c>
      <c r="AE58" s="504"/>
      <c r="AH58" s="821"/>
      <c r="AI58" s="584" t="s">
        <v>200</v>
      </c>
      <c r="AJ58" s="585"/>
      <c r="AK58" s="586">
        <f>+AK42+AK45+AK48+AK51+AK54</f>
        <v>365.7</v>
      </c>
      <c r="AL58" s="587"/>
      <c r="AM58" s="586">
        <f>+AM42+AM45+AM48+AM51+AM54</f>
        <v>321.70000000000005</v>
      </c>
      <c r="AN58" s="588">
        <f t="shared" si="107"/>
        <v>13.677339135840825</v>
      </c>
      <c r="AO58" s="585"/>
      <c r="AP58" s="586">
        <f>+AP42+AP45+AP48+AP51+AP54+AP56</f>
        <v>3825.2999999999997</v>
      </c>
      <c r="AQ58" s="587"/>
      <c r="AR58" s="586">
        <f>+AR42+AR45+AR48+AR51+AR54</f>
        <v>3555</v>
      </c>
      <c r="AS58" s="588">
        <f t="shared" si="109"/>
        <v>7.6033755274261532</v>
      </c>
    </row>
    <row r="59" spans="2:45" ht="16" thickBot="1" x14ac:dyDescent="0.4">
      <c r="B59" s="809"/>
      <c r="C59" s="226" t="s">
        <v>92</v>
      </c>
      <c r="D59" s="792"/>
      <c r="E59" s="210">
        <v>22</v>
      </c>
      <c r="F59" s="792"/>
      <c r="G59" s="210">
        <v>26</v>
      </c>
      <c r="H59" s="792"/>
      <c r="I59" s="210">
        <v>15</v>
      </c>
      <c r="J59" s="792"/>
      <c r="K59" s="210">
        <v>16</v>
      </c>
      <c r="L59" s="792"/>
      <c r="M59" s="227">
        <v>17</v>
      </c>
      <c r="N59" s="792"/>
      <c r="O59" s="227">
        <v>14</v>
      </c>
      <c r="P59" s="792"/>
      <c r="Q59" s="227">
        <v>23</v>
      </c>
      <c r="R59" s="792"/>
      <c r="S59" s="227">
        <v>33</v>
      </c>
      <c r="T59" s="792"/>
      <c r="U59" s="227">
        <v>24</v>
      </c>
      <c r="V59" s="792"/>
      <c r="W59" s="227">
        <v>34</v>
      </c>
      <c r="X59" s="792"/>
      <c r="Y59" s="227">
        <v>43</v>
      </c>
      <c r="Z59" s="792"/>
      <c r="AA59" s="227">
        <v>28</v>
      </c>
      <c r="AB59" s="792"/>
      <c r="AC59" s="228">
        <f t="shared" si="122"/>
        <v>295</v>
      </c>
      <c r="AE59" s="504"/>
      <c r="AH59" s="822"/>
      <c r="AI59" s="589" t="s">
        <v>46</v>
      </c>
      <c r="AJ59" s="590">
        <f>+AJ43+AJ46+AJ49+AJ52+AJ55</f>
        <v>650</v>
      </c>
      <c r="AK59" s="591">
        <f>+AK43+AK46+AK49+AK52+AK55+AK56</f>
        <v>555</v>
      </c>
      <c r="AL59" s="592">
        <f>+IFERROR(AK59/AJ59%,)</f>
        <v>85.384615384615387</v>
      </c>
      <c r="AM59" s="591">
        <f>+AM43+AM46+AM49+AM52+AM55</f>
        <v>495</v>
      </c>
      <c r="AN59" s="547">
        <f t="shared" si="107"/>
        <v>12.121212121212121</v>
      </c>
      <c r="AO59" s="590">
        <f>+AO43+AO46+AO49+AO52+AO55</f>
        <v>6710</v>
      </c>
      <c r="AP59" s="591">
        <f>+AP43+AP46+AP49+AP52+AP55</f>
        <v>5771</v>
      </c>
      <c r="AQ59" s="592">
        <f>+IFERROR(AP59/AO59%,)</f>
        <v>86.0059612518629</v>
      </c>
      <c r="AR59" s="591">
        <f>+AR43+AR46+AR49+AR52+AR55</f>
        <v>5427</v>
      </c>
      <c r="AS59" s="547">
        <f t="shared" si="109"/>
        <v>6.3386769854431542</v>
      </c>
    </row>
    <row r="60" spans="2:45" x14ac:dyDescent="0.35">
      <c r="B60" s="505" t="s">
        <v>182</v>
      </c>
      <c r="C60" s="208" t="s">
        <v>92</v>
      </c>
      <c r="D60" s="506"/>
      <c r="E60" s="210"/>
      <c r="F60" s="506"/>
      <c r="G60" s="210"/>
      <c r="H60" s="506"/>
      <c r="I60" s="210"/>
      <c r="J60" s="506"/>
      <c r="K60" s="210"/>
      <c r="L60" s="210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  <c r="AA60" s="227">
        <v>8</v>
      </c>
      <c r="AB60" s="227"/>
      <c r="AC60" s="227">
        <v>8</v>
      </c>
      <c r="AE60" s="504"/>
    </row>
    <row r="61" spans="2:45" x14ac:dyDescent="0.35">
      <c r="B61" s="813" t="s">
        <v>106</v>
      </c>
      <c r="C61" s="814"/>
      <c r="E61" s="203">
        <f t="shared" ref="E61:G62" si="127">E50+E52+E54+E56+E58</f>
        <v>179.5</v>
      </c>
      <c r="G61" s="203">
        <f t="shared" si="127"/>
        <v>188.6</v>
      </c>
      <c r="I61" s="203">
        <f t="shared" ref="I61:K61" si="128">I50+I52+I54+I56+I58</f>
        <v>177.5</v>
      </c>
      <c r="K61" s="203">
        <f t="shared" si="128"/>
        <v>193.60000000000002</v>
      </c>
      <c r="L61" s="203"/>
      <c r="M61" s="203">
        <f t="shared" ref="M61:O61" si="129">M50+M52+M54+M56+M58</f>
        <v>158.4</v>
      </c>
      <c r="N61" s="203"/>
      <c r="O61" s="203">
        <f t="shared" si="129"/>
        <v>138.19999999999999</v>
      </c>
      <c r="P61" s="203"/>
      <c r="Q61" s="203">
        <f t="shared" ref="Q61:S61" si="130">Q50+Q52+Q54+Q56+Q58</f>
        <v>165.7</v>
      </c>
      <c r="R61" s="203"/>
      <c r="S61" s="203">
        <f t="shared" si="130"/>
        <v>178.2</v>
      </c>
      <c r="T61" s="203"/>
      <c r="U61" s="203">
        <f>U50+U52+U54+U56+U58</f>
        <v>178.1</v>
      </c>
      <c r="V61" s="203"/>
      <c r="W61" s="203">
        <f>W50+W52+W54+W56+W58</f>
        <v>195.5</v>
      </c>
      <c r="X61" s="203"/>
      <c r="Y61" s="203">
        <f>Y50+Y52+Y54+Y56+Y58</f>
        <v>199.40000000000003</v>
      </c>
      <c r="Z61" s="203"/>
      <c r="AA61" s="203">
        <f>AA50+AA52+AA54+AA56+AA58</f>
        <v>181.3</v>
      </c>
      <c r="AB61" s="203"/>
      <c r="AC61" s="203">
        <f>+E61+G61+I61+K61+M61+O61+Q61+S61+U61+W61+Y61+AA61</f>
        <v>2134</v>
      </c>
      <c r="AE61" s="504"/>
    </row>
    <row r="62" spans="2:45" x14ac:dyDescent="0.35">
      <c r="B62" s="813" t="s">
        <v>107</v>
      </c>
      <c r="C62" s="814"/>
      <c r="E62" s="203">
        <f t="shared" si="127"/>
        <v>361.5</v>
      </c>
      <c r="G62" s="203">
        <f t="shared" si="127"/>
        <v>366.4</v>
      </c>
      <c r="I62" s="203">
        <f t="shared" ref="I62:K62" si="131">I51+I53+I55+I57+I59</f>
        <v>364.5</v>
      </c>
      <c r="K62" s="203">
        <f t="shared" si="131"/>
        <v>338.4</v>
      </c>
      <c r="L62" s="203"/>
      <c r="M62" s="203">
        <f t="shared" ref="M62:O62" si="132">M51+M53+M55+M57+M59</f>
        <v>313.60000000000002</v>
      </c>
      <c r="N62" s="203"/>
      <c r="O62" s="203">
        <f t="shared" si="132"/>
        <v>288.79999999999995</v>
      </c>
      <c r="P62" s="203"/>
      <c r="Q62" s="203">
        <f t="shared" ref="Q62:S62" si="133">Q51+Q53+Q55+Q57+Q59</f>
        <v>337.3</v>
      </c>
      <c r="R62" s="203"/>
      <c r="S62" s="203">
        <f t="shared" si="133"/>
        <v>350.8</v>
      </c>
      <c r="T62" s="203"/>
      <c r="U62" s="203">
        <f t="shared" ref="U62:W62" si="134">U51+U53+U55+U57+U59</f>
        <v>328.9</v>
      </c>
      <c r="V62" s="203"/>
      <c r="W62" s="203">
        <f t="shared" si="134"/>
        <v>391.5</v>
      </c>
      <c r="X62" s="203"/>
      <c r="Y62" s="203">
        <f t="shared" ref="Y62" si="135">Y51+Y53+Y55+Y57+Y59</f>
        <v>376.59999999999997</v>
      </c>
      <c r="Z62" s="203"/>
      <c r="AA62" s="203">
        <f>AA51+AA53+AA55+AA57+AA59+AA60</f>
        <v>373.7</v>
      </c>
      <c r="AB62" s="203"/>
      <c r="AC62" s="203">
        <f>+E62+G62+I62+K62+M62+O62+Q62+S62+U62+W62+Y62+AA62</f>
        <v>4192</v>
      </c>
      <c r="AE62" s="504"/>
    </row>
    <row r="63" spans="2:45" x14ac:dyDescent="0.35">
      <c r="B63" s="815" t="s">
        <v>46</v>
      </c>
      <c r="C63" s="816"/>
      <c r="D63" s="408">
        <f>SUM(D50:D59)</f>
        <v>630</v>
      </c>
      <c r="E63" s="203">
        <f>SUM(E61:E62)</f>
        <v>541</v>
      </c>
      <c r="F63" s="408">
        <f>SUM(F50:F59)</f>
        <v>630</v>
      </c>
      <c r="G63" s="203">
        <f>SUM(G61:G62)</f>
        <v>555</v>
      </c>
      <c r="H63" s="408">
        <f>SUM(H50:H59)</f>
        <v>630</v>
      </c>
      <c r="I63" s="203">
        <f>SUM(I61:I62)</f>
        <v>542</v>
      </c>
      <c r="J63" s="408">
        <f>SUM(J50:J59)</f>
        <v>630</v>
      </c>
      <c r="K63" s="203">
        <f>SUM(K61:K62)</f>
        <v>532</v>
      </c>
      <c r="L63" s="203">
        <f>SUM(L50:L59)</f>
        <v>630</v>
      </c>
      <c r="M63" s="203">
        <f>SUM(M61:M62)</f>
        <v>472</v>
      </c>
      <c r="N63" s="203">
        <f>SUM(N50:N59)</f>
        <v>630</v>
      </c>
      <c r="O63" s="203">
        <f>SUM(O61:O62)</f>
        <v>426.99999999999994</v>
      </c>
      <c r="P63" s="203">
        <f>SUM(P50:P59)</f>
        <v>570</v>
      </c>
      <c r="Q63" s="203">
        <f>SUM(Q61:Q62)</f>
        <v>503</v>
      </c>
      <c r="R63" s="203">
        <f>SUM(R50:R59)</f>
        <v>570</v>
      </c>
      <c r="S63" s="203">
        <f>SUM(S61:S62)</f>
        <v>529</v>
      </c>
      <c r="T63" s="203">
        <f>SUM(T50:T59)</f>
        <v>570</v>
      </c>
      <c r="U63" s="203">
        <f>SUM(U61:U62)</f>
        <v>507</v>
      </c>
      <c r="V63" s="203">
        <f>SUM(V50:V59)</f>
        <v>650</v>
      </c>
      <c r="W63" s="203">
        <f>SUM(W61:W62)</f>
        <v>587</v>
      </c>
      <c r="X63" s="203">
        <f>SUM(X50:X59)</f>
        <v>650</v>
      </c>
      <c r="Y63" s="203">
        <f>SUM(Y61:Y62)</f>
        <v>576</v>
      </c>
      <c r="Z63" s="203">
        <f>SUM(Z50:Z59)</f>
        <v>650</v>
      </c>
      <c r="AA63" s="203">
        <f>SUM(AA61:AA62)</f>
        <v>555</v>
      </c>
      <c r="AB63" s="203">
        <f>SUM(AB50:AB59)</f>
        <v>7440</v>
      </c>
      <c r="AC63" s="203">
        <f>SUM(AC61:AC62)</f>
        <v>6326</v>
      </c>
      <c r="AE63" s="504"/>
    </row>
    <row r="66" spans="5:27" x14ac:dyDescent="0.35">
      <c r="E66" s="2">
        <f t="shared" ref="E66:Z66" si="136">E62-E41</f>
        <v>0</v>
      </c>
      <c r="F66" s="2">
        <f t="shared" si="136"/>
        <v>0</v>
      </c>
      <c r="G66" s="2">
        <f t="shared" si="136"/>
        <v>0</v>
      </c>
      <c r="H66" s="2">
        <f t="shared" si="136"/>
        <v>0</v>
      </c>
      <c r="I66" s="2">
        <f t="shared" si="136"/>
        <v>0</v>
      </c>
      <c r="J66" s="2">
        <f t="shared" si="136"/>
        <v>0</v>
      </c>
      <c r="K66" s="2">
        <f t="shared" si="136"/>
        <v>0</v>
      </c>
      <c r="L66" s="2">
        <f t="shared" si="136"/>
        <v>0</v>
      </c>
      <c r="M66" s="2">
        <f t="shared" si="136"/>
        <v>0.10000000000002274</v>
      </c>
      <c r="N66" s="2">
        <f t="shared" si="136"/>
        <v>0</v>
      </c>
      <c r="O66" s="2">
        <f t="shared" si="136"/>
        <v>0</v>
      </c>
      <c r="P66" s="2">
        <f t="shared" si="136"/>
        <v>0</v>
      </c>
      <c r="Q66" s="2">
        <f t="shared" si="136"/>
        <v>0</v>
      </c>
      <c r="R66" s="2">
        <f t="shared" si="136"/>
        <v>0</v>
      </c>
      <c r="S66" s="2">
        <f t="shared" si="136"/>
        <v>0</v>
      </c>
      <c r="T66" s="2">
        <f t="shared" si="136"/>
        <v>0</v>
      </c>
      <c r="U66" s="2">
        <f t="shared" si="136"/>
        <v>0</v>
      </c>
      <c r="V66" s="2">
        <f t="shared" si="136"/>
        <v>0</v>
      </c>
      <c r="W66" s="2">
        <f t="shared" si="136"/>
        <v>0</v>
      </c>
      <c r="X66" s="2">
        <f t="shared" si="136"/>
        <v>0</v>
      </c>
      <c r="Y66" s="2">
        <f t="shared" si="136"/>
        <v>0</v>
      </c>
      <c r="Z66" s="2">
        <f t="shared" si="136"/>
        <v>0</v>
      </c>
      <c r="AA66" s="2">
        <f>AA62-AA41</f>
        <v>9.9999999999965894E-2</v>
      </c>
    </row>
  </sheetData>
  <mergeCells count="123">
    <mergeCell ref="AB48:AC48"/>
    <mergeCell ref="V48:W48"/>
    <mergeCell ref="D58:D59"/>
    <mergeCell ref="F56:F57"/>
    <mergeCell ref="F58:F59"/>
    <mergeCell ref="F48:G48"/>
    <mergeCell ref="H48:I48"/>
    <mergeCell ref="F50:F51"/>
    <mergeCell ref="F52:F53"/>
    <mergeCell ref="F54:F55"/>
    <mergeCell ref="H50:H51"/>
    <mergeCell ref="D48:E48"/>
    <mergeCell ref="D50:D51"/>
    <mergeCell ref="D52:D53"/>
    <mergeCell ref="V52:V53"/>
    <mergeCell ref="J56:J57"/>
    <mergeCell ref="J58:J59"/>
    <mergeCell ref="H52:H53"/>
    <mergeCell ref="R48:S48"/>
    <mergeCell ref="P48:Q48"/>
    <mergeCell ref="N48:O48"/>
    <mergeCell ref="J48:K48"/>
    <mergeCell ref="D56:D57"/>
    <mergeCell ref="L50:L51"/>
    <mergeCell ref="B28:B31"/>
    <mergeCell ref="B32:B35"/>
    <mergeCell ref="B36:B39"/>
    <mergeCell ref="D54:D55"/>
    <mergeCell ref="B63:C63"/>
    <mergeCell ref="B40:C40"/>
    <mergeCell ref="B41:C41"/>
    <mergeCell ref="B42:C42"/>
    <mergeCell ref="B43:C43"/>
    <mergeCell ref="B50:B51"/>
    <mergeCell ref="B52:B53"/>
    <mergeCell ref="B54:B55"/>
    <mergeCell ref="B56:B57"/>
    <mergeCell ref="B58:B59"/>
    <mergeCell ref="B61:C61"/>
    <mergeCell ref="B62:C62"/>
    <mergeCell ref="P50:P51"/>
    <mergeCell ref="R50:R51"/>
    <mergeCell ref="B4:AC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B8:B11"/>
    <mergeCell ref="B12:B15"/>
    <mergeCell ref="B16:B19"/>
    <mergeCell ref="B20:B23"/>
    <mergeCell ref="X48:Y48"/>
    <mergeCell ref="Z48:AA48"/>
    <mergeCell ref="T48:U48"/>
    <mergeCell ref="B24:B27"/>
    <mergeCell ref="H58:H59"/>
    <mergeCell ref="L48:M48"/>
    <mergeCell ref="P52:P53"/>
    <mergeCell ref="P54:P55"/>
    <mergeCell ref="P56:P57"/>
    <mergeCell ref="P58:P59"/>
    <mergeCell ref="R52:R53"/>
    <mergeCell ref="R54:R55"/>
    <mergeCell ref="R56:R57"/>
    <mergeCell ref="R58:R59"/>
    <mergeCell ref="L52:L53"/>
    <mergeCell ref="L54:L55"/>
    <mergeCell ref="L56:L57"/>
    <mergeCell ref="L58:L59"/>
    <mergeCell ref="N52:N53"/>
    <mergeCell ref="N54:N55"/>
    <mergeCell ref="N56:N57"/>
    <mergeCell ref="N58:N59"/>
    <mergeCell ref="J50:J51"/>
    <mergeCell ref="J52:J53"/>
    <mergeCell ref="J54:J55"/>
    <mergeCell ref="H56:H57"/>
    <mergeCell ref="H54:H55"/>
    <mergeCell ref="N50:N51"/>
    <mergeCell ref="AB50:AB51"/>
    <mergeCell ref="AB52:AB53"/>
    <mergeCell ref="AB54:AB55"/>
    <mergeCell ref="AB56:AB57"/>
    <mergeCell ref="AB58:AB59"/>
    <mergeCell ref="T54:T55"/>
    <mergeCell ref="T56:T57"/>
    <mergeCell ref="T58:T59"/>
    <mergeCell ref="X54:X55"/>
    <mergeCell ref="X56:X57"/>
    <mergeCell ref="V54:V55"/>
    <mergeCell ref="V56:V57"/>
    <mergeCell ref="V58:V59"/>
    <mergeCell ref="Z54:Z55"/>
    <mergeCell ref="Z56:Z57"/>
    <mergeCell ref="Z58:Z59"/>
    <mergeCell ref="X58:X59"/>
    <mergeCell ref="T50:T51"/>
    <mergeCell ref="V50:V51"/>
    <mergeCell ref="X50:X51"/>
    <mergeCell ref="Z50:Z51"/>
    <mergeCell ref="Z52:Z53"/>
    <mergeCell ref="X52:X53"/>
    <mergeCell ref="T52:T53"/>
    <mergeCell ref="AH57:AH59"/>
    <mergeCell ref="AH41:AH43"/>
    <mergeCell ref="AH44:AH46"/>
    <mergeCell ref="AH47:AH49"/>
    <mergeCell ref="AH50:AH52"/>
    <mergeCell ref="AH53:AH55"/>
    <mergeCell ref="AH22:AS22"/>
    <mergeCell ref="AI24:AM24"/>
    <mergeCell ref="AN24:AR24"/>
    <mergeCell ref="AJ38:AN38"/>
    <mergeCell ref="AO38:AS38"/>
  </mergeCells>
  <pageMargins left="0.23622047244094491" right="0.19685039370078741" top="0.74803149606299213" bottom="0.74803149606299213" header="0.31496062992125984" footer="0.31496062992125984"/>
  <pageSetup paperSize="9" scale="42" orientation="landscape" blackAndWhite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W70"/>
  <sheetViews>
    <sheetView workbookViewId="0"/>
  </sheetViews>
  <sheetFormatPr defaultColWidth="9.1796875" defaultRowHeight="14.5" x14ac:dyDescent="0.35"/>
  <cols>
    <col min="1" max="3" width="9.1796875" style="231"/>
    <col min="4" max="4" width="9" style="282" bestFit="1" customWidth="1"/>
    <col min="5" max="5" width="20.1796875" style="231" customWidth="1"/>
    <col min="6" max="11" width="9.1796875" style="231" customWidth="1"/>
    <col min="12" max="12" width="10.26953125" style="231" customWidth="1"/>
    <col min="13" max="16" width="9.1796875" style="231" customWidth="1"/>
    <col min="17" max="18" width="9.1796875" style="231"/>
    <col min="19" max="19" width="9.81640625" style="231" bestFit="1" customWidth="1"/>
    <col min="20" max="16384" width="9.1796875" style="231"/>
  </cols>
  <sheetData>
    <row r="4" spans="4:23" ht="15.75" thickBot="1" x14ac:dyDescent="0.3"/>
    <row r="5" spans="4:23" ht="19.5" thickBot="1" x14ac:dyDescent="0.35">
      <c r="E5" s="844" t="s">
        <v>129</v>
      </c>
      <c r="F5" s="845"/>
      <c r="G5" s="845"/>
      <c r="H5" s="845"/>
      <c r="I5" s="845"/>
      <c r="J5" s="845"/>
      <c r="K5" s="845"/>
      <c r="L5" s="845"/>
      <c r="M5" s="845"/>
      <c r="N5" s="845"/>
      <c r="O5" s="846"/>
    </row>
    <row r="6" spans="4:23" ht="15.75" thickBot="1" x14ac:dyDescent="0.3"/>
    <row r="7" spans="4:23" ht="18" customHeight="1" thickBot="1" x14ac:dyDescent="0.45">
      <c r="E7" s="283"/>
      <c r="F7" s="847" t="s">
        <v>130</v>
      </c>
      <c r="G7" s="848"/>
      <c r="H7" s="848"/>
      <c r="I7" s="848"/>
      <c r="J7" s="848"/>
      <c r="K7" s="848"/>
      <c r="L7" s="849"/>
      <c r="M7" s="850" t="s">
        <v>131</v>
      </c>
      <c r="N7" s="851"/>
      <c r="O7" s="851"/>
      <c r="P7" s="852"/>
      <c r="Q7" s="850" t="s">
        <v>132</v>
      </c>
      <c r="R7" s="852"/>
      <c r="S7" s="850" t="s">
        <v>132</v>
      </c>
      <c r="T7" s="852"/>
    </row>
    <row r="8" spans="4:23" ht="17.5" thickBot="1" x14ac:dyDescent="0.4">
      <c r="E8" s="284" t="s">
        <v>41</v>
      </c>
      <c r="F8" s="285" t="s">
        <v>1</v>
      </c>
      <c r="G8" s="286" t="s">
        <v>2</v>
      </c>
      <c r="H8" s="286" t="s">
        <v>3</v>
      </c>
      <c r="I8" s="286" t="s">
        <v>4</v>
      </c>
      <c r="J8" s="287" t="s">
        <v>48</v>
      </c>
      <c r="K8" s="288" t="s">
        <v>133</v>
      </c>
      <c r="L8" s="289" t="s">
        <v>134</v>
      </c>
      <c r="M8" s="285" t="s">
        <v>135</v>
      </c>
      <c r="N8" s="286" t="s">
        <v>136</v>
      </c>
      <c r="O8" s="287" t="s">
        <v>51</v>
      </c>
      <c r="P8" s="287" t="s">
        <v>52</v>
      </c>
      <c r="Q8" s="290" t="s">
        <v>137</v>
      </c>
      <c r="R8" s="291" t="s">
        <v>138</v>
      </c>
      <c r="S8" s="290" t="s">
        <v>137</v>
      </c>
      <c r="T8" s="291" t="s">
        <v>138</v>
      </c>
    </row>
    <row r="9" spans="4:23" ht="17.5" thickBot="1" x14ac:dyDescent="0.45"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  <c r="Q9" s="853" t="s">
        <v>139</v>
      </c>
      <c r="R9" s="854"/>
      <c r="S9" s="853" t="s">
        <v>140</v>
      </c>
      <c r="T9" s="854"/>
    </row>
    <row r="10" spans="4:23" ht="17" x14ac:dyDescent="0.4">
      <c r="D10" s="292">
        <v>30</v>
      </c>
      <c r="E10" s="293">
        <v>43191</v>
      </c>
      <c r="F10" s="294">
        <v>4.0333333333333332</v>
      </c>
      <c r="G10" s="295">
        <v>3.5666666666666669</v>
      </c>
      <c r="H10" s="295">
        <v>4.3666666666666663</v>
      </c>
      <c r="I10" s="295">
        <v>3.6</v>
      </c>
      <c r="J10" s="296">
        <v>6.6666666666666666E-2</v>
      </c>
      <c r="K10" s="297">
        <f>SUM(F10:J10)</f>
        <v>15.633333333333331</v>
      </c>
      <c r="L10" s="298">
        <f>+D10*K10</f>
        <v>468.99999999999994</v>
      </c>
      <c r="M10" s="294">
        <v>3.6</v>
      </c>
      <c r="N10" s="295">
        <v>8.4666666666666668</v>
      </c>
      <c r="O10" s="295">
        <v>3.5666666666666669</v>
      </c>
      <c r="P10" s="299">
        <v>0</v>
      </c>
      <c r="Q10" s="300">
        <v>18</v>
      </c>
      <c r="R10" s="43">
        <v>8</v>
      </c>
      <c r="S10" s="301">
        <f t="shared" ref="S10:S21" si="0">+Q10/D10</f>
        <v>0.6</v>
      </c>
      <c r="T10" s="302">
        <f t="shared" ref="T10:T21" si="1">+R10/D10</f>
        <v>0.26666666666666666</v>
      </c>
      <c r="U10" s="303"/>
      <c r="V10" s="303"/>
    </row>
    <row r="11" spans="4:23" ht="17" x14ac:dyDescent="0.4">
      <c r="D11" s="292">
        <v>31</v>
      </c>
      <c r="E11" s="304">
        <v>43221</v>
      </c>
      <c r="F11" s="305">
        <v>4.67741935483871</v>
      </c>
      <c r="G11" s="306">
        <v>3.5161290322580645</v>
      </c>
      <c r="H11" s="306">
        <v>4.4516129032258061</v>
      </c>
      <c r="I11" s="306">
        <v>2.774193548387097</v>
      </c>
      <c r="J11" s="307">
        <v>6.4516129032258063E-2</v>
      </c>
      <c r="K11" s="308">
        <f>SUM(F11:J11)</f>
        <v>15.483870967741934</v>
      </c>
      <c r="L11" s="309">
        <f t="shared" ref="L11:L21" si="2">+D11*K11</f>
        <v>479.99999999999994</v>
      </c>
      <c r="M11" s="305">
        <v>3.4838709677419355</v>
      </c>
      <c r="N11" s="306">
        <v>8.2258064516129039</v>
      </c>
      <c r="O11" s="306">
        <v>3.774193548387097</v>
      </c>
      <c r="P11" s="310">
        <v>0</v>
      </c>
      <c r="Q11" s="311">
        <v>22</v>
      </c>
      <c r="R11" s="44">
        <v>5</v>
      </c>
      <c r="S11" s="312">
        <f t="shared" si="0"/>
        <v>0.70967741935483875</v>
      </c>
      <c r="T11" s="310">
        <f t="shared" si="1"/>
        <v>0.16129032258064516</v>
      </c>
      <c r="U11" s="303"/>
      <c r="V11" s="303"/>
    </row>
    <row r="12" spans="4:23" ht="17.5" thickBot="1" x14ac:dyDescent="0.45">
      <c r="D12" s="292">
        <v>30</v>
      </c>
      <c r="E12" s="313">
        <v>43252</v>
      </c>
      <c r="F12" s="314">
        <v>5.666666666666667</v>
      </c>
      <c r="G12" s="315">
        <v>3.4</v>
      </c>
      <c r="H12" s="315">
        <v>4.5</v>
      </c>
      <c r="I12" s="315">
        <v>3.5666666666666669</v>
      </c>
      <c r="J12" s="316">
        <v>0</v>
      </c>
      <c r="K12" s="317">
        <f>SUM(F12:J12)</f>
        <v>17.133333333333333</v>
      </c>
      <c r="L12" s="318">
        <f t="shared" si="2"/>
        <v>514</v>
      </c>
      <c r="M12" s="314">
        <v>4.3</v>
      </c>
      <c r="N12" s="315">
        <v>8.6999999999999993</v>
      </c>
      <c r="O12" s="315">
        <v>4.1333333333333337</v>
      </c>
      <c r="P12" s="319">
        <v>0</v>
      </c>
      <c r="Q12" s="320">
        <v>22</v>
      </c>
      <c r="R12" s="321">
        <v>8</v>
      </c>
      <c r="S12" s="322">
        <f t="shared" si="0"/>
        <v>0.73333333333333328</v>
      </c>
      <c r="T12" s="319">
        <f t="shared" si="1"/>
        <v>0.26666666666666666</v>
      </c>
      <c r="U12" s="303"/>
      <c r="V12" s="303"/>
    </row>
    <row r="13" spans="4:23" ht="17" x14ac:dyDescent="0.4">
      <c r="D13" s="292">
        <v>31</v>
      </c>
      <c r="E13" s="293">
        <v>43282</v>
      </c>
      <c r="F13" s="294">
        <v>4.67741935483871</v>
      </c>
      <c r="G13" s="295">
        <v>3.129032258064516</v>
      </c>
      <c r="H13" s="295">
        <v>4.258064516129032</v>
      </c>
      <c r="I13" s="295">
        <v>3.4838709677419355</v>
      </c>
      <c r="J13" s="296">
        <v>0</v>
      </c>
      <c r="K13" s="323">
        <f>SUM(F13:J13)</f>
        <v>15.548387096774194</v>
      </c>
      <c r="L13" s="298">
        <f t="shared" si="2"/>
        <v>482</v>
      </c>
      <c r="M13" s="294">
        <v>5.39</v>
      </c>
      <c r="N13" s="295">
        <v>6.81</v>
      </c>
      <c r="O13" s="295">
        <v>3.35</v>
      </c>
      <c r="P13" s="302">
        <v>0</v>
      </c>
      <c r="Q13" s="300">
        <v>20</v>
      </c>
      <c r="R13" s="43">
        <v>6</v>
      </c>
      <c r="S13" s="301">
        <f t="shared" si="0"/>
        <v>0.64516129032258063</v>
      </c>
      <c r="T13" s="302">
        <f t="shared" si="1"/>
        <v>0.19354838709677419</v>
      </c>
      <c r="U13" s="303"/>
      <c r="V13" s="303"/>
      <c r="W13" s="2"/>
    </row>
    <row r="14" spans="4:23" ht="17" x14ac:dyDescent="0.4">
      <c r="D14" s="292">
        <v>31</v>
      </c>
      <c r="E14" s="304">
        <v>43313</v>
      </c>
      <c r="F14" s="305">
        <v>5.064516129032258</v>
      </c>
      <c r="G14" s="306">
        <v>3.129032258064516</v>
      </c>
      <c r="H14" s="306">
        <v>3.870967741935484</v>
      </c>
      <c r="I14" s="306">
        <v>2.870967741935484</v>
      </c>
      <c r="J14" s="307">
        <v>6.4516129032258063E-2</v>
      </c>
      <c r="K14" s="308">
        <f>SUM(F14:J14)</f>
        <v>15</v>
      </c>
      <c r="L14" s="309">
        <f t="shared" si="2"/>
        <v>465</v>
      </c>
      <c r="M14" s="305">
        <v>5.5161290322580649</v>
      </c>
      <c r="N14" s="306">
        <v>6.354838709677419</v>
      </c>
      <c r="O14" s="306">
        <v>3.129032258064516</v>
      </c>
      <c r="P14" s="310">
        <v>0</v>
      </c>
      <c r="Q14" s="311">
        <v>12</v>
      </c>
      <c r="R14" s="44">
        <v>7</v>
      </c>
      <c r="S14" s="312">
        <f t="shared" si="0"/>
        <v>0.38709677419354838</v>
      </c>
      <c r="T14" s="310">
        <f t="shared" si="1"/>
        <v>0.22580645161290322</v>
      </c>
      <c r="U14" s="303"/>
      <c r="V14" s="303"/>
      <c r="W14" s="2"/>
    </row>
    <row r="15" spans="4:23" ht="17.5" thickBot="1" x14ac:dyDescent="0.45">
      <c r="D15" s="292">
        <v>30</v>
      </c>
      <c r="E15" s="313">
        <v>43344</v>
      </c>
      <c r="F15" s="324">
        <v>5.9</v>
      </c>
      <c r="G15" s="325">
        <v>3.1666666666666665</v>
      </c>
      <c r="H15" s="325">
        <v>4.5999999999999996</v>
      </c>
      <c r="I15" s="325">
        <v>1.4666666666666666</v>
      </c>
      <c r="J15" s="326">
        <v>0.26666666666666666</v>
      </c>
      <c r="K15" s="327">
        <f t="shared" ref="K15:K21" si="3">SUM(F15:J15)</f>
        <v>15.4</v>
      </c>
      <c r="L15" s="328">
        <f t="shared" si="2"/>
        <v>462</v>
      </c>
      <c r="M15" s="324">
        <v>6.7</v>
      </c>
      <c r="N15" s="325">
        <v>5.7</v>
      </c>
      <c r="O15" s="325">
        <v>3</v>
      </c>
      <c r="P15" s="329">
        <v>0</v>
      </c>
      <c r="Q15" s="330">
        <v>20</v>
      </c>
      <c r="R15" s="45">
        <v>3</v>
      </c>
      <c r="S15" s="331">
        <f t="shared" si="0"/>
        <v>0.66666666666666663</v>
      </c>
      <c r="T15" s="329">
        <f t="shared" si="1"/>
        <v>0.1</v>
      </c>
      <c r="U15" s="303"/>
      <c r="V15" s="303"/>
      <c r="W15" s="2"/>
    </row>
    <row r="16" spans="4:23" ht="17" x14ac:dyDescent="0.4">
      <c r="D16" s="292">
        <v>31</v>
      </c>
      <c r="E16" s="293">
        <v>43374</v>
      </c>
      <c r="F16" s="294">
        <v>4.096774193548387</v>
      </c>
      <c r="G16" s="295">
        <v>3.5483870967741935</v>
      </c>
      <c r="H16" s="295">
        <v>6.225806451612903</v>
      </c>
      <c r="I16" s="295">
        <v>2.193548387096774</v>
      </c>
      <c r="J16" s="296">
        <v>3.2258064516129031E-2</v>
      </c>
      <c r="K16" s="323">
        <f t="shared" si="3"/>
        <v>16.096774193548384</v>
      </c>
      <c r="L16" s="298">
        <f t="shared" si="2"/>
        <v>498.99999999999989</v>
      </c>
      <c r="M16" s="294">
        <v>4.645161290322581</v>
      </c>
      <c r="N16" s="295">
        <v>8</v>
      </c>
      <c r="O16" s="295">
        <v>3.4516129032258065</v>
      </c>
      <c r="P16" s="302">
        <v>0</v>
      </c>
      <c r="Q16" s="300">
        <v>17</v>
      </c>
      <c r="R16" s="43">
        <v>5</v>
      </c>
      <c r="S16" s="301">
        <f t="shared" si="0"/>
        <v>0.54838709677419351</v>
      </c>
      <c r="T16" s="302">
        <f t="shared" si="1"/>
        <v>0.16129032258064516</v>
      </c>
      <c r="U16" s="303"/>
      <c r="V16" s="303"/>
      <c r="W16" s="2"/>
    </row>
    <row r="17" spans="4:22" ht="17" x14ac:dyDescent="0.4">
      <c r="D17" s="292">
        <v>30</v>
      </c>
      <c r="E17" s="304">
        <v>43405</v>
      </c>
      <c r="F17" s="305">
        <v>4.5999999999999996</v>
      </c>
      <c r="G17" s="306">
        <v>3.4</v>
      </c>
      <c r="H17" s="306">
        <v>5.9666666666666668</v>
      </c>
      <c r="I17" s="306">
        <v>3.2</v>
      </c>
      <c r="J17" s="307">
        <v>3.3333333333333333E-2</v>
      </c>
      <c r="K17" s="308">
        <f t="shared" si="3"/>
        <v>17.200000000000003</v>
      </c>
      <c r="L17" s="309">
        <f t="shared" si="2"/>
        <v>516.00000000000011</v>
      </c>
      <c r="M17" s="305">
        <v>4.5333333333333332</v>
      </c>
      <c r="N17" s="306">
        <v>9.2666666666666675</v>
      </c>
      <c r="O17" s="306">
        <v>3.4</v>
      </c>
      <c r="P17" s="310">
        <v>0</v>
      </c>
      <c r="Q17" s="311">
        <v>15</v>
      </c>
      <c r="R17" s="44">
        <v>4</v>
      </c>
      <c r="S17" s="312">
        <f t="shared" si="0"/>
        <v>0.5</v>
      </c>
      <c r="T17" s="310">
        <f t="shared" si="1"/>
        <v>0.13333333333333333</v>
      </c>
      <c r="U17" s="303"/>
      <c r="V17" s="303"/>
    </row>
    <row r="18" spans="4:22" ht="17.5" thickBot="1" x14ac:dyDescent="0.45">
      <c r="D18" s="292">
        <v>31</v>
      </c>
      <c r="E18" s="332">
        <v>43435</v>
      </c>
      <c r="F18" s="314">
        <v>4.870967741935484</v>
      </c>
      <c r="G18" s="315">
        <v>3.3870967741935485</v>
      </c>
      <c r="H18" s="315">
        <v>5.032258064516129</v>
      </c>
      <c r="I18" s="315">
        <v>3.870967741935484</v>
      </c>
      <c r="J18" s="316">
        <v>3.2258064516129031E-2</v>
      </c>
      <c r="K18" s="317">
        <f t="shared" si="3"/>
        <v>17.193548387096772</v>
      </c>
      <c r="L18" s="318">
        <f t="shared" si="2"/>
        <v>532.99999999999989</v>
      </c>
      <c r="M18" s="314">
        <v>4.290322580645161</v>
      </c>
      <c r="N18" s="315">
        <v>9.5161290322580641</v>
      </c>
      <c r="O18" s="315">
        <v>3.3870967741935485</v>
      </c>
      <c r="P18" s="319">
        <v>0</v>
      </c>
      <c r="Q18" s="320">
        <v>23</v>
      </c>
      <c r="R18" s="321">
        <v>9</v>
      </c>
      <c r="S18" s="322">
        <f t="shared" si="0"/>
        <v>0.74193548387096775</v>
      </c>
      <c r="T18" s="319">
        <f t="shared" si="1"/>
        <v>0.29032258064516131</v>
      </c>
    </row>
    <row r="19" spans="4:22" ht="17" x14ac:dyDescent="0.4">
      <c r="D19" s="333">
        <v>31</v>
      </c>
      <c r="E19" s="293">
        <v>43466</v>
      </c>
      <c r="F19" s="334">
        <v>4.935483870967742</v>
      </c>
      <c r="G19" s="335">
        <v>2.2903225806451615</v>
      </c>
      <c r="H19" s="335">
        <v>5.129032258064516</v>
      </c>
      <c r="I19" s="335">
        <v>4.129032258064516</v>
      </c>
      <c r="J19" s="336">
        <v>3.2258064516129031E-2</v>
      </c>
      <c r="K19" s="323">
        <f t="shared" si="3"/>
        <v>16.516129032258064</v>
      </c>
      <c r="L19" s="337">
        <f t="shared" si="2"/>
        <v>512</v>
      </c>
      <c r="M19" s="334">
        <v>4.032258064516129</v>
      </c>
      <c r="N19" s="335">
        <v>9</v>
      </c>
      <c r="O19" s="335">
        <v>3.4838709677419355</v>
      </c>
      <c r="P19" s="302">
        <v>0</v>
      </c>
      <c r="Q19" s="338">
        <v>28</v>
      </c>
      <c r="R19" s="43">
        <v>10</v>
      </c>
      <c r="S19" s="301">
        <f t="shared" si="0"/>
        <v>0.90322580645161288</v>
      </c>
      <c r="T19" s="302">
        <f t="shared" si="1"/>
        <v>0.32258064516129031</v>
      </c>
    </row>
    <row r="20" spans="4:22" ht="17" x14ac:dyDescent="0.4">
      <c r="D20" s="282">
        <v>28</v>
      </c>
      <c r="E20" s="304">
        <v>43497</v>
      </c>
      <c r="F20" s="339">
        <v>5.18</v>
      </c>
      <c r="G20" s="340">
        <v>2.61</v>
      </c>
      <c r="H20" s="340">
        <v>5.43</v>
      </c>
      <c r="I20" s="340">
        <v>4.29</v>
      </c>
      <c r="J20" s="341">
        <v>0.18</v>
      </c>
      <c r="K20" s="308">
        <f t="shared" si="3"/>
        <v>17.689999999999998</v>
      </c>
      <c r="L20" s="342">
        <f t="shared" si="2"/>
        <v>495.31999999999994</v>
      </c>
      <c r="M20" s="339">
        <v>4.5</v>
      </c>
      <c r="N20" s="340">
        <v>9.14</v>
      </c>
      <c r="O20" s="340">
        <v>4.04</v>
      </c>
      <c r="P20" s="310">
        <v>0</v>
      </c>
      <c r="Q20" s="343">
        <v>26</v>
      </c>
      <c r="R20" s="44">
        <v>6</v>
      </c>
      <c r="S20" s="312">
        <f t="shared" si="0"/>
        <v>0.9285714285714286</v>
      </c>
      <c r="T20" s="310">
        <f t="shared" si="1"/>
        <v>0.21428571428571427</v>
      </c>
    </row>
    <row r="21" spans="4:22" ht="17.5" thickBot="1" x14ac:dyDescent="0.45">
      <c r="D21" s="282">
        <v>31</v>
      </c>
      <c r="E21" s="313">
        <v>43525</v>
      </c>
      <c r="F21" s="344">
        <v>5.61</v>
      </c>
      <c r="G21" s="345">
        <v>2.84</v>
      </c>
      <c r="H21" s="345">
        <v>4.55</v>
      </c>
      <c r="I21" s="345">
        <v>3.48</v>
      </c>
      <c r="J21" s="346">
        <v>0.06</v>
      </c>
      <c r="K21" s="327">
        <f t="shared" si="3"/>
        <v>16.54</v>
      </c>
      <c r="L21" s="347">
        <f t="shared" si="2"/>
        <v>512.74</v>
      </c>
      <c r="M21" s="344">
        <v>4.32</v>
      </c>
      <c r="N21" s="345">
        <v>8.16</v>
      </c>
      <c r="O21" s="345">
        <v>4.0599999999999996</v>
      </c>
      <c r="P21" s="348">
        <v>0</v>
      </c>
      <c r="Q21" s="349">
        <v>33</v>
      </c>
      <c r="R21" s="321">
        <v>2</v>
      </c>
      <c r="S21" s="331">
        <f t="shared" si="0"/>
        <v>1.064516129032258</v>
      </c>
      <c r="T21" s="329">
        <f t="shared" si="1"/>
        <v>6.4516129032258063E-2</v>
      </c>
    </row>
    <row r="22" spans="4:22" ht="17.5" thickBot="1" x14ac:dyDescent="0.4">
      <c r="D22" s="282">
        <f>SUM(D10:D21)</f>
        <v>365</v>
      </c>
      <c r="E22" s="350" t="s">
        <v>141</v>
      </c>
      <c r="F22" s="351">
        <f>SUMPRODUCT(F10:F21,$D$10:$D$21)/$D$22</f>
        <v>4.9395890410958909</v>
      </c>
      <c r="G22" s="352">
        <f>SUMPRODUCT(G10:G21,$D$10:$D$21)/$D$22</f>
        <v>3.1674520547945204</v>
      </c>
      <c r="H22" s="352">
        <f>SUMPRODUCT(H10:H21,$D$10:$D$21)/$D$22</f>
        <v>4.8605205479452049</v>
      </c>
      <c r="I22" s="352">
        <f t="shared" ref="I22:T22" si="4">SUMPRODUCT(I10:I21,$D$10:$D$21)/$D$22</f>
        <v>3.2383561643835614</v>
      </c>
      <c r="J22" s="353">
        <f t="shared" si="4"/>
        <v>6.8219178082191773E-2</v>
      </c>
      <c r="K22" s="354">
        <f>SUMPRODUCT(K10:K21,$D$10:$D$21)/$D$22</f>
        <v>16.274136986301368</v>
      </c>
      <c r="L22" s="355">
        <f>SUMPRODUCT(L10:L21,$D$10:$D$21)/$D$22</f>
        <v>495.05452054794517</v>
      </c>
      <c r="M22" s="356">
        <f>SUMPRODUCT(M10:M21,$D$10:$D$21)/$D$22</f>
        <v>4.6082465753424664</v>
      </c>
      <c r="N22" s="352">
        <f t="shared" si="4"/>
        <v>8.1040821917808223</v>
      </c>
      <c r="O22" s="352">
        <f t="shared" si="4"/>
        <v>3.56117808219178</v>
      </c>
      <c r="P22" s="357">
        <f t="shared" si="4"/>
        <v>0</v>
      </c>
      <c r="Q22" s="358">
        <f>SUM(Q10:Q21)</f>
        <v>256</v>
      </c>
      <c r="R22" s="359">
        <f>SUM(R10:R21)</f>
        <v>73</v>
      </c>
      <c r="S22" s="356">
        <f>SUMPRODUCT(S10:S21,$D$10:$D$21)/$D$22</f>
        <v>0.70136986301369864</v>
      </c>
      <c r="T22" s="353">
        <f t="shared" si="4"/>
        <v>0.2</v>
      </c>
      <c r="U22" s="2"/>
      <c r="V22" s="2"/>
    </row>
    <row r="23" spans="4:22" ht="15" thickBot="1" x14ac:dyDescent="0.4"/>
    <row r="24" spans="4:22" ht="15.75" hidden="1" thickBot="1" x14ac:dyDescent="0.3"/>
    <row r="25" spans="4:22" ht="15.75" hidden="1" thickBot="1" x14ac:dyDescent="0.3"/>
    <row r="26" spans="4:22" ht="15.75" hidden="1" thickBot="1" x14ac:dyDescent="0.3">
      <c r="S26" s="2"/>
      <c r="T26" s="2"/>
    </row>
    <row r="27" spans="4:22" ht="15.75" hidden="1" thickBot="1" x14ac:dyDescent="0.3">
      <c r="I27" s="360" t="s">
        <v>23</v>
      </c>
      <c r="J27" s="360" t="s">
        <v>142</v>
      </c>
    </row>
    <row r="28" spans="4:22" ht="15.75" hidden="1" thickBot="1" x14ac:dyDescent="0.3">
      <c r="I28" s="231" t="s">
        <v>143</v>
      </c>
      <c r="J28" s="361">
        <f>+SUMPRODUCT(D10:D12,K10:K12)/SUM(D10:D12)</f>
        <v>16.076923076923077</v>
      </c>
      <c r="M28" s="231" t="s">
        <v>144</v>
      </c>
    </row>
    <row r="29" spans="4:22" ht="15.75" hidden="1" thickBot="1" x14ac:dyDescent="0.3">
      <c r="I29" s="231" t="s">
        <v>145</v>
      </c>
      <c r="J29" s="361">
        <f>+SUMPRODUCT(D13:D15,K13:K15)/SUM(D13:D15)</f>
        <v>15.315217391304348</v>
      </c>
      <c r="M29" s="2">
        <f>MAX(M47:M58,M10:M12)</f>
        <v>7.709677419354839</v>
      </c>
      <c r="N29" s="2">
        <f>MAX(N47:N58,N10:N12)</f>
        <v>8.6999999999999993</v>
      </c>
      <c r="O29" s="2">
        <f>MAX(O47:O58,O10:O12)</f>
        <v>4.1333333333333337</v>
      </c>
      <c r="P29" s="2">
        <f>MAX(P47:P58,P10:P12)</f>
        <v>0.19354838709677419</v>
      </c>
    </row>
    <row r="30" spans="4:22" ht="15.75" hidden="1" thickBot="1" x14ac:dyDescent="0.3">
      <c r="I30" s="231" t="s">
        <v>146</v>
      </c>
      <c r="J30" s="361">
        <f>+SUMPRODUCT(D16:D18,K16:K18)/SUM(D16:D18)</f>
        <v>16.826086956521738</v>
      </c>
    </row>
    <row r="31" spans="4:22" ht="15.75" hidden="1" thickBot="1" x14ac:dyDescent="0.3">
      <c r="I31" s="231" t="s">
        <v>147</v>
      </c>
      <c r="J31" s="361"/>
    </row>
    <row r="32" spans="4:22" ht="15.75" hidden="1" thickBot="1" x14ac:dyDescent="0.3">
      <c r="I32" s="231" t="s">
        <v>148</v>
      </c>
      <c r="J32" s="361">
        <f>+SUMPRODUCT(D19:D21,K19:K21)/SUM(D19:D21)</f>
        <v>16.889555555555553</v>
      </c>
    </row>
    <row r="33" spans="4:20" ht="15.75" hidden="1" thickBot="1" x14ac:dyDescent="0.3">
      <c r="I33" s="231" t="s">
        <v>149</v>
      </c>
      <c r="J33" s="361">
        <f>K22</f>
        <v>16.274136986301368</v>
      </c>
    </row>
    <row r="34" spans="4:20" ht="15.75" hidden="1" thickBot="1" x14ac:dyDescent="0.3"/>
    <row r="35" spans="4:20" ht="15.75" hidden="1" thickBot="1" x14ac:dyDescent="0.3"/>
    <row r="36" spans="4:20" ht="15.75" hidden="1" thickBot="1" x14ac:dyDescent="0.3"/>
    <row r="37" spans="4:20" ht="15.75" hidden="1" thickBot="1" x14ac:dyDescent="0.3"/>
    <row r="38" spans="4:20" ht="15.75" hidden="1" thickBot="1" x14ac:dyDescent="0.3"/>
    <row r="39" spans="4:20" ht="15.75" hidden="1" thickBot="1" x14ac:dyDescent="0.3"/>
    <row r="40" spans="4:20" ht="15.75" hidden="1" thickBot="1" x14ac:dyDescent="0.3"/>
    <row r="41" spans="4:20" ht="15.75" hidden="1" thickBot="1" x14ac:dyDescent="0.3"/>
    <row r="42" spans="4:20" ht="19.5" hidden="1" thickBot="1" x14ac:dyDescent="0.35">
      <c r="E42" s="844" t="s">
        <v>129</v>
      </c>
      <c r="F42" s="845"/>
      <c r="G42" s="845"/>
      <c r="H42" s="845"/>
      <c r="I42" s="845"/>
      <c r="J42" s="845"/>
      <c r="K42" s="845"/>
      <c r="L42" s="845"/>
      <c r="M42" s="845"/>
      <c r="N42" s="845"/>
      <c r="O42" s="846"/>
    </row>
    <row r="43" spans="4:20" ht="15.75" hidden="1" thickBot="1" x14ac:dyDescent="0.3"/>
    <row r="44" spans="4:20" ht="17.5" thickBot="1" x14ac:dyDescent="0.45">
      <c r="E44" s="283"/>
      <c r="F44" s="847" t="s">
        <v>130</v>
      </c>
      <c r="G44" s="848"/>
      <c r="H44" s="848"/>
      <c r="I44" s="848"/>
      <c r="J44" s="848"/>
      <c r="K44" s="848"/>
      <c r="L44" s="849"/>
      <c r="M44" s="850" t="s">
        <v>131</v>
      </c>
      <c r="N44" s="851"/>
      <c r="O44" s="851"/>
      <c r="P44" s="852"/>
      <c r="Q44" s="850" t="s">
        <v>132</v>
      </c>
      <c r="R44" s="852"/>
      <c r="S44" s="850" t="s">
        <v>132</v>
      </c>
      <c r="T44" s="852"/>
    </row>
    <row r="45" spans="4:20" ht="17.5" thickBot="1" x14ac:dyDescent="0.4">
      <c r="E45" s="284" t="s">
        <v>41</v>
      </c>
      <c r="F45" s="285" t="s">
        <v>1</v>
      </c>
      <c r="G45" s="286" t="s">
        <v>2</v>
      </c>
      <c r="H45" s="286" t="s">
        <v>3</v>
      </c>
      <c r="I45" s="286" t="s">
        <v>4</v>
      </c>
      <c r="J45" s="287" t="s">
        <v>48</v>
      </c>
      <c r="K45" s="288" t="s">
        <v>133</v>
      </c>
      <c r="L45" s="289" t="s">
        <v>134</v>
      </c>
      <c r="M45" s="285" t="s">
        <v>135</v>
      </c>
      <c r="N45" s="286" t="s">
        <v>136</v>
      </c>
      <c r="O45" s="287" t="s">
        <v>51</v>
      </c>
      <c r="P45" s="287" t="s">
        <v>52</v>
      </c>
      <c r="Q45" s="290" t="s">
        <v>137</v>
      </c>
      <c r="R45" s="291" t="s">
        <v>138</v>
      </c>
      <c r="S45" s="290" t="s">
        <v>137</v>
      </c>
      <c r="T45" s="291" t="s">
        <v>138</v>
      </c>
    </row>
    <row r="46" spans="4:20" ht="17.5" thickBot="1" x14ac:dyDescent="0.45"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Q46" s="842" t="s">
        <v>139</v>
      </c>
      <c r="R46" s="843"/>
      <c r="S46" s="842" t="s">
        <v>140</v>
      </c>
      <c r="T46" s="843"/>
    </row>
    <row r="47" spans="4:20" ht="17" x14ac:dyDescent="0.4">
      <c r="D47" s="282">
        <v>30</v>
      </c>
      <c r="E47" s="362">
        <v>42826</v>
      </c>
      <c r="F47" s="294">
        <v>4.1333333333333337</v>
      </c>
      <c r="G47" s="295">
        <v>2.2333333333333334</v>
      </c>
      <c r="H47" s="295">
        <v>4.3666666666666663</v>
      </c>
      <c r="I47" s="295">
        <v>2.8</v>
      </c>
      <c r="J47" s="363">
        <v>0</v>
      </c>
      <c r="K47" s="364">
        <v>13.533333333333333</v>
      </c>
      <c r="L47" s="365">
        <v>406</v>
      </c>
      <c r="M47" s="294">
        <f>216/D47</f>
        <v>7.2</v>
      </c>
      <c r="N47" s="295">
        <f>122/D47</f>
        <v>4.0666666666666664</v>
      </c>
      <c r="O47" s="295">
        <f>68/D47</f>
        <v>2.2666666666666666</v>
      </c>
      <c r="P47" s="366"/>
      <c r="Q47" s="367">
        <v>20</v>
      </c>
      <c r="R47" s="368">
        <v>5</v>
      </c>
      <c r="S47" s="369">
        <f>+Q47/D47</f>
        <v>0.66666666666666663</v>
      </c>
      <c r="T47" s="302">
        <f>+R47/$D47</f>
        <v>0.16666666666666666</v>
      </c>
    </row>
    <row r="48" spans="4:20" ht="17" x14ac:dyDescent="0.4">
      <c r="D48" s="282">
        <v>31</v>
      </c>
      <c r="E48" s="362">
        <v>42856</v>
      </c>
      <c r="F48" s="305">
        <v>3.903225806451613</v>
      </c>
      <c r="G48" s="306">
        <v>2.2580645161290325</v>
      </c>
      <c r="H48" s="306">
        <v>4.225806451612903</v>
      </c>
      <c r="I48" s="306">
        <v>2.4516129032258065</v>
      </c>
      <c r="J48" s="370">
        <v>9.6774193548387094E-2</v>
      </c>
      <c r="K48" s="371">
        <v>12.935483870967742</v>
      </c>
      <c r="L48" s="365">
        <v>401</v>
      </c>
      <c r="M48" s="305">
        <f>195/D48</f>
        <v>6.290322580645161</v>
      </c>
      <c r="N48" s="306">
        <f>137/D48</f>
        <v>4.419354838709677</v>
      </c>
      <c r="O48" s="306">
        <f>69/D48</f>
        <v>2.225806451612903</v>
      </c>
      <c r="P48" s="372"/>
      <c r="Q48" s="373">
        <v>25</v>
      </c>
      <c r="R48" s="374">
        <v>5</v>
      </c>
      <c r="S48" s="375">
        <f t="shared" ref="S48:S57" si="5">+Q48/D48</f>
        <v>0.80645161290322576</v>
      </c>
      <c r="T48" s="310">
        <f t="shared" ref="T48:T58" si="6">+R48/$D48</f>
        <v>0.16129032258064516</v>
      </c>
    </row>
    <row r="49" spans="4:20" ht="17" x14ac:dyDescent="0.4">
      <c r="D49" s="282">
        <v>30</v>
      </c>
      <c r="E49" s="362">
        <v>42887</v>
      </c>
      <c r="F49" s="305">
        <v>4.7</v>
      </c>
      <c r="G49" s="306">
        <v>2.4</v>
      </c>
      <c r="H49" s="306">
        <v>3.4333333333333331</v>
      </c>
      <c r="I49" s="306">
        <v>2.8</v>
      </c>
      <c r="J49" s="370">
        <v>0.36666666666666664</v>
      </c>
      <c r="K49" s="371">
        <v>13.7</v>
      </c>
      <c r="L49" s="365">
        <v>411</v>
      </c>
      <c r="M49" s="305">
        <f>221/D49</f>
        <v>7.3666666666666663</v>
      </c>
      <c r="N49" s="306">
        <f>119/D49</f>
        <v>3.9666666666666668</v>
      </c>
      <c r="O49" s="306">
        <f>71/D49</f>
        <v>2.3666666666666667</v>
      </c>
      <c r="P49" s="372"/>
      <c r="Q49" s="373">
        <v>22</v>
      </c>
      <c r="R49" s="374">
        <v>6</v>
      </c>
      <c r="S49" s="375">
        <f t="shared" si="5"/>
        <v>0.73333333333333328</v>
      </c>
      <c r="T49" s="310">
        <f t="shared" si="6"/>
        <v>0.2</v>
      </c>
    </row>
    <row r="50" spans="4:20" ht="17" x14ac:dyDescent="0.4">
      <c r="D50" s="282">
        <v>31</v>
      </c>
      <c r="E50" s="362">
        <v>42917</v>
      </c>
      <c r="F50" s="305">
        <v>3.5161290322580645</v>
      </c>
      <c r="G50" s="306">
        <v>3.032258064516129</v>
      </c>
      <c r="H50" s="306">
        <v>3.4516129032258065</v>
      </c>
      <c r="I50" s="306">
        <v>1.903225806451613</v>
      </c>
      <c r="J50" s="370">
        <v>0</v>
      </c>
      <c r="K50" s="371">
        <v>11.903225806451612</v>
      </c>
      <c r="L50" s="365">
        <v>369</v>
      </c>
      <c r="M50" s="305">
        <f>180/D50</f>
        <v>5.806451612903226</v>
      </c>
      <c r="N50" s="306">
        <f>116/D50</f>
        <v>3.7419354838709675</v>
      </c>
      <c r="O50" s="306">
        <f>73/D50</f>
        <v>2.3548387096774195</v>
      </c>
      <c r="P50" s="372"/>
      <c r="Q50" s="373">
        <v>20</v>
      </c>
      <c r="R50" s="374">
        <v>4</v>
      </c>
      <c r="S50" s="375">
        <f t="shared" si="5"/>
        <v>0.64516129032258063</v>
      </c>
      <c r="T50" s="310">
        <f t="shared" si="6"/>
        <v>0.12903225806451613</v>
      </c>
    </row>
    <row r="51" spans="4:20" ht="17" x14ac:dyDescent="0.4">
      <c r="D51" s="282">
        <v>31</v>
      </c>
      <c r="E51" s="362">
        <v>42948</v>
      </c>
      <c r="F51" s="305">
        <v>4.032258064516129</v>
      </c>
      <c r="G51" s="306">
        <v>3.3548387096774195</v>
      </c>
      <c r="H51" s="306">
        <v>3.6451612903225805</v>
      </c>
      <c r="I51" s="306">
        <v>3</v>
      </c>
      <c r="J51" s="370">
        <v>0.12903225806451613</v>
      </c>
      <c r="K51" s="371">
        <v>14.161290322580646</v>
      </c>
      <c r="L51" s="365">
        <v>439</v>
      </c>
      <c r="M51" s="305">
        <f>239/D51</f>
        <v>7.709677419354839</v>
      </c>
      <c r="N51" s="306">
        <f>111/D51</f>
        <v>3.5806451612903225</v>
      </c>
      <c r="O51" s="306">
        <f>89/D51</f>
        <v>2.870967741935484</v>
      </c>
      <c r="P51" s="372"/>
      <c r="Q51" s="373">
        <v>20</v>
      </c>
      <c r="R51" s="374">
        <v>5</v>
      </c>
      <c r="S51" s="375">
        <f t="shared" si="5"/>
        <v>0.64516129032258063</v>
      </c>
      <c r="T51" s="310">
        <f t="shared" si="6"/>
        <v>0.16129032258064516</v>
      </c>
    </row>
    <row r="52" spans="4:20" ht="17" x14ac:dyDescent="0.4">
      <c r="D52" s="282">
        <v>30</v>
      </c>
      <c r="E52" s="362">
        <v>42979</v>
      </c>
      <c r="F52" s="305">
        <v>4.5</v>
      </c>
      <c r="G52" s="306">
        <v>3</v>
      </c>
      <c r="H52" s="306">
        <v>4.4666666666666668</v>
      </c>
      <c r="I52" s="306">
        <v>2.1666666666666665</v>
      </c>
      <c r="J52" s="370">
        <v>0.34482758620689657</v>
      </c>
      <c r="K52" s="371">
        <v>14.466666666666667</v>
      </c>
      <c r="L52" s="365">
        <v>434</v>
      </c>
      <c r="M52" s="305">
        <f>207/D52</f>
        <v>6.9</v>
      </c>
      <c r="N52" s="306">
        <f>149/D52</f>
        <v>4.9666666666666668</v>
      </c>
      <c r="O52" s="306">
        <f>78/D52</f>
        <v>2.6</v>
      </c>
      <c r="P52" s="372"/>
      <c r="Q52" s="373">
        <v>20</v>
      </c>
      <c r="R52" s="374">
        <v>5</v>
      </c>
      <c r="S52" s="375">
        <f t="shared" si="5"/>
        <v>0.66666666666666663</v>
      </c>
      <c r="T52" s="310">
        <f t="shared" si="6"/>
        <v>0.16666666666666666</v>
      </c>
    </row>
    <row r="53" spans="4:20" ht="17" x14ac:dyDescent="0.4">
      <c r="D53" s="282">
        <v>31</v>
      </c>
      <c r="E53" s="362">
        <v>43009</v>
      </c>
      <c r="F53" s="305">
        <v>4.32258064516129</v>
      </c>
      <c r="G53" s="306">
        <v>3</v>
      </c>
      <c r="H53" s="306">
        <v>3.806451612903226</v>
      </c>
      <c r="I53" s="306">
        <v>2.6774193548387095</v>
      </c>
      <c r="J53" s="370">
        <v>0.45161290322580644</v>
      </c>
      <c r="K53" s="371">
        <v>14.258064516129032</v>
      </c>
      <c r="L53" s="365">
        <v>442</v>
      </c>
      <c r="M53" s="305">
        <f>189/D53</f>
        <v>6.096774193548387</v>
      </c>
      <c r="N53" s="306">
        <f>168/D53</f>
        <v>5.419354838709677</v>
      </c>
      <c r="O53" s="306">
        <f>85/D53</f>
        <v>2.7419354838709675</v>
      </c>
      <c r="P53" s="372"/>
      <c r="Q53" s="373">
        <v>15</v>
      </c>
      <c r="R53" s="374">
        <v>1</v>
      </c>
      <c r="S53" s="375">
        <f t="shared" si="5"/>
        <v>0.4838709677419355</v>
      </c>
      <c r="T53" s="310">
        <f t="shared" si="6"/>
        <v>3.2258064516129031E-2</v>
      </c>
    </row>
    <row r="54" spans="4:20" ht="17" x14ac:dyDescent="0.4">
      <c r="D54" s="282">
        <v>30</v>
      </c>
      <c r="E54" s="362">
        <v>43040</v>
      </c>
      <c r="F54" s="305">
        <v>4.8</v>
      </c>
      <c r="G54" s="306">
        <v>3.0666666666666669</v>
      </c>
      <c r="H54" s="306">
        <v>4.9000000000000004</v>
      </c>
      <c r="I54" s="306">
        <v>2.5666666666666669</v>
      </c>
      <c r="J54" s="370">
        <v>0.2</v>
      </c>
      <c r="K54" s="371">
        <v>15.533333333333333</v>
      </c>
      <c r="L54" s="365">
        <v>466</v>
      </c>
      <c r="M54" s="305">
        <f>165/D54</f>
        <v>5.5</v>
      </c>
      <c r="N54" s="306">
        <f>209/D54</f>
        <v>6.9666666666666668</v>
      </c>
      <c r="O54" s="306">
        <f>92/D54</f>
        <v>3.0666666666666669</v>
      </c>
      <c r="P54" s="372"/>
      <c r="Q54" s="373">
        <v>14</v>
      </c>
      <c r="R54" s="374">
        <v>3</v>
      </c>
      <c r="S54" s="375">
        <f t="shared" si="5"/>
        <v>0.46666666666666667</v>
      </c>
      <c r="T54" s="310">
        <f t="shared" si="6"/>
        <v>0.1</v>
      </c>
    </row>
    <row r="55" spans="4:20" ht="17" x14ac:dyDescent="0.4">
      <c r="D55" s="282">
        <v>31</v>
      </c>
      <c r="E55" s="362">
        <v>43070</v>
      </c>
      <c r="F55" s="376">
        <v>4.774193548387097</v>
      </c>
      <c r="G55" s="377">
        <v>2.935483870967742</v>
      </c>
      <c r="H55" s="377">
        <v>5.5161290322580649</v>
      </c>
      <c r="I55" s="377">
        <v>2.967741935483871</v>
      </c>
      <c r="J55" s="378">
        <v>9.6774193548387094E-2</v>
      </c>
      <c r="K55" s="379">
        <v>16.290322580645164</v>
      </c>
      <c r="L55" s="365">
        <v>505</v>
      </c>
      <c r="M55" s="376">
        <v>4.903225806451613</v>
      </c>
      <c r="N55" s="377">
        <v>8.4516129032258061</v>
      </c>
      <c r="O55" s="377">
        <v>2.935483870967742</v>
      </c>
      <c r="P55" s="372"/>
      <c r="Q55" s="380">
        <v>24</v>
      </c>
      <c r="R55" s="374">
        <v>5</v>
      </c>
      <c r="S55" s="375">
        <f t="shared" si="5"/>
        <v>0.77419354838709675</v>
      </c>
      <c r="T55" s="310">
        <f t="shared" si="6"/>
        <v>0.16129032258064516</v>
      </c>
    </row>
    <row r="56" spans="4:20" ht="17" x14ac:dyDescent="0.4">
      <c r="D56" s="282">
        <v>31</v>
      </c>
      <c r="E56" s="362">
        <v>43101</v>
      </c>
      <c r="F56" s="339">
        <v>4.741935483870968</v>
      </c>
      <c r="G56" s="340">
        <v>3.2580645161290325</v>
      </c>
      <c r="H56" s="340">
        <v>4.580645161290323</v>
      </c>
      <c r="I56" s="340">
        <v>3.096774193548387</v>
      </c>
      <c r="J56" s="381">
        <v>9.6774193548387094E-2</v>
      </c>
      <c r="K56" s="382">
        <v>15.77</v>
      </c>
      <c r="L56" s="365">
        <v>489</v>
      </c>
      <c r="M56" s="339">
        <v>5.096774193548387</v>
      </c>
      <c r="N56" s="340">
        <v>7.5161290322580649</v>
      </c>
      <c r="O56" s="340">
        <v>3.161290322580645</v>
      </c>
      <c r="P56" s="372"/>
      <c r="Q56" s="380">
        <v>26</v>
      </c>
      <c r="R56" s="374">
        <v>4</v>
      </c>
      <c r="S56" s="375">
        <f t="shared" si="5"/>
        <v>0.83870967741935487</v>
      </c>
      <c r="T56" s="310">
        <f t="shared" si="6"/>
        <v>0.12903225806451613</v>
      </c>
    </row>
    <row r="57" spans="4:20" ht="17" x14ac:dyDescent="0.4">
      <c r="D57" s="282">
        <v>28</v>
      </c>
      <c r="E57" s="362">
        <v>43132</v>
      </c>
      <c r="F57" s="339">
        <v>5.5357142857142856</v>
      </c>
      <c r="G57" s="340">
        <v>3.5</v>
      </c>
      <c r="H57" s="340">
        <v>4.6428571428571432</v>
      </c>
      <c r="I57" s="340">
        <v>3.1071428571428572</v>
      </c>
      <c r="J57" s="381">
        <v>3.5714285714285712E-2</v>
      </c>
      <c r="K57" s="382">
        <v>16.82</v>
      </c>
      <c r="L57" s="365">
        <v>471</v>
      </c>
      <c r="M57" s="339">
        <v>5.3214285714285712</v>
      </c>
      <c r="N57" s="340">
        <v>8</v>
      </c>
      <c r="O57" s="340">
        <v>3.5</v>
      </c>
      <c r="P57" s="372"/>
      <c r="Q57" s="380">
        <v>18</v>
      </c>
      <c r="R57" s="374">
        <v>4</v>
      </c>
      <c r="S57" s="375">
        <f t="shared" si="5"/>
        <v>0.6428571428571429</v>
      </c>
      <c r="T57" s="310">
        <f t="shared" si="6"/>
        <v>0.14285714285714285</v>
      </c>
    </row>
    <row r="58" spans="4:20" ht="17.5" thickBot="1" x14ac:dyDescent="0.45">
      <c r="D58" s="282">
        <v>31</v>
      </c>
      <c r="E58" s="383">
        <v>43160</v>
      </c>
      <c r="F58" s="339">
        <v>5.32258064516129</v>
      </c>
      <c r="G58" s="340">
        <v>3.7096774193548385</v>
      </c>
      <c r="H58" s="340">
        <v>4.129032258064516</v>
      </c>
      <c r="I58" s="340">
        <v>3.161290322580645</v>
      </c>
      <c r="J58" s="381">
        <v>3.2258064516129031E-2</v>
      </c>
      <c r="K58" s="382">
        <v>16.35483870967742</v>
      </c>
      <c r="L58" s="365">
        <v>507</v>
      </c>
      <c r="M58" s="339">
        <v>4.193548387096774</v>
      </c>
      <c r="N58" s="340">
        <v>8.258064516129032</v>
      </c>
      <c r="O58" s="340">
        <v>3.7096774193548385</v>
      </c>
      <c r="P58" s="384">
        <v>0.19354838709677419</v>
      </c>
      <c r="Q58" s="380">
        <v>37</v>
      </c>
      <c r="R58" s="374">
        <v>8</v>
      </c>
      <c r="S58" s="375">
        <f>+Q58/D58</f>
        <v>1.1935483870967742</v>
      </c>
      <c r="T58" s="310">
        <f t="shared" si="6"/>
        <v>0.25806451612903225</v>
      </c>
    </row>
    <row r="59" spans="4:20" ht="17.5" thickBot="1" x14ac:dyDescent="0.4">
      <c r="E59" s="350" t="s">
        <v>141</v>
      </c>
      <c r="F59" s="357">
        <f t="shared" ref="F59:K59" si="7">SUMPRODUCT(F47:F58,$D$47:$D$58)/SUM($D$47:$D$58)</f>
        <v>4.515068493150685</v>
      </c>
      <c r="G59" s="357">
        <f t="shared" si="7"/>
        <v>2.978082191780822</v>
      </c>
      <c r="H59" s="357">
        <f t="shared" si="7"/>
        <v>4.2602739726027394</v>
      </c>
      <c r="I59" s="357">
        <f t="shared" si="7"/>
        <v>2.7232876712328768</v>
      </c>
      <c r="J59" s="357">
        <f t="shared" si="7"/>
        <v>0.1543693906471422</v>
      </c>
      <c r="K59" s="357">
        <f t="shared" si="7"/>
        <v>14.629671232876712</v>
      </c>
      <c r="L59" s="385">
        <f>SUM(L47:L58)</f>
        <v>5340</v>
      </c>
      <c r="M59" s="357">
        <f>SUMPRODUCT(M47:M58,$D$47:$D$58)/SUM($D$47:$D$58)</f>
        <v>6.0301369863013701</v>
      </c>
      <c r="N59" s="357">
        <f>SUMPRODUCT(N47:N58,$D$47:$D$58)/SUM($D$47:$D$58)</f>
        <v>5.7698630136986298</v>
      </c>
      <c r="O59" s="357">
        <f>SUMPRODUCT(O47:O58,$D$47:$D$58)/SUM($D$47:$D$58)</f>
        <v>2.8136986301369862</v>
      </c>
      <c r="P59" s="357">
        <f>SUMPRODUCT(P47:P58,$D$47:$D$58)/SUM($D$47:$D$58)</f>
        <v>1.643835616438356E-2</v>
      </c>
      <c r="Q59" s="386">
        <f>SUM(Q47:Q58)</f>
        <v>261</v>
      </c>
      <c r="R59" s="385">
        <f>SUM(R47:R58)</f>
        <v>55</v>
      </c>
      <c r="S59" s="351">
        <f>SUMPRODUCT(S47:S58,$D$47:$D$58)/SUM($D$47:$D$58)</f>
        <v>0.71506849315068488</v>
      </c>
      <c r="T59" s="351">
        <f>SUMPRODUCT(T47:T58,$D$47:$D$58)/SUM($D$47:$D$58)</f>
        <v>0.15068493150684931</v>
      </c>
    </row>
    <row r="61" spans="4:20" x14ac:dyDescent="0.35">
      <c r="S61" s="387"/>
      <c r="T61" s="387"/>
    </row>
    <row r="63" spans="4:20" x14ac:dyDescent="0.35">
      <c r="J63" s="360" t="s">
        <v>150</v>
      </c>
      <c r="K63" s="360" t="s">
        <v>23</v>
      </c>
    </row>
    <row r="64" spans="4:20" x14ac:dyDescent="0.35">
      <c r="J64" s="360" t="s">
        <v>142</v>
      </c>
      <c r="K64" s="360" t="s">
        <v>142</v>
      </c>
    </row>
    <row r="65" spans="9:11" x14ac:dyDescent="0.35">
      <c r="I65" s="231" t="s">
        <v>143</v>
      </c>
      <c r="J65" s="361">
        <f>+SUMPRODUCT(D47:D49,K47:K49)/SUM(D47:D49)</f>
        <v>13.384615384615385</v>
      </c>
      <c r="K65" s="361">
        <f>+SUMPRODUCT(D10:D12,K10:K12)/SUM(D10:D12)</f>
        <v>16.076923076923077</v>
      </c>
    </row>
    <row r="66" spans="9:11" x14ac:dyDescent="0.35">
      <c r="I66" s="231" t="s">
        <v>145</v>
      </c>
      <c r="J66" s="361">
        <f>+SUMPRODUCT(D50:D52,K50:K52)/SUM(D50:D52)</f>
        <v>13.5</v>
      </c>
      <c r="K66" s="361">
        <f>+SUMPRODUCT(D13:D15,K13:K15)/SUM(D13:D15)</f>
        <v>15.315217391304348</v>
      </c>
    </row>
    <row r="67" spans="9:11" x14ac:dyDescent="0.35">
      <c r="I67" s="231" t="s">
        <v>146</v>
      </c>
      <c r="J67" s="361">
        <f>+SUMPRODUCT(D53:D55,K53:K55)/SUM(D53:D55)</f>
        <v>15.358695652173912</v>
      </c>
      <c r="K67" s="361">
        <f>+SUMPRODUCT(D16:D18,K16:K18)/SUM(D16:D18)</f>
        <v>16.826086956521738</v>
      </c>
    </row>
    <row r="68" spans="9:11" x14ac:dyDescent="0.35">
      <c r="I68" s="231" t="s">
        <v>147</v>
      </c>
      <c r="J68" s="361">
        <f>+SUMPRODUCT(D47:D55,K47:K55)/SUM(D47:D55)</f>
        <v>14.083636363636364</v>
      </c>
      <c r="K68" s="361">
        <f>+SUMPRODUCT(D10:D18,K10:K18)/SUM(D10:D18)</f>
        <v>16.072727272727274</v>
      </c>
    </row>
    <row r="69" spans="9:11" x14ac:dyDescent="0.35">
      <c r="I69" s="231" t="s">
        <v>148</v>
      </c>
      <c r="J69" s="361">
        <f>+SUMPRODUCT(D56:D58,K56:K58)/SUM(D56:D58)</f>
        <v>16.298111111111112</v>
      </c>
      <c r="K69" s="361">
        <f>+SUMPRODUCT(D19:D21,K19:K21)/SUM(D19:D21)</f>
        <v>16.889555555555553</v>
      </c>
    </row>
    <row r="70" spans="9:11" x14ac:dyDescent="0.35">
      <c r="I70" s="231" t="s">
        <v>149</v>
      </c>
      <c r="J70" s="361">
        <f>K59</f>
        <v>14.629671232876712</v>
      </c>
      <c r="K70" s="361">
        <f>+K22</f>
        <v>16.274136986301368</v>
      </c>
    </row>
  </sheetData>
  <sheetProtection sheet="1" objects="1" scenarios="1"/>
  <mergeCells count="14">
    <mergeCell ref="Q46:R46"/>
    <mergeCell ref="S46:T46"/>
    <mergeCell ref="E5:O5"/>
    <mergeCell ref="F7:L7"/>
    <mergeCell ref="M7:P7"/>
    <mergeCell ref="Q7:R7"/>
    <mergeCell ref="S7:T7"/>
    <mergeCell ref="Q9:R9"/>
    <mergeCell ref="S9:T9"/>
    <mergeCell ref="E42:O42"/>
    <mergeCell ref="F44:L44"/>
    <mergeCell ref="M44:P44"/>
    <mergeCell ref="Q44:R44"/>
    <mergeCell ref="S44:T44"/>
  </mergeCells>
  <printOptions horizontalCentered="1" verticalCentered="1"/>
  <pageMargins left="0.31496062992126" right="0.31496062992126" top="0.35433070866141703" bottom="0.35433070866141703" header="0.31496062992126" footer="0.31496062992126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2:AE43"/>
  <sheetViews>
    <sheetView workbookViewId="0"/>
  </sheetViews>
  <sheetFormatPr defaultColWidth="9.1796875" defaultRowHeight="14.5" x14ac:dyDescent="0.35"/>
  <cols>
    <col min="1" max="2" width="9.1796875" style="231"/>
    <col min="3" max="3" width="16.1796875" style="231" customWidth="1"/>
    <col min="4" max="4" width="9.1796875" style="231" hidden="1" customWidth="1"/>
    <col min="5" max="5" width="9.1796875" style="231" customWidth="1"/>
    <col min="6" max="6" width="9.1796875" style="231" hidden="1" customWidth="1"/>
    <col min="7" max="7" width="9.1796875" style="231" customWidth="1"/>
    <col min="8" max="8" width="9.1796875" style="231" hidden="1" customWidth="1"/>
    <col min="9" max="9" width="9.1796875" style="231" customWidth="1"/>
    <col min="10" max="10" width="9.1796875" style="231" hidden="1" customWidth="1"/>
    <col min="11" max="11" width="9.1796875" style="429"/>
    <col min="12" max="12" width="9.1796875" style="231" hidden="1" customWidth="1"/>
    <col min="13" max="13" width="9.1796875" style="231"/>
    <col min="14" max="14" width="9.1796875" style="231" hidden="1" customWidth="1"/>
    <col min="15" max="15" width="9.1796875" style="231"/>
    <col min="16" max="16" width="9.1796875" style="231" hidden="1" customWidth="1"/>
    <col min="17" max="17" width="9.1796875" style="231"/>
    <col min="18" max="18" width="9.1796875" style="231" hidden="1" customWidth="1"/>
    <col min="19" max="19" width="9.1796875" style="231" customWidth="1"/>
    <col min="20" max="20" width="9.1796875" style="231" hidden="1" customWidth="1"/>
    <col min="21" max="21" width="9.1796875" style="231" customWidth="1"/>
    <col min="22" max="22" width="9.1796875" style="231" hidden="1" customWidth="1"/>
    <col min="23" max="23" width="9.1796875" style="231" customWidth="1"/>
    <col min="24" max="24" width="9.1796875" style="231" hidden="1" customWidth="1"/>
    <col min="25" max="25" width="9.1796875" style="231" customWidth="1"/>
    <col min="26" max="26" width="9.1796875" style="231" hidden="1" customWidth="1"/>
    <col min="27" max="27" width="9.1796875" style="231" customWidth="1"/>
    <col min="28" max="16384" width="9.1796875" style="231"/>
  </cols>
  <sheetData>
    <row r="2" spans="1:31" ht="15" x14ac:dyDescent="0.25">
      <c r="E2" s="68">
        <v>30</v>
      </c>
      <c r="F2" s="232"/>
      <c r="G2" s="68">
        <v>31</v>
      </c>
      <c r="H2" s="68"/>
      <c r="I2" s="68">
        <v>30</v>
      </c>
      <c r="J2" s="68"/>
      <c r="K2" s="428">
        <v>31</v>
      </c>
      <c r="L2" s="68"/>
      <c r="M2" s="68">
        <v>31</v>
      </c>
      <c r="N2" s="68"/>
      <c r="O2" s="68">
        <v>30</v>
      </c>
      <c r="P2" s="68"/>
      <c r="Q2" s="68">
        <v>31</v>
      </c>
      <c r="R2" s="68"/>
      <c r="S2" s="68">
        <v>30</v>
      </c>
      <c r="T2" s="68"/>
      <c r="U2" s="68">
        <v>31</v>
      </c>
      <c r="V2" s="68"/>
      <c r="W2" s="68">
        <v>31</v>
      </c>
      <c r="X2" s="68"/>
      <c r="Y2" s="68">
        <v>28</v>
      </c>
      <c r="Z2" s="68"/>
      <c r="AA2" s="68">
        <v>31</v>
      </c>
      <c r="AB2" s="68"/>
      <c r="AC2" s="68">
        <f>SUM(E2:AA2)</f>
        <v>365</v>
      </c>
    </row>
    <row r="3" spans="1:31" ht="15" x14ac:dyDescent="0.25">
      <c r="AC3" s="232"/>
    </row>
    <row r="4" spans="1:31" ht="18.75" x14ac:dyDescent="0.3">
      <c r="B4" s="858" t="s">
        <v>121</v>
      </c>
      <c r="C4" s="858"/>
      <c r="D4" s="858"/>
      <c r="E4" s="858"/>
      <c r="F4" s="858"/>
      <c r="G4" s="858"/>
      <c r="H4" s="858"/>
      <c r="I4" s="858"/>
      <c r="J4" s="858"/>
      <c r="K4" s="858"/>
      <c r="L4" s="858"/>
      <c r="M4" s="858"/>
      <c r="N4" s="858"/>
      <c r="O4" s="858"/>
      <c r="P4" s="858"/>
      <c r="Q4" s="858"/>
      <c r="R4" s="858"/>
      <c r="S4" s="858"/>
      <c r="T4" s="858"/>
      <c r="U4" s="858"/>
      <c r="V4" s="858"/>
      <c r="W4" s="858"/>
      <c r="X4" s="858"/>
      <c r="Y4" s="858"/>
      <c r="Z4" s="858"/>
      <c r="AA4" s="858"/>
      <c r="AB4" s="858"/>
      <c r="AC4" s="858"/>
    </row>
    <row r="5" spans="1:31" ht="15.75" thickBot="1" x14ac:dyDescent="0.3">
      <c r="B5" s="233"/>
      <c r="C5" s="233"/>
      <c r="D5" s="233"/>
      <c r="E5" s="233"/>
      <c r="F5" s="233"/>
      <c r="G5" s="233"/>
      <c r="H5" s="233"/>
      <c r="I5" s="233"/>
      <c r="J5" s="233"/>
      <c r="K5" s="430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4"/>
      <c r="AC5" s="234"/>
    </row>
    <row r="6" spans="1:31" ht="15" x14ac:dyDescent="0.25">
      <c r="B6" s="233"/>
      <c r="C6" s="233"/>
      <c r="D6" s="859">
        <v>43191</v>
      </c>
      <c r="E6" s="860"/>
      <c r="F6" s="861">
        <v>43221</v>
      </c>
      <c r="G6" s="861"/>
      <c r="H6" s="859">
        <v>43252</v>
      </c>
      <c r="I6" s="860"/>
      <c r="J6" s="861">
        <v>43282</v>
      </c>
      <c r="K6" s="861"/>
      <c r="L6" s="859">
        <v>43313</v>
      </c>
      <c r="M6" s="860"/>
      <c r="N6" s="861">
        <v>43344</v>
      </c>
      <c r="O6" s="861"/>
      <c r="P6" s="859">
        <v>43374</v>
      </c>
      <c r="Q6" s="860"/>
      <c r="R6" s="861">
        <v>43405</v>
      </c>
      <c r="S6" s="861"/>
      <c r="T6" s="859">
        <v>43435</v>
      </c>
      <c r="U6" s="860"/>
      <c r="V6" s="861">
        <v>43466</v>
      </c>
      <c r="W6" s="861"/>
      <c r="X6" s="859">
        <v>43497</v>
      </c>
      <c r="Y6" s="860"/>
      <c r="Z6" s="861">
        <v>43525</v>
      </c>
      <c r="AA6" s="861"/>
      <c r="AB6" s="859" t="s">
        <v>122</v>
      </c>
      <c r="AC6" s="860"/>
      <c r="AE6" s="465" t="s">
        <v>143</v>
      </c>
    </row>
    <row r="7" spans="1:31" ht="16" thickBot="1" x14ac:dyDescent="0.4">
      <c r="B7" s="235"/>
      <c r="C7" s="233"/>
      <c r="D7" s="236" t="s">
        <v>123</v>
      </c>
      <c r="E7" s="237" t="s">
        <v>124</v>
      </c>
      <c r="F7" s="238" t="s">
        <v>123</v>
      </c>
      <c r="G7" s="239" t="s">
        <v>124</v>
      </c>
      <c r="H7" s="236" t="s">
        <v>123</v>
      </c>
      <c r="I7" s="237" t="s">
        <v>124</v>
      </c>
      <c r="J7" s="238" t="s">
        <v>123</v>
      </c>
      <c r="K7" s="431" t="s">
        <v>124</v>
      </c>
      <c r="L7" s="236" t="s">
        <v>123</v>
      </c>
      <c r="M7" s="237" t="s">
        <v>124</v>
      </c>
      <c r="N7" s="238" t="s">
        <v>123</v>
      </c>
      <c r="O7" s="239" t="s">
        <v>124</v>
      </c>
      <c r="P7" s="236" t="s">
        <v>123</v>
      </c>
      <c r="Q7" s="237" t="s">
        <v>124</v>
      </c>
      <c r="R7" s="238" t="s">
        <v>123</v>
      </c>
      <c r="S7" s="239" t="s">
        <v>124</v>
      </c>
      <c r="T7" s="236" t="s">
        <v>123</v>
      </c>
      <c r="U7" s="237" t="s">
        <v>124</v>
      </c>
      <c r="V7" s="238" t="s">
        <v>123</v>
      </c>
      <c r="W7" s="239" t="s">
        <v>124</v>
      </c>
      <c r="X7" s="236" t="s">
        <v>123</v>
      </c>
      <c r="Y7" s="237" t="s">
        <v>124</v>
      </c>
      <c r="Z7" s="238" t="s">
        <v>123</v>
      </c>
      <c r="AA7" s="239" t="s">
        <v>124</v>
      </c>
      <c r="AB7" s="236" t="s">
        <v>123</v>
      </c>
      <c r="AC7" s="237" t="s">
        <v>124</v>
      </c>
    </row>
    <row r="8" spans="1:31" ht="15" customHeight="1" x14ac:dyDescent="0.35">
      <c r="B8" s="855" t="s">
        <v>42</v>
      </c>
      <c r="C8" s="240" t="s">
        <v>90</v>
      </c>
      <c r="D8" s="241">
        <v>30</v>
      </c>
      <c r="E8" s="242">
        <v>23</v>
      </c>
      <c r="F8" s="243">
        <v>30</v>
      </c>
      <c r="G8" s="244">
        <v>25</v>
      </c>
      <c r="H8" s="241">
        <v>30</v>
      </c>
      <c r="I8" s="242">
        <v>21</v>
      </c>
      <c r="J8" s="243">
        <v>30</v>
      </c>
      <c r="K8" s="432">
        <v>24</v>
      </c>
      <c r="L8" s="241">
        <v>30</v>
      </c>
      <c r="M8" s="242">
        <v>19</v>
      </c>
      <c r="N8" s="243">
        <v>30</v>
      </c>
      <c r="O8" s="244">
        <v>22</v>
      </c>
      <c r="P8" s="241">
        <v>30</v>
      </c>
      <c r="Q8" s="242">
        <v>22</v>
      </c>
      <c r="R8" s="243">
        <v>30</v>
      </c>
      <c r="S8" s="244">
        <v>25</v>
      </c>
      <c r="T8" s="241">
        <v>30</v>
      </c>
      <c r="U8" s="242">
        <v>26</v>
      </c>
      <c r="V8" s="243">
        <v>30</v>
      </c>
      <c r="W8" s="244">
        <v>21</v>
      </c>
      <c r="X8" s="241">
        <v>30</v>
      </c>
      <c r="Y8" s="242">
        <v>24</v>
      </c>
      <c r="Z8" s="243">
        <v>30</v>
      </c>
      <c r="AA8" s="244">
        <v>24</v>
      </c>
      <c r="AB8" s="245">
        <f>+D8+F8+H8+J8+L8+N8+P8+R8+T8+V8+X8+Z8</f>
        <v>360</v>
      </c>
      <c r="AC8" s="246">
        <f>+E8+G8+I8+K8+M8+O8+Q8+S8+U8+W8+Y8+AA8</f>
        <v>276</v>
      </c>
    </row>
    <row r="9" spans="1:31" ht="15" customHeight="1" x14ac:dyDescent="0.35">
      <c r="B9" s="856"/>
      <c r="C9" s="247" t="s">
        <v>92</v>
      </c>
      <c r="D9" s="245">
        <v>78</v>
      </c>
      <c r="E9" s="248">
        <v>61</v>
      </c>
      <c r="F9" s="249">
        <v>78</v>
      </c>
      <c r="G9" s="250">
        <v>62</v>
      </c>
      <c r="H9" s="245">
        <v>78</v>
      </c>
      <c r="I9" s="248">
        <v>69</v>
      </c>
      <c r="J9" s="249">
        <v>80</v>
      </c>
      <c r="K9" s="433">
        <v>64</v>
      </c>
      <c r="L9" s="245">
        <v>80</v>
      </c>
      <c r="M9" s="248">
        <v>61</v>
      </c>
      <c r="N9" s="249">
        <v>80</v>
      </c>
      <c r="O9" s="250">
        <v>75</v>
      </c>
      <c r="P9" s="245">
        <v>85</v>
      </c>
      <c r="Q9" s="248">
        <v>70</v>
      </c>
      <c r="R9" s="249">
        <v>85</v>
      </c>
      <c r="S9" s="250">
        <v>70</v>
      </c>
      <c r="T9" s="245">
        <v>85</v>
      </c>
      <c r="U9" s="248">
        <v>65</v>
      </c>
      <c r="V9" s="249">
        <v>90</v>
      </c>
      <c r="W9" s="250">
        <v>65</v>
      </c>
      <c r="X9" s="245">
        <v>90</v>
      </c>
      <c r="Y9" s="248">
        <v>66</v>
      </c>
      <c r="Z9" s="249">
        <v>90</v>
      </c>
      <c r="AA9" s="250">
        <v>59</v>
      </c>
      <c r="AB9" s="245">
        <f>+D9+F9+H9+J9+L9+N9+P9+R9+T9+V9+X9+Z9</f>
        <v>999</v>
      </c>
      <c r="AC9" s="251">
        <f>+E9+G9+I9+K9+M9+O9+Q9+S9+U9+W9+Y9+AA9</f>
        <v>787</v>
      </c>
    </row>
    <row r="10" spans="1:31" x14ac:dyDescent="0.35">
      <c r="A10" s="245">
        <f>E10+G10+I10</f>
        <v>261</v>
      </c>
      <c r="B10" s="856"/>
      <c r="C10" s="247" t="s">
        <v>125</v>
      </c>
      <c r="D10" s="245">
        <v>108</v>
      </c>
      <c r="E10" s="251">
        <v>84</v>
      </c>
      <c r="F10" s="249">
        <v>108</v>
      </c>
      <c r="G10" s="252">
        <v>87</v>
      </c>
      <c r="H10" s="245">
        <v>108</v>
      </c>
      <c r="I10" s="251">
        <v>90</v>
      </c>
      <c r="J10" s="249">
        <v>110</v>
      </c>
      <c r="K10" s="434">
        <v>88</v>
      </c>
      <c r="L10" s="245">
        <v>110</v>
      </c>
      <c r="M10" s="251">
        <v>80</v>
      </c>
      <c r="N10" s="249">
        <v>110</v>
      </c>
      <c r="O10" s="252">
        <v>97</v>
      </c>
      <c r="P10" s="245">
        <v>115</v>
      </c>
      <c r="Q10" s="251">
        <f>SUM(Q8:Q9)</f>
        <v>92</v>
      </c>
      <c r="R10" s="249">
        <v>115</v>
      </c>
      <c r="S10" s="252">
        <v>95</v>
      </c>
      <c r="T10" s="245">
        <v>115</v>
      </c>
      <c r="U10" s="251">
        <v>91</v>
      </c>
      <c r="V10" s="249">
        <v>120</v>
      </c>
      <c r="W10" s="252">
        <v>86</v>
      </c>
      <c r="X10" s="245">
        <v>120</v>
      </c>
      <c r="Y10" s="251">
        <f>SUM(Y8:Y9)</f>
        <v>90</v>
      </c>
      <c r="Z10" s="249">
        <v>120</v>
      </c>
      <c r="AA10" s="252">
        <f>SUM(AA8:AA9)</f>
        <v>83</v>
      </c>
      <c r="AB10" s="245">
        <f>+D10+F10+H10+J10+L10+N10+P10+R10+T10+V10+X10+Z10</f>
        <v>1359</v>
      </c>
      <c r="AC10" s="251">
        <f>SUM(AC8:AC9)</f>
        <v>1063</v>
      </c>
      <c r="AE10" s="135">
        <f>E10+G10+I10</f>
        <v>261</v>
      </c>
    </row>
    <row r="11" spans="1:31" ht="16" thickBot="1" x14ac:dyDescent="0.4">
      <c r="B11" s="862"/>
      <c r="C11" s="253" t="s">
        <v>126</v>
      </c>
      <c r="D11" s="254">
        <f>D10/E2</f>
        <v>3.6</v>
      </c>
      <c r="E11" s="255">
        <f>E10/E2</f>
        <v>2.8</v>
      </c>
      <c r="F11" s="256">
        <f t="shared" ref="F11" si="0">F10/G2</f>
        <v>3.4838709677419355</v>
      </c>
      <c r="G11" s="257">
        <f t="shared" ref="G11" si="1">G10/G2</f>
        <v>2.806451612903226</v>
      </c>
      <c r="H11" s="254">
        <f>H10/I2</f>
        <v>3.6</v>
      </c>
      <c r="I11" s="255">
        <f>I10/I2</f>
        <v>3</v>
      </c>
      <c r="J11" s="256">
        <f t="shared" ref="J11" si="2">J10/K2</f>
        <v>3.5483870967741935</v>
      </c>
      <c r="K11" s="435">
        <f t="shared" ref="K11" si="3">K10/K2</f>
        <v>2.838709677419355</v>
      </c>
      <c r="L11" s="254">
        <f t="shared" ref="L11" si="4">L10/M2</f>
        <v>3.5483870967741935</v>
      </c>
      <c r="M11" s="255">
        <f t="shared" ref="M11" si="5">M10/M2</f>
        <v>2.5806451612903225</v>
      </c>
      <c r="N11" s="256">
        <f t="shared" ref="N11" si="6">N10/O2</f>
        <v>3.6666666666666665</v>
      </c>
      <c r="O11" s="257">
        <f t="shared" ref="O11" si="7">O10/O2</f>
        <v>3.2333333333333334</v>
      </c>
      <c r="P11" s="254">
        <f t="shared" ref="P11" si="8">P10/Q2</f>
        <v>3.7096774193548385</v>
      </c>
      <c r="Q11" s="255">
        <f>Q10/Q2</f>
        <v>2.967741935483871</v>
      </c>
      <c r="R11" s="256">
        <f t="shared" ref="R11" si="9">R10/S2</f>
        <v>3.8333333333333335</v>
      </c>
      <c r="S11" s="257">
        <f t="shared" ref="S11" si="10">S10/S2</f>
        <v>3.1666666666666665</v>
      </c>
      <c r="T11" s="254">
        <f t="shared" ref="T11" si="11">T10/U2</f>
        <v>3.7096774193548385</v>
      </c>
      <c r="U11" s="255">
        <f t="shared" ref="U11" si="12">U10/U2</f>
        <v>2.935483870967742</v>
      </c>
      <c r="V11" s="256">
        <f t="shared" ref="V11" si="13">V10/W2</f>
        <v>3.870967741935484</v>
      </c>
      <c r="W11" s="257">
        <f t="shared" ref="W11" si="14">W10/W2</f>
        <v>2.774193548387097</v>
      </c>
      <c r="X11" s="254">
        <f>X10/Y2</f>
        <v>4.2857142857142856</v>
      </c>
      <c r="Y11" s="255">
        <f>Y10/Y$2</f>
        <v>3.2142857142857144</v>
      </c>
      <c r="Z11" s="256">
        <f>Z10/AA2</f>
        <v>3.870967741935484</v>
      </c>
      <c r="AA11" s="257">
        <f>AA10/AA$2</f>
        <v>2.6774193548387095</v>
      </c>
      <c r="AB11" s="254">
        <f>AB10/$AC$2</f>
        <v>3.7232876712328768</v>
      </c>
      <c r="AC11" s="255">
        <f>AC10/$AC$2</f>
        <v>2.9123287671232876</v>
      </c>
      <c r="AD11" s="135"/>
    </row>
    <row r="12" spans="1:31" ht="15" customHeight="1" x14ac:dyDescent="0.35">
      <c r="B12" s="855" t="s">
        <v>26</v>
      </c>
      <c r="C12" s="240" t="s">
        <v>90</v>
      </c>
      <c r="D12" s="241"/>
      <c r="E12" s="242">
        <v>34</v>
      </c>
      <c r="F12" s="243"/>
      <c r="G12" s="244">
        <v>25</v>
      </c>
      <c r="H12" s="241"/>
      <c r="I12" s="242">
        <v>13.9</v>
      </c>
      <c r="J12" s="243"/>
      <c r="K12" s="432">
        <v>23</v>
      </c>
      <c r="L12" s="241"/>
      <c r="M12" s="242">
        <v>27</v>
      </c>
      <c r="N12" s="243"/>
      <c r="O12" s="244">
        <v>22</v>
      </c>
      <c r="P12" s="241"/>
      <c r="Q12" s="242">
        <v>14</v>
      </c>
      <c r="R12" s="243"/>
      <c r="S12" s="244">
        <v>14</v>
      </c>
      <c r="T12" s="241"/>
      <c r="U12" s="242">
        <v>24</v>
      </c>
      <c r="V12" s="243"/>
      <c r="W12" s="244">
        <v>26</v>
      </c>
      <c r="X12" s="241"/>
      <c r="Y12" s="242">
        <v>23</v>
      </c>
      <c r="Z12" s="243"/>
      <c r="AA12" s="244">
        <v>20</v>
      </c>
      <c r="AB12" s="241"/>
      <c r="AC12" s="246">
        <f t="shared" ref="AC12:AC13" si="15">+E12+G12+I12+K12+M12+O12+Q12+S12+U12+W12+Y12+AA12</f>
        <v>265.89999999999998</v>
      </c>
    </row>
    <row r="13" spans="1:31" ht="15" customHeight="1" x14ac:dyDescent="0.35">
      <c r="B13" s="856"/>
      <c r="C13" s="247" t="s">
        <v>92</v>
      </c>
      <c r="D13" s="245"/>
      <c r="E13" s="248">
        <v>58</v>
      </c>
      <c r="F13" s="249"/>
      <c r="G13" s="250">
        <v>60</v>
      </c>
      <c r="H13" s="245"/>
      <c r="I13" s="248">
        <v>70.099999999999994</v>
      </c>
      <c r="J13" s="249"/>
      <c r="K13" s="433">
        <v>52</v>
      </c>
      <c r="L13" s="245"/>
      <c r="M13" s="248">
        <v>57</v>
      </c>
      <c r="N13" s="249"/>
      <c r="O13" s="250">
        <v>58</v>
      </c>
      <c r="P13" s="245"/>
      <c r="Q13" s="248">
        <v>67</v>
      </c>
      <c r="R13" s="249"/>
      <c r="S13" s="250">
        <v>72</v>
      </c>
      <c r="T13" s="245"/>
      <c r="U13" s="248">
        <v>63</v>
      </c>
      <c r="V13" s="249"/>
      <c r="W13" s="250">
        <v>61</v>
      </c>
      <c r="X13" s="245"/>
      <c r="Y13" s="248">
        <v>67</v>
      </c>
      <c r="Z13" s="249"/>
      <c r="AA13" s="250">
        <v>63</v>
      </c>
      <c r="AB13" s="245"/>
      <c r="AC13" s="251">
        <f t="shared" si="15"/>
        <v>748.1</v>
      </c>
    </row>
    <row r="14" spans="1:31" x14ac:dyDescent="0.35">
      <c r="A14" s="245">
        <f>E14+G14+I14</f>
        <v>261</v>
      </c>
      <c r="B14" s="856"/>
      <c r="C14" s="247" t="s">
        <v>125</v>
      </c>
      <c r="D14" s="245">
        <v>114</v>
      </c>
      <c r="E14" s="251">
        <v>92</v>
      </c>
      <c r="F14" s="249">
        <v>114</v>
      </c>
      <c r="G14" s="252">
        <v>85</v>
      </c>
      <c r="H14" s="245">
        <v>114</v>
      </c>
      <c r="I14" s="251">
        <v>84</v>
      </c>
      <c r="J14" s="249">
        <v>119</v>
      </c>
      <c r="K14" s="434">
        <v>75</v>
      </c>
      <c r="L14" s="245">
        <v>119</v>
      </c>
      <c r="M14" s="251">
        <v>84</v>
      </c>
      <c r="N14" s="249">
        <v>119</v>
      </c>
      <c r="O14" s="252">
        <v>80</v>
      </c>
      <c r="P14" s="245">
        <v>110</v>
      </c>
      <c r="Q14" s="258">
        <f>SUM(Q12:Q13)</f>
        <v>81</v>
      </c>
      <c r="R14" s="249">
        <v>110</v>
      </c>
      <c r="S14" s="252">
        <v>86</v>
      </c>
      <c r="T14" s="245">
        <v>110</v>
      </c>
      <c r="U14" s="251">
        <v>87</v>
      </c>
      <c r="V14" s="249">
        <v>120</v>
      </c>
      <c r="W14" s="252">
        <v>87</v>
      </c>
      <c r="X14" s="245">
        <v>120</v>
      </c>
      <c r="Y14" s="251">
        <f>SUM(Y12:Y13)</f>
        <v>90</v>
      </c>
      <c r="Z14" s="249">
        <v>120</v>
      </c>
      <c r="AA14" s="252">
        <f>SUM(AA12:AA13)</f>
        <v>83</v>
      </c>
      <c r="AB14" s="245">
        <f>+D14+F14+H14+J14+L14+N14+P14+R14+T14+V14+X14+Z14</f>
        <v>1389</v>
      </c>
      <c r="AC14" s="251">
        <f t="shared" ref="AC14" si="16">SUM(AC12:AC13)</f>
        <v>1014</v>
      </c>
      <c r="AE14" s="135">
        <f>E14+G14+I14</f>
        <v>261</v>
      </c>
    </row>
    <row r="15" spans="1:31" ht="16" thickBot="1" x14ac:dyDescent="0.4">
      <c r="B15" s="857"/>
      <c r="C15" s="259" t="s">
        <v>126</v>
      </c>
      <c r="D15" s="260"/>
      <c r="E15" s="261">
        <f>E14/E2</f>
        <v>3.0666666666666669</v>
      </c>
      <c r="F15" s="262"/>
      <c r="G15" s="263">
        <f t="shared" ref="G15" si="17">G14/G2</f>
        <v>2.7419354838709675</v>
      </c>
      <c r="H15" s="260"/>
      <c r="I15" s="261">
        <f t="shared" ref="I15" si="18">I14/I2</f>
        <v>2.8</v>
      </c>
      <c r="J15" s="262"/>
      <c r="K15" s="436">
        <f t="shared" ref="K15" si="19">K14/K2</f>
        <v>2.4193548387096775</v>
      </c>
      <c r="L15" s="260"/>
      <c r="M15" s="261">
        <f t="shared" ref="M15" si="20">M14/M2</f>
        <v>2.7096774193548385</v>
      </c>
      <c r="N15" s="262"/>
      <c r="O15" s="263">
        <f t="shared" ref="O15" si="21">O14/O2</f>
        <v>2.6666666666666665</v>
      </c>
      <c r="P15" s="260"/>
      <c r="Q15" s="261">
        <f t="shared" ref="Q15" si="22">Q14/Q2</f>
        <v>2.6129032258064515</v>
      </c>
      <c r="R15" s="262"/>
      <c r="S15" s="263">
        <f t="shared" ref="S15" si="23">S14/S2</f>
        <v>2.8666666666666667</v>
      </c>
      <c r="T15" s="260"/>
      <c r="U15" s="261">
        <f t="shared" ref="U15" si="24">U14/U2</f>
        <v>2.806451612903226</v>
      </c>
      <c r="V15" s="262"/>
      <c r="W15" s="263">
        <f t="shared" ref="W15" si="25">W14/W2</f>
        <v>2.806451612903226</v>
      </c>
      <c r="X15" s="260"/>
      <c r="Y15" s="261">
        <f>Y14/Y$2</f>
        <v>3.2142857142857144</v>
      </c>
      <c r="Z15" s="262"/>
      <c r="AA15" s="263">
        <f>AA14/AA$2</f>
        <v>2.6774193548387095</v>
      </c>
      <c r="AB15" s="264">
        <f>AB14/$AC$2</f>
        <v>3.8054794520547945</v>
      </c>
      <c r="AC15" s="261">
        <f t="shared" ref="AC15" si="26">AC14/$AC$2</f>
        <v>2.7780821917808218</v>
      </c>
      <c r="AD15" s="135"/>
    </row>
    <row r="16" spans="1:31" ht="15.75" customHeight="1" x14ac:dyDescent="0.35">
      <c r="B16" s="869" t="s">
        <v>27</v>
      </c>
      <c r="C16" s="265" t="s">
        <v>90</v>
      </c>
      <c r="D16" s="266"/>
      <c r="E16" s="267">
        <v>35</v>
      </c>
      <c r="F16" s="268"/>
      <c r="G16" s="269">
        <v>40.4</v>
      </c>
      <c r="H16" s="266"/>
      <c r="I16" s="267">
        <v>63.8</v>
      </c>
      <c r="J16" s="268"/>
      <c r="K16" s="437">
        <v>54.2</v>
      </c>
      <c r="L16" s="266"/>
      <c r="M16" s="267">
        <v>54.5</v>
      </c>
      <c r="N16" s="268"/>
      <c r="O16" s="269">
        <v>52</v>
      </c>
      <c r="P16" s="266"/>
      <c r="Q16" s="270">
        <v>46.2</v>
      </c>
      <c r="R16" s="268"/>
      <c r="S16" s="269">
        <v>51.4</v>
      </c>
      <c r="T16" s="266"/>
      <c r="U16" s="267">
        <v>66</v>
      </c>
      <c r="V16" s="268"/>
      <c r="W16" s="269">
        <v>49.4</v>
      </c>
      <c r="X16" s="266"/>
      <c r="Y16" s="267">
        <v>47.9</v>
      </c>
      <c r="Z16" s="268"/>
      <c r="AA16" s="269">
        <v>73.099999999999994</v>
      </c>
      <c r="AB16" s="266">
        <f t="shared" ref="AB16" si="27">D16+F16+H16+J16+L16+N16+P16</f>
        <v>0</v>
      </c>
      <c r="AC16" s="270">
        <f t="shared" ref="AC16:AC17" si="28">+E16+G16+I16+K16+M16+O16+Q16+S16+U16+W16+Y16+AA16</f>
        <v>633.9</v>
      </c>
    </row>
    <row r="17" spans="1:31" ht="16.5" customHeight="1" x14ac:dyDescent="0.35">
      <c r="B17" s="870"/>
      <c r="C17" s="247" t="s">
        <v>92</v>
      </c>
      <c r="D17" s="245"/>
      <c r="E17" s="248">
        <v>91</v>
      </c>
      <c r="F17" s="249"/>
      <c r="G17" s="250">
        <v>94.6</v>
      </c>
      <c r="H17" s="245"/>
      <c r="I17" s="248">
        <v>87.2</v>
      </c>
      <c r="J17" s="249"/>
      <c r="K17" s="433">
        <v>78.8</v>
      </c>
      <c r="L17" s="245"/>
      <c r="M17" s="248">
        <v>60.5</v>
      </c>
      <c r="N17" s="249"/>
      <c r="O17" s="250">
        <v>60</v>
      </c>
      <c r="P17" s="245"/>
      <c r="Q17" s="251">
        <v>79.8</v>
      </c>
      <c r="R17" s="249"/>
      <c r="S17" s="250">
        <v>89.6</v>
      </c>
      <c r="T17" s="245"/>
      <c r="U17" s="248">
        <v>78</v>
      </c>
      <c r="V17" s="249"/>
      <c r="W17" s="250">
        <v>77.599999999999994</v>
      </c>
      <c r="X17" s="245"/>
      <c r="Y17" s="248">
        <v>67.099999999999994</v>
      </c>
      <c r="Z17" s="249"/>
      <c r="AA17" s="250">
        <v>70.900000000000006</v>
      </c>
      <c r="AB17" s="245">
        <f t="shared" ref="AB17" si="29">AB16/$AC$2</f>
        <v>0</v>
      </c>
      <c r="AC17" s="251">
        <f t="shared" si="28"/>
        <v>935.1</v>
      </c>
    </row>
    <row r="18" spans="1:31" x14ac:dyDescent="0.35">
      <c r="A18" s="245">
        <f>E18+G18+I18</f>
        <v>412</v>
      </c>
      <c r="B18" s="870"/>
      <c r="C18" s="247" t="s">
        <v>125</v>
      </c>
      <c r="D18" s="245">
        <v>155</v>
      </c>
      <c r="E18" s="248">
        <f>SUM(E16:E17)</f>
        <v>126</v>
      </c>
      <c r="F18" s="249">
        <v>155</v>
      </c>
      <c r="G18" s="250">
        <f t="shared" ref="G18:O18" si="30">SUM(G16:G17)</f>
        <v>135</v>
      </c>
      <c r="H18" s="245">
        <v>155</v>
      </c>
      <c r="I18" s="248">
        <f t="shared" si="30"/>
        <v>151</v>
      </c>
      <c r="J18" s="249">
        <v>155</v>
      </c>
      <c r="K18" s="433">
        <f t="shared" si="30"/>
        <v>133</v>
      </c>
      <c r="L18" s="245">
        <v>155</v>
      </c>
      <c r="M18" s="248">
        <f t="shared" si="30"/>
        <v>115</v>
      </c>
      <c r="N18" s="249">
        <v>155</v>
      </c>
      <c r="O18" s="250">
        <f t="shared" si="30"/>
        <v>112</v>
      </c>
      <c r="P18" s="245">
        <v>149</v>
      </c>
      <c r="Q18" s="258">
        <f>SUM(Q16:Q17)</f>
        <v>126</v>
      </c>
      <c r="R18" s="249">
        <v>149</v>
      </c>
      <c r="S18" s="250">
        <v>141</v>
      </c>
      <c r="T18" s="245">
        <v>149</v>
      </c>
      <c r="U18" s="248">
        <v>144</v>
      </c>
      <c r="V18" s="249">
        <v>155</v>
      </c>
      <c r="W18" s="250">
        <v>127</v>
      </c>
      <c r="X18" s="245">
        <v>155</v>
      </c>
      <c r="Y18" s="248">
        <f>SUM(Y16:Y17)</f>
        <v>115</v>
      </c>
      <c r="Z18" s="249">
        <v>155</v>
      </c>
      <c r="AA18" s="250">
        <f>SUM(AA16:AA17)</f>
        <v>144</v>
      </c>
      <c r="AB18" s="245">
        <f>+D18+F18+H18+J18+L18+N18+P18+R18+T18+V18+X18+Z18</f>
        <v>1842</v>
      </c>
      <c r="AC18" s="251">
        <f t="shared" ref="AC18" si="31">SUM(AC16:AC17)</f>
        <v>1569</v>
      </c>
      <c r="AE18" s="135">
        <f>E18+G18+I18</f>
        <v>412</v>
      </c>
    </row>
    <row r="19" spans="1:31" ht="16" thickBot="1" x14ac:dyDescent="0.4">
      <c r="B19" s="871"/>
      <c r="C19" s="253" t="s">
        <v>126</v>
      </c>
      <c r="D19" s="271"/>
      <c r="E19" s="255">
        <f>E18/E2</f>
        <v>4.2</v>
      </c>
      <c r="F19" s="272"/>
      <c r="G19" s="257">
        <f t="shared" ref="G19" si="32">G18/G2</f>
        <v>4.354838709677419</v>
      </c>
      <c r="H19" s="271"/>
      <c r="I19" s="255">
        <f t="shared" ref="I19" si="33">I18/I2</f>
        <v>5.0333333333333332</v>
      </c>
      <c r="J19" s="272"/>
      <c r="K19" s="435">
        <f t="shared" ref="K19" si="34">K18/K2</f>
        <v>4.290322580645161</v>
      </c>
      <c r="L19" s="271"/>
      <c r="M19" s="255">
        <f t="shared" ref="M19" si="35">M18/M2</f>
        <v>3.7096774193548385</v>
      </c>
      <c r="N19" s="272"/>
      <c r="O19" s="257">
        <f t="shared" ref="O19" si="36">O18/O2</f>
        <v>3.7333333333333334</v>
      </c>
      <c r="P19" s="271"/>
      <c r="Q19" s="255">
        <f t="shared" ref="Q19" si="37">Q18/Q2</f>
        <v>4.064516129032258</v>
      </c>
      <c r="R19" s="272"/>
      <c r="S19" s="257">
        <f t="shared" ref="S19" si="38">S18/S2</f>
        <v>4.7</v>
      </c>
      <c r="T19" s="271"/>
      <c r="U19" s="255">
        <f t="shared" ref="U19" si="39">U18/U2</f>
        <v>4.645161290322581</v>
      </c>
      <c r="V19" s="272"/>
      <c r="W19" s="257">
        <f t="shared" ref="W19" si="40">W18/W2</f>
        <v>4.096774193548387</v>
      </c>
      <c r="X19" s="271"/>
      <c r="Y19" s="255">
        <f>Y18/Y$2</f>
        <v>4.1071428571428568</v>
      </c>
      <c r="Z19" s="272"/>
      <c r="AA19" s="257">
        <f>AA18/AA$2</f>
        <v>4.645161290322581</v>
      </c>
      <c r="AB19" s="254">
        <f>AB18/$AC$2</f>
        <v>5.0465753424657533</v>
      </c>
      <c r="AC19" s="255">
        <f t="shared" ref="AC19" si="41">AC18/$AC$2</f>
        <v>4.2986301369863016</v>
      </c>
      <c r="AD19" s="135"/>
    </row>
    <row r="20" spans="1:31" ht="15.75" customHeight="1" x14ac:dyDescent="0.35">
      <c r="B20" s="855" t="s">
        <v>29</v>
      </c>
      <c r="C20" s="240" t="s">
        <v>90</v>
      </c>
      <c r="D20" s="241"/>
      <c r="E20" s="242"/>
      <c r="F20" s="243"/>
      <c r="G20" s="273">
        <v>4</v>
      </c>
      <c r="H20" s="241"/>
      <c r="I20" s="246">
        <v>16</v>
      </c>
      <c r="J20" s="243"/>
      <c r="K20" s="438">
        <v>15</v>
      </c>
      <c r="L20" s="241"/>
      <c r="M20" s="246">
        <v>11</v>
      </c>
      <c r="N20" s="243"/>
      <c r="O20" s="273">
        <v>13</v>
      </c>
      <c r="P20" s="241"/>
      <c r="Q20" s="246">
        <v>19</v>
      </c>
      <c r="R20" s="243"/>
      <c r="S20" s="273">
        <v>17</v>
      </c>
      <c r="T20" s="241"/>
      <c r="U20" s="246">
        <v>22</v>
      </c>
      <c r="V20" s="243"/>
      <c r="W20" s="273">
        <v>20</v>
      </c>
      <c r="X20" s="241"/>
      <c r="Y20" s="246">
        <v>20</v>
      </c>
      <c r="Z20" s="243"/>
      <c r="AA20" s="273">
        <v>22</v>
      </c>
      <c r="AB20" s="241">
        <f t="shared" ref="AB20" si="42">D20+F20+H20+J20+L20+N20+P20</f>
        <v>0</v>
      </c>
      <c r="AC20" s="246">
        <f t="shared" ref="AC20:AC21" si="43">+E20+G20+I20+K20+M20+O20+Q20+S20+U20+W20+Y20+AA20</f>
        <v>179</v>
      </c>
    </row>
    <row r="21" spans="1:31" ht="16.5" customHeight="1" x14ac:dyDescent="0.35">
      <c r="B21" s="856"/>
      <c r="C21" s="247" t="s">
        <v>92</v>
      </c>
      <c r="D21" s="245"/>
      <c r="E21" s="248"/>
      <c r="F21" s="274"/>
      <c r="G21" s="275">
        <v>4</v>
      </c>
      <c r="H21" s="276"/>
      <c r="I21" s="277">
        <v>20</v>
      </c>
      <c r="J21" s="274"/>
      <c r="K21" s="439">
        <v>32</v>
      </c>
      <c r="L21" s="276"/>
      <c r="M21" s="277">
        <v>33</v>
      </c>
      <c r="N21" s="274"/>
      <c r="O21" s="275">
        <v>24</v>
      </c>
      <c r="P21" s="276"/>
      <c r="Q21" s="277">
        <v>26</v>
      </c>
      <c r="R21" s="274"/>
      <c r="S21" s="275">
        <v>38</v>
      </c>
      <c r="T21" s="276"/>
      <c r="U21" s="277">
        <v>30</v>
      </c>
      <c r="V21" s="274"/>
      <c r="W21" s="275">
        <v>35</v>
      </c>
      <c r="X21" s="276"/>
      <c r="Y21" s="277">
        <v>35</v>
      </c>
      <c r="Z21" s="274"/>
      <c r="AA21" s="275">
        <v>27</v>
      </c>
      <c r="AB21" s="245">
        <f>+D21+F21+H21+J21+L21+N21+P21+R21+T21+V21</f>
        <v>0</v>
      </c>
      <c r="AC21" s="251">
        <f t="shared" si="43"/>
        <v>304</v>
      </c>
    </row>
    <row r="22" spans="1:31" x14ac:dyDescent="0.35">
      <c r="A22" s="245">
        <f>E22+G22+I22</f>
        <v>44</v>
      </c>
      <c r="B22" s="856"/>
      <c r="C22" s="247" t="s">
        <v>125</v>
      </c>
      <c r="D22" s="245">
        <v>40</v>
      </c>
      <c r="E22" s="248">
        <f>SUM(E20:E21)</f>
        <v>0</v>
      </c>
      <c r="F22" s="249">
        <v>40</v>
      </c>
      <c r="G22" s="252">
        <f t="shared" ref="G22:O22" si="44">SUM(G20:G21)</f>
        <v>8</v>
      </c>
      <c r="H22" s="245">
        <v>50</v>
      </c>
      <c r="I22" s="251">
        <f t="shared" si="44"/>
        <v>36</v>
      </c>
      <c r="J22" s="249">
        <v>65</v>
      </c>
      <c r="K22" s="434">
        <f t="shared" si="44"/>
        <v>47</v>
      </c>
      <c r="L22" s="245">
        <v>65</v>
      </c>
      <c r="M22" s="251">
        <f t="shared" si="44"/>
        <v>44</v>
      </c>
      <c r="N22" s="249">
        <v>65</v>
      </c>
      <c r="O22" s="252">
        <f t="shared" si="44"/>
        <v>37</v>
      </c>
      <c r="P22" s="245">
        <v>64</v>
      </c>
      <c r="Q22" s="251">
        <f>SUM(Q20:Q21)</f>
        <v>45</v>
      </c>
      <c r="R22" s="249">
        <v>64</v>
      </c>
      <c r="S22" s="252">
        <v>55</v>
      </c>
      <c r="T22" s="245">
        <v>64</v>
      </c>
      <c r="U22" s="251">
        <v>52</v>
      </c>
      <c r="V22" s="249">
        <v>60</v>
      </c>
      <c r="W22" s="252">
        <v>55</v>
      </c>
      <c r="X22" s="245">
        <v>60</v>
      </c>
      <c r="Y22" s="248">
        <f>SUM(Y20:Y21)</f>
        <v>55</v>
      </c>
      <c r="Z22" s="249">
        <v>60</v>
      </c>
      <c r="AA22" s="250">
        <f>SUM(AA20:AA21)</f>
        <v>49</v>
      </c>
      <c r="AB22" s="245">
        <f>+D22+F22+H22+J22+L22+N22+P22+R22+T22+V22+X22+Z22</f>
        <v>697</v>
      </c>
      <c r="AC22" s="251">
        <f t="shared" ref="AC22" si="45">SUM(AC20:AC21)</f>
        <v>483</v>
      </c>
      <c r="AE22" s="135">
        <f>E22+G22+I22</f>
        <v>44</v>
      </c>
    </row>
    <row r="23" spans="1:31" ht="16" thickBot="1" x14ac:dyDescent="0.4">
      <c r="B23" s="857"/>
      <c r="C23" s="259" t="s">
        <v>126</v>
      </c>
      <c r="D23" s="260"/>
      <c r="E23" s="261" t="e">
        <f>E22/E6</f>
        <v>#DIV/0!</v>
      </c>
      <c r="F23" s="262"/>
      <c r="G23" s="263">
        <f t="shared" ref="G23:Q23" si="46">G22/G$2</f>
        <v>0.25806451612903225</v>
      </c>
      <c r="H23" s="260"/>
      <c r="I23" s="261">
        <f t="shared" si="46"/>
        <v>1.2</v>
      </c>
      <c r="J23" s="262"/>
      <c r="K23" s="436">
        <f t="shared" si="46"/>
        <v>1.5161290322580645</v>
      </c>
      <c r="L23" s="260"/>
      <c r="M23" s="261">
        <f t="shared" si="46"/>
        <v>1.4193548387096775</v>
      </c>
      <c r="N23" s="262"/>
      <c r="O23" s="263">
        <f t="shared" si="46"/>
        <v>1.2333333333333334</v>
      </c>
      <c r="P23" s="260"/>
      <c r="Q23" s="261">
        <f t="shared" si="46"/>
        <v>1.4516129032258065</v>
      </c>
      <c r="R23" s="262"/>
      <c r="S23" s="263">
        <f t="shared" ref="S23" si="47">S22/S$2</f>
        <v>1.8333333333333333</v>
      </c>
      <c r="T23" s="260"/>
      <c r="U23" s="261">
        <f t="shared" ref="U23" si="48">U22/U$2</f>
        <v>1.6774193548387097</v>
      </c>
      <c r="V23" s="262"/>
      <c r="W23" s="263">
        <f t="shared" ref="W23" si="49">W22/W$2</f>
        <v>1.7741935483870968</v>
      </c>
      <c r="X23" s="260"/>
      <c r="Y23" s="261">
        <f>Y22/Y$2</f>
        <v>1.9642857142857142</v>
      </c>
      <c r="Z23" s="262"/>
      <c r="AA23" s="263">
        <f>AA22/AA$2</f>
        <v>1.5806451612903225</v>
      </c>
      <c r="AB23" s="264">
        <f>AB22/$AC$2</f>
        <v>1.9095890410958904</v>
      </c>
      <c r="AC23" s="261">
        <f t="shared" ref="AC23" si="50">AC22/$AC$2</f>
        <v>1.3232876712328767</v>
      </c>
      <c r="AD23" s="135"/>
    </row>
    <row r="24" spans="1:31" ht="15.75" customHeight="1" x14ac:dyDescent="0.35">
      <c r="B24" s="869" t="s">
        <v>30</v>
      </c>
      <c r="C24" s="265" t="s">
        <v>90</v>
      </c>
      <c r="D24" s="266"/>
      <c r="E24" s="267">
        <v>13</v>
      </c>
      <c r="F24" s="268"/>
      <c r="G24" s="278">
        <v>9</v>
      </c>
      <c r="H24" s="266"/>
      <c r="I24" s="270">
        <v>11</v>
      </c>
      <c r="J24" s="268"/>
      <c r="K24" s="440">
        <v>9</v>
      </c>
      <c r="L24" s="266"/>
      <c r="M24" s="270">
        <v>3</v>
      </c>
      <c r="N24" s="268"/>
      <c r="O24" s="278">
        <v>1</v>
      </c>
      <c r="P24" s="266"/>
      <c r="Q24" s="270">
        <v>6</v>
      </c>
      <c r="R24" s="268"/>
      <c r="S24" s="278"/>
      <c r="T24" s="266"/>
      <c r="U24" s="270"/>
      <c r="V24" s="268"/>
      <c r="W24" s="278"/>
      <c r="X24" s="266"/>
      <c r="Y24" s="270"/>
      <c r="Z24" s="268"/>
      <c r="AA24" s="278">
        <v>3</v>
      </c>
      <c r="AB24" s="266">
        <f t="shared" ref="AB24:AB25" si="51">+D24+F24+H24+J24+L24+N24+P24+R24+T24+V24</f>
        <v>0</v>
      </c>
      <c r="AC24" s="270">
        <f t="shared" ref="AC24:AC25" si="52">+E24+G24+I24+K24+M24+O24+Q24+S24+U24+W24+Y24+AA24</f>
        <v>55</v>
      </c>
    </row>
    <row r="25" spans="1:31" ht="16.5" customHeight="1" x14ac:dyDescent="0.35">
      <c r="B25" s="870"/>
      <c r="C25" s="247" t="s">
        <v>92</v>
      </c>
      <c r="D25" s="245"/>
      <c r="E25" s="248">
        <v>7</v>
      </c>
      <c r="F25" s="274"/>
      <c r="G25" s="275">
        <v>10</v>
      </c>
      <c r="H25" s="276"/>
      <c r="I25" s="277">
        <v>5</v>
      </c>
      <c r="J25" s="274"/>
      <c r="K25" s="439">
        <v>4</v>
      </c>
      <c r="L25" s="276"/>
      <c r="M25" s="277"/>
      <c r="N25" s="274"/>
      <c r="O25" s="275">
        <v>4</v>
      </c>
      <c r="P25" s="276"/>
      <c r="Q25" s="277"/>
      <c r="R25" s="274"/>
      <c r="S25" s="275"/>
      <c r="T25" s="276"/>
      <c r="U25" s="277"/>
      <c r="V25" s="274"/>
      <c r="W25" s="275"/>
      <c r="X25" s="276"/>
      <c r="Y25" s="277"/>
      <c r="Z25" s="274"/>
      <c r="AA25" s="275">
        <v>1</v>
      </c>
      <c r="AB25" s="279">
        <f t="shared" si="51"/>
        <v>0</v>
      </c>
      <c r="AC25" s="251">
        <f t="shared" si="52"/>
        <v>31</v>
      </c>
    </row>
    <row r="26" spans="1:31" x14ac:dyDescent="0.35">
      <c r="A26" s="245">
        <f>E26+G26+I26</f>
        <v>55</v>
      </c>
      <c r="B26" s="870"/>
      <c r="C26" s="247" t="s">
        <v>125</v>
      </c>
      <c r="D26" s="245">
        <v>30</v>
      </c>
      <c r="E26" s="248">
        <f>SUM(E24:E25)</f>
        <v>20</v>
      </c>
      <c r="F26" s="249">
        <v>30</v>
      </c>
      <c r="G26" s="252">
        <f t="shared" ref="G26:O26" si="53">SUM(G24:G25)</f>
        <v>19</v>
      </c>
      <c r="H26" s="245">
        <v>20</v>
      </c>
      <c r="I26" s="251">
        <f t="shared" si="53"/>
        <v>16</v>
      </c>
      <c r="J26" s="249">
        <v>25</v>
      </c>
      <c r="K26" s="434">
        <f t="shared" si="53"/>
        <v>13</v>
      </c>
      <c r="L26" s="245">
        <v>25</v>
      </c>
      <c r="M26" s="251">
        <f t="shared" si="53"/>
        <v>3</v>
      </c>
      <c r="N26" s="249">
        <v>25</v>
      </c>
      <c r="O26" s="252">
        <f t="shared" si="53"/>
        <v>5</v>
      </c>
      <c r="P26" s="245">
        <v>6</v>
      </c>
      <c r="Q26" s="251">
        <f>SUM(Q24:Q25)</f>
        <v>6</v>
      </c>
      <c r="R26" s="249">
        <v>6</v>
      </c>
      <c r="S26" s="252">
        <v>0</v>
      </c>
      <c r="T26" s="245">
        <v>6</v>
      </c>
      <c r="U26" s="251">
        <v>0</v>
      </c>
      <c r="V26" s="249">
        <v>5</v>
      </c>
      <c r="W26" s="252">
        <v>0</v>
      </c>
      <c r="X26" s="245">
        <v>5</v>
      </c>
      <c r="Y26" s="248">
        <f>SUM(Y24:Y25)</f>
        <v>0</v>
      </c>
      <c r="Z26" s="249">
        <v>5</v>
      </c>
      <c r="AA26" s="250">
        <f>SUM(AA24:AA25)</f>
        <v>4</v>
      </c>
      <c r="AB26" s="245">
        <f>+D26+F26+H26+J26+L26+N26+P26+R26+T26+V26+X26+Z26</f>
        <v>188</v>
      </c>
      <c r="AC26" s="251">
        <f t="shared" ref="AC26" si="54">SUM(AC24:AC25)</f>
        <v>86</v>
      </c>
      <c r="AE26" s="135">
        <f>E26+G26+I26</f>
        <v>55</v>
      </c>
    </row>
    <row r="27" spans="1:31" ht="16" thickBot="1" x14ac:dyDescent="0.4">
      <c r="B27" s="871"/>
      <c r="C27" s="253" t="s">
        <v>126</v>
      </c>
      <c r="D27" s="271"/>
      <c r="E27" s="255">
        <f t="shared" ref="E27:Q27" si="55">E26/E$2</f>
        <v>0.66666666666666663</v>
      </c>
      <c r="F27" s="272"/>
      <c r="G27" s="257">
        <f t="shared" si="55"/>
        <v>0.61290322580645162</v>
      </c>
      <c r="H27" s="271"/>
      <c r="I27" s="255">
        <f t="shared" si="55"/>
        <v>0.53333333333333333</v>
      </c>
      <c r="J27" s="272"/>
      <c r="K27" s="435">
        <f t="shared" si="55"/>
        <v>0.41935483870967744</v>
      </c>
      <c r="L27" s="271"/>
      <c r="M27" s="255">
        <f t="shared" si="55"/>
        <v>9.6774193548387094E-2</v>
      </c>
      <c r="N27" s="272"/>
      <c r="O27" s="257">
        <f t="shared" si="55"/>
        <v>0.16666666666666666</v>
      </c>
      <c r="P27" s="271"/>
      <c r="Q27" s="255">
        <f t="shared" si="55"/>
        <v>0.19354838709677419</v>
      </c>
      <c r="R27" s="272"/>
      <c r="S27" s="257">
        <f t="shared" ref="S27" si="56">S26/S$2</f>
        <v>0</v>
      </c>
      <c r="T27" s="271"/>
      <c r="U27" s="255">
        <f t="shared" ref="U27" si="57">U26/U$2</f>
        <v>0</v>
      </c>
      <c r="V27" s="272"/>
      <c r="W27" s="257">
        <f t="shared" ref="W27" si="58">W26/W$2</f>
        <v>0</v>
      </c>
      <c r="X27" s="271"/>
      <c r="Y27" s="255">
        <f>Y26/Y$2</f>
        <v>0</v>
      </c>
      <c r="Z27" s="272"/>
      <c r="AA27" s="257">
        <f>AA26/AA$2</f>
        <v>0.12903225806451613</v>
      </c>
      <c r="AB27" s="254">
        <f>AB26/$AC$2</f>
        <v>0.51506849315068493</v>
      </c>
      <c r="AC27" s="255">
        <f t="shared" ref="AC27" si="59">AC26/$AC$2</f>
        <v>0.23561643835616439</v>
      </c>
      <c r="AD27" s="135"/>
    </row>
    <row r="28" spans="1:31" ht="15.75" customHeight="1" x14ac:dyDescent="0.35">
      <c r="B28" s="855" t="s">
        <v>31</v>
      </c>
      <c r="C28" s="240" t="s">
        <v>90</v>
      </c>
      <c r="D28" s="241"/>
      <c r="E28" s="242">
        <v>20</v>
      </c>
      <c r="F28" s="243"/>
      <c r="G28" s="273">
        <v>20</v>
      </c>
      <c r="H28" s="241"/>
      <c r="I28" s="246">
        <v>20</v>
      </c>
      <c r="J28" s="243"/>
      <c r="K28" s="438">
        <v>13</v>
      </c>
      <c r="L28" s="241"/>
      <c r="M28" s="246">
        <v>22</v>
      </c>
      <c r="N28" s="243"/>
      <c r="O28" s="273">
        <v>17</v>
      </c>
      <c r="P28" s="241"/>
      <c r="Q28" s="246">
        <v>21</v>
      </c>
      <c r="R28" s="243"/>
      <c r="S28" s="273">
        <v>21</v>
      </c>
      <c r="T28" s="241"/>
      <c r="U28" s="246">
        <v>23</v>
      </c>
      <c r="V28" s="243"/>
      <c r="W28" s="273">
        <v>23</v>
      </c>
      <c r="X28" s="241"/>
      <c r="Y28" s="246">
        <v>23</v>
      </c>
      <c r="Z28" s="243"/>
      <c r="AA28" s="273">
        <v>27</v>
      </c>
      <c r="AB28" s="241">
        <f t="shared" ref="AB28:AB29" si="60">+D28+F28+H28+J28+L28+N28+P28+R28+T28+V28</f>
        <v>0</v>
      </c>
      <c r="AC28" s="246">
        <f t="shared" ref="AC28:AC29" si="61">+E28+G28+I28+K28+M28+O28+Q28+S28+U28+W28+Y28+AA28</f>
        <v>250</v>
      </c>
    </row>
    <row r="29" spans="1:31" ht="16.5" customHeight="1" x14ac:dyDescent="0.35">
      <c r="B29" s="856"/>
      <c r="C29" s="247" t="s">
        <v>92</v>
      </c>
      <c r="D29" s="245"/>
      <c r="E29" s="248">
        <v>25</v>
      </c>
      <c r="F29" s="274"/>
      <c r="G29" s="275">
        <v>19</v>
      </c>
      <c r="H29" s="276"/>
      <c r="I29" s="277">
        <v>16</v>
      </c>
      <c r="J29" s="274"/>
      <c r="K29" s="439">
        <v>4</v>
      </c>
      <c r="L29" s="276"/>
      <c r="M29" s="277">
        <v>11</v>
      </c>
      <c r="N29" s="274"/>
      <c r="O29" s="275">
        <v>16</v>
      </c>
      <c r="P29" s="276"/>
      <c r="Q29" s="277">
        <v>21</v>
      </c>
      <c r="R29" s="274"/>
      <c r="S29" s="275">
        <v>20</v>
      </c>
      <c r="T29" s="276"/>
      <c r="U29" s="277">
        <v>19</v>
      </c>
      <c r="V29" s="274"/>
      <c r="W29" s="275">
        <v>20</v>
      </c>
      <c r="X29" s="276"/>
      <c r="Y29" s="277">
        <v>20</v>
      </c>
      <c r="Z29" s="274"/>
      <c r="AA29" s="275">
        <v>19</v>
      </c>
      <c r="AB29" s="279">
        <f t="shared" si="60"/>
        <v>0</v>
      </c>
      <c r="AC29" s="251">
        <f t="shared" si="61"/>
        <v>210</v>
      </c>
    </row>
    <row r="30" spans="1:31" x14ac:dyDescent="0.35">
      <c r="A30" s="245">
        <f>E30+G30+I30</f>
        <v>120</v>
      </c>
      <c r="B30" s="856"/>
      <c r="C30" s="247" t="s">
        <v>125</v>
      </c>
      <c r="D30" s="245">
        <v>42</v>
      </c>
      <c r="E30" s="248">
        <f>SUM(E28:E29)</f>
        <v>45</v>
      </c>
      <c r="F30" s="249">
        <v>42</v>
      </c>
      <c r="G30" s="252">
        <f t="shared" ref="G30:O30" si="62">SUM(G28:G29)</f>
        <v>39</v>
      </c>
      <c r="H30" s="245">
        <v>42</v>
      </c>
      <c r="I30" s="251">
        <f t="shared" si="62"/>
        <v>36</v>
      </c>
      <c r="J30" s="249">
        <v>45</v>
      </c>
      <c r="K30" s="434">
        <f t="shared" si="62"/>
        <v>17</v>
      </c>
      <c r="L30" s="245">
        <v>45</v>
      </c>
      <c r="M30" s="251">
        <f t="shared" si="62"/>
        <v>33</v>
      </c>
      <c r="N30" s="249">
        <v>45</v>
      </c>
      <c r="O30" s="252">
        <f t="shared" si="62"/>
        <v>33</v>
      </c>
      <c r="P30" s="245">
        <v>50</v>
      </c>
      <c r="Q30" s="251">
        <f>SUM(Q28:Q29)</f>
        <v>42</v>
      </c>
      <c r="R30" s="249">
        <v>50</v>
      </c>
      <c r="S30" s="252">
        <v>41</v>
      </c>
      <c r="T30" s="245">
        <v>50</v>
      </c>
      <c r="U30" s="251">
        <v>42</v>
      </c>
      <c r="V30" s="249">
        <v>50</v>
      </c>
      <c r="W30" s="252">
        <v>43</v>
      </c>
      <c r="X30" s="245">
        <v>50</v>
      </c>
      <c r="Y30" s="248">
        <f>SUM(Y28:Y29)</f>
        <v>43</v>
      </c>
      <c r="Z30" s="249">
        <v>50</v>
      </c>
      <c r="AA30" s="250">
        <f>SUM(AA28:AA29)</f>
        <v>46</v>
      </c>
      <c r="AB30" s="245">
        <f>+D30+F30+H30+J30+L30+N30+P30+R30+T30+V30+X30+Z30</f>
        <v>561</v>
      </c>
      <c r="AC30" s="251">
        <f t="shared" ref="AC30" si="63">SUM(AC28:AC29)</f>
        <v>460</v>
      </c>
      <c r="AE30" s="135">
        <f>E30+G30+I30</f>
        <v>120</v>
      </c>
    </row>
    <row r="31" spans="1:31" ht="16" thickBot="1" x14ac:dyDescent="0.4">
      <c r="B31" s="857"/>
      <c r="C31" s="259" t="s">
        <v>126</v>
      </c>
      <c r="D31" s="260"/>
      <c r="E31" s="261">
        <f t="shared" ref="E31:Q31" si="64">E30/E$2</f>
        <v>1.5</v>
      </c>
      <c r="F31" s="262"/>
      <c r="G31" s="263">
        <f t="shared" si="64"/>
        <v>1.2580645161290323</v>
      </c>
      <c r="H31" s="260"/>
      <c r="I31" s="261">
        <f t="shared" si="64"/>
        <v>1.2</v>
      </c>
      <c r="J31" s="262"/>
      <c r="K31" s="436">
        <f t="shared" si="64"/>
        <v>0.54838709677419351</v>
      </c>
      <c r="L31" s="260"/>
      <c r="M31" s="261">
        <f t="shared" si="64"/>
        <v>1.064516129032258</v>
      </c>
      <c r="N31" s="262"/>
      <c r="O31" s="263">
        <f t="shared" si="64"/>
        <v>1.1000000000000001</v>
      </c>
      <c r="P31" s="260"/>
      <c r="Q31" s="261">
        <f t="shared" si="64"/>
        <v>1.3548387096774193</v>
      </c>
      <c r="R31" s="262"/>
      <c r="S31" s="263">
        <f t="shared" ref="S31" si="65">S30/S$2</f>
        <v>1.3666666666666667</v>
      </c>
      <c r="T31" s="260"/>
      <c r="U31" s="261">
        <f t="shared" ref="U31" si="66">U30/U$2</f>
        <v>1.3548387096774193</v>
      </c>
      <c r="V31" s="262"/>
      <c r="W31" s="263">
        <f t="shared" ref="W31" si="67">W30/W$2</f>
        <v>1.3870967741935485</v>
      </c>
      <c r="X31" s="260"/>
      <c r="Y31" s="261">
        <f>Y30/Y$2</f>
        <v>1.5357142857142858</v>
      </c>
      <c r="Z31" s="262"/>
      <c r="AA31" s="263">
        <f>AA30/AA$2</f>
        <v>1.4838709677419355</v>
      </c>
      <c r="AB31" s="264">
        <f>AB30/$AC$2</f>
        <v>1.536986301369863</v>
      </c>
      <c r="AC31" s="261">
        <f t="shared" ref="AC31" si="68">AC30/$AC$2</f>
        <v>1.2602739726027397</v>
      </c>
      <c r="AD31" s="135"/>
    </row>
    <row r="32" spans="1:31" ht="15.75" customHeight="1" x14ac:dyDescent="0.35">
      <c r="B32" s="869" t="s">
        <v>28</v>
      </c>
      <c r="C32" s="265" t="s">
        <v>90</v>
      </c>
      <c r="D32" s="266"/>
      <c r="E32" s="267">
        <v>33</v>
      </c>
      <c r="F32" s="268"/>
      <c r="G32" s="278">
        <v>31.4</v>
      </c>
      <c r="H32" s="266"/>
      <c r="I32" s="270">
        <v>28.5</v>
      </c>
      <c r="J32" s="268"/>
      <c r="K32" s="440">
        <v>27.1</v>
      </c>
      <c r="L32" s="266"/>
      <c r="M32" s="270">
        <v>22.7</v>
      </c>
      <c r="N32" s="268"/>
      <c r="O32" s="278">
        <v>21</v>
      </c>
      <c r="P32" s="266"/>
      <c r="Q32" s="270">
        <v>21.5</v>
      </c>
      <c r="R32" s="268"/>
      <c r="S32" s="278">
        <v>18.399999999999999</v>
      </c>
      <c r="T32" s="266"/>
      <c r="U32" s="270">
        <v>26.5</v>
      </c>
      <c r="V32" s="268"/>
      <c r="W32" s="278">
        <v>24.4</v>
      </c>
      <c r="X32" s="266"/>
      <c r="Y32" s="270">
        <v>23.4</v>
      </c>
      <c r="Z32" s="268"/>
      <c r="AA32" s="278">
        <v>24.4</v>
      </c>
      <c r="AB32" s="266">
        <f t="shared" ref="AB32:AB33" si="69">+D32+F32+H32+J32+L32+N32+P32+R32+T32+V32</f>
        <v>0</v>
      </c>
      <c r="AC32" s="270">
        <f t="shared" ref="AC32:AC33" si="70">+E32+G32+I32+K32+M32+O32+Q32+S32+U32+W32+Y32+AA32</f>
        <v>302.29999999999995</v>
      </c>
    </row>
    <row r="33" spans="1:31" ht="16.5" customHeight="1" x14ac:dyDescent="0.35">
      <c r="B33" s="870"/>
      <c r="C33" s="247" t="s">
        <v>92</v>
      </c>
      <c r="D33" s="245"/>
      <c r="E33" s="248">
        <v>64</v>
      </c>
      <c r="F33" s="274"/>
      <c r="G33" s="275">
        <v>56.6</v>
      </c>
      <c r="H33" s="276"/>
      <c r="I33" s="277">
        <v>55.5</v>
      </c>
      <c r="J33" s="274"/>
      <c r="K33" s="439">
        <v>68.900000000000006</v>
      </c>
      <c r="L33" s="276"/>
      <c r="M33" s="277">
        <v>71.3</v>
      </c>
      <c r="N33" s="274"/>
      <c r="O33" s="275">
        <v>60</v>
      </c>
      <c r="P33" s="276"/>
      <c r="Q33" s="277">
        <v>68.5</v>
      </c>
      <c r="R33" s="274"/>
      <c r="S33" s="275">
        <v>58.6</v>
      </c>
      <c r="T33" s="276"/>
      <c r="U33" s="277">
        <v>63.5</v>
      </c>
      <c r="V33" s="274"/>
      <c r="W33" s="275">
        <v>65.599999999999994</v>
      </c>
      <c r="X33" s="276"/>
      <c r="Y33" s="277">
        <v>57.6</v>
      </c>
      <c r="Z33" s="274"/>
      <c r="AA33" s="275">
        <v>69.599999999999994</v>
      </c>
      <c r="AB33" s="279">
        <f t="shared" si="69"/>
        <v>0</v>
      </c>
      <c r="AC33" s="251">
        <f t="shared" si="70"/>
        <v>759.70000000000016</v>
      </c>
    </row>
    <row r="34" spans="1:31" x14ac:dyDescent="0.35">
      <c r="A34" s="245">
        <f>E34+G34+I34</f>
        <v>269</v>
      </c>
      <c r="B34" s="870"/>
      <c r="C34" s="247" t="s">
        <v>125</v>
      </c>
      <c r="D34" s="245">
        <v>95</v>
      </c>
      <c r="E34" s="248">
        <f>SUM(E32:E33)</f>
        <v>97</v>
      </c>
      <c r="F34" s="249">
        <v>95</v>
      </c>
      <c r="G34" s="252">
        <f t="shared" ref="G34:O34" si="71">SUM(G32:G33)</f>
        <v>88</v>
      </c>
      <c r="H34" s="245">
        <v>95</v>
      </c>
      <c r="I34" s="251">
        <f t="shared" si="71"/>
        <v>84</v>
      </c>
      <c r="J34" s="249">
        <v>95</v>
      </c>
      <c r="K34" s="434">
        <f t="shared" si="71"/>
        <v>96</v>
      </c>
      <c r="L34" s="245">
        <v>95</v>
      </c>
      <c r="M34" s="251">
        <f t="shared" si="71"/>
        <v>94</v>
      </c>
      <c r="N34" s="249">
        <v>95</v>
      </c>
      <c r="O34" s="252">
        <f t="shared" si="71"/>
        <v>81</v>
      </c>
      <c r="P34" s="245">
        <v>90</v>
      </c>
      <c r="Q34" s="251">
        <f>SUM(Q32:Q33)</f>
        <v>90</v>
      </c>
      <c r="R34" s="249">
        <v>90</v>
      </c>
      <c r="S34" s="252">
        <v>77</v>
      </c>
      <c r="T34" s="245">
        <v>90</v>
      </c>
      <c r="U34" s="251">
        <v>90</v>
      </c>
      <c r="V34" s="249">
        <v>100</v>
      </c>
      <c r="W34" s="252">
        <v>90</v>
      </c>
      <c r="X34" s="245">
        <v>100</v>
      </c>
      <c r="Y34" s="248">
        <f>SUM(Y32:Y33)</f>
        <v>81</v>
      </c>
      <c r="Z34" s="249">
        <v>100</v>
      </c>
      <c r="AA34" s="250">
        <f>SUM(AA32:AA33)</f>
        <v>94</v>
      </c>
      <c r="AB34" s="245">
        <f>+D34+F34+H34+J34+L34+N34+P34+R34+T34+V34+X34+Z34</f>
        <v>1140</v>
      </c>
      <c r="AC34" s="251">
        <f t="shared" ref="AC34" si="72">SUM(AC32:AC33)</f>
        <v>1062</v>
      </c>
      <c r="AE34" s="135">
        <f>E34+G34+I34</f>
        <v>269</v>
      </c>
    </row>
    <row r="35" spans="1:31" ht="16" thickBot="1" x14ac:dyDescent="0.4">
      <c r="B35" s="871"/>
      <c r="C35" s="253" t="s">
        <v>126</v>
      </c>
      <c r="D35" s="271"/>
      <c r="E35" s="255">
        <f t="shared" ref="E35:Q35" si="73">E34/E$2</f>
        <v>3.2333333333333334</v>
      </c>
      <c r="F35" s="272"/>
      <c r="G35" s="257">
        <f t="shared" si="73"/>
        <v>2.838709677419355</v>
      </c>
      <c r="H35" s="271"/>
      <c r="I35" s="255">
        <f t="shared" si="73"/>
        <v>2.8</v>
      </c>
      <c r="J35" s="272"/>
      <c r="K35" s="435">
        <f t="shared" si="73"/>
        <v>3.096774193548387</v>
      </c>
      <c r="L35" s="271"/>
      <c r="M35" s="255">
        <f t="shared" si="73"/>
        <v>3.032258064516129</v>
      </c>
      <c r="N35" s="272"/>
      <c r="O35" s="257">
        <f t="shared" si="73"/>
        <v>2.7</v>
      </c>
      <c r="P35" s="271"/>
      <c r="Q35" s="255">
        <f t="shared" si="73"/>
        <v>2.903225806451613</v>
      </c>
      <c r="R35" s="272"/>
      <c r="S35" s="257">
        <f t="shared" ref="S35" si="74">S34/S$2</f>
        <v>2.5666666666666669</v>
      </c>
      <c r="T35" s="271"/>
      <c r="U35" s="255">
        <f t="shared" ref="U35" si="75">U34/U$2</f>
        <v>2.903225806451613</v>
      </c>
      <c r="V35" s="272"/>
      <c r="W35" s="257">
        <f t="shared" ref="W35" si="76">W34/W$2</f>
        <v>2.903225806451613</v>
      </c>
      <c r="X35" s="271"/>
      <c r="Y35" s="255">
        <f>Y34/Y$2</f>
        <v>2.8928571428571428</v>
      </c>
      <c r="Z35" s="272"/>
      <c r="AA35" s="257">
        <f>AA34/AA$2</f>
        <v>3.032258064516129</v>
      </c>
      <c r="AB35" s="254">
        <f>AB34/$AC$2</f>
        <v>3.1232876712328768</v>
      </c>
      <c r="AC35" s="255">
        <f t="shared" ref="AC35" si="77">AC34/$AC$2</f>
        <v>2.9095890410958902</v>
      </c>
      <c r="AD35" s="135"/>
    </row>
    <row r="36" spans="1:31" ht="15.75" customHeight="1" x14ac:dyDescent="0.35">
      <c r="B36" s="855" t="s">
        <v>32</v>
      </c>
      <c r="C36" s="240" t="s">
        <v>90</v>
      </c>
      <c r="D36" s="241"/>
      <c r="E36" s="242">
        <v>5</v>
      </c>
      <c r="F36" s="243"/>
      <c r="G36" s="273">
        <v>13</v>
      </c>
      <c r="H36" s="241"/>
      <c r="I36" s="246">
        <v>9.1999999999999993</v>
      </c>
      <c r="J36" s="243"/>
      <c r="K36" s="438">
        <v>6</v>
      </c>
      <c r="L36" s="241"/>
      <c r="M36" s="246">
        <v>7</v>
      </c>
      <c r="N36" s="243"/>
      <c r="O36" s="273">
        <v>4</v>
      </c>
      <c r="P36" s="241"/>
      <c r="Q36" s="246">
        <v>8</v>
      </c>
      <c r="R36" s="243"/>
      <c r="S36" s="273">
        <v>11.6</v>
      </c>
      <c r="T36" s="241"/>
      <c r="U36" s="246">
        <v>11.6</v>
      </c>
      <c r="V36" s="243"/>
      <c r="W36" s="273">
        <v>15.5</v>
      </c>
      <c r="X36" s="241"/>
      <c r="Y36" s="246">
        <v>12</v>
      </c>
      <c r="Z36" s="243"/>
      <c r="AA36" s="273">
        <v>4.5999999999999996</v>
      </c>
      <c r="AB36" s="241">
        <f t="shared" ref="AB36:AB37" si="78">+D36+F36+H36+J36+L36+N36+P36+R36+T36+V36</f>
        <v>0</v>
      </c>
      <c r="AC36" s="246">
        <f t="shared" ref="AC36:AC37" si="79">+E36+G36+I36+K36+M36+O36+Q36+S36+U36+W36+Y36+AA36</f>
        <v>107.5</v>
      </c>
    </row>
    <row r="37" spans="1:31" ht="16.5" customHeight="1" x14ac:dyDescent="0.35">
      <c r="B37" s="856"/>
      <c r="C37" s="247" t="s">
        <v>92</v>
      </c>
      <c r="D37" s="245"/>
      <c r="E37" s="248">
        <v>0</v>
      </c>
      <c r="F37" s="274"/>
      <c r="G37" s="275">
        <v>6</v>
      </c>
      <c r="H37" s="276"/>
      <c r="I37" s="277">
        <v>7.8</v>
      </c>
      <c r="J37" s="274"/>
      <c r="K37" s="439">
        <v>7</v>
      </c>
      <c r="L37" s="276"/>
      <c r="M37" s="277">
        <v>5</v>
      </c>
      <c r="N37" s="274"/>
      <c r="O37" s="275">
        <v>13</v>
      </c>
      <c r="P37" s="276"/>
      <c r="Q37" s="277">
        <v>9</v>
      </c>
      <c r="R37" s="274"/>
      <c r="S37" s="275">
        <v>9.4</v>
      </c>
      <c r="T37" s="276"/>
      <c r="U37" s="277">
        <v>15.4</v>
      </c>
      <c r="V37" s="274"/>
      <c r="W37" s="275">
        <v>8.5</v>
      </c>
      <c r="X37" s="276"/>
      <c r="Y37" s="277">
        <v>9</v>
      </c>
      <c r="Z37" s="274"/>
      <c r="AA37" s="275">
        <v>5.4</v>
      </c>
      <c r="AB37" s="279">
        <f t="shared" si="78"/>
        <v>0</v>
      </c>
      <c r="AC37" s="251">
        <f t="shared" si="79"/>
        <v>95.5</v>
      </c>
    </row>
    <row r="38" spans="1:31" x14ac:dyDescent="0.35">
      <c r="A38" s="245">
        <f>E38+G38+I38</f>
        <v>41</v>
      </c>
      <c r="B38" s="856"/>
      <c r="C38" s="247" t="s">
        <v>125</v>
      </c>
      <c r="D38" s="245">
        <v>16</v>
      </c>
      <c r="E38" s="248">
        <f>SUM(E36:E37)</f>
        <v>5</v>
      </c>
      <c r="F38" s="249">
        <v>16</v>
      </c>
      <c r="G38" s="252">
        <f t="shared" ref="G38:O38" si="80">SUM(G36:G37)</f>
        <v>19</v>
      </c>
      <c r="H38" s="245">
        <v>16</v>
      </c>
      <c r="I38" s="251">
        <f t="shared" si="80"/>
        <v>17</v>
      </c>
      <c r="J38" s="249">
        <v>16</v>
      </c>
      <c r="K38" s="434">
        <f t="shared" si="80"/>
        <v>13</v>
      </c>
      <c r="L38" s="245">
        <v>16</v>
      </c>
      <c r="M38" s="251">
        <f t="shared" si="80"/>
        <v>12</v>
      </c>
      <c r="N38" s="249">
        <v>16</v>
      </c>
      <c r="O38" s="252">
        <f t="shared" si="80"/>
        <v>17</v>
      </c>
      <c r="P38" s="245">
        <v>16</v>
      </c>
      <c r="Q38" s="251">
        <f>SUM(Q36:Q37)</f>
        <v>17</v>
      </c>
      <c r="R38" s="249">
        <v>16</v>
      </c>
      <c r="S38" s="252">
        <v>21</v>
      </c>
      <c r="T38" s="245">
        <v>16</v>
      </c>
      <c r="U38" s="251">
        <v>27</v>
      </c>
      <c r="V38" s="249">
        <v>20</v>
      </c>
      <c r="W38" s="252">
        <v>24</v>
      </c>
      <c r="X38" s="245">
        <v>20</v>
      </c>
      <c r="Y38" s="248">
        <f>SUM(Y36:Y37)</f>
        <v>21</v>
      </c>
      <c r="Z38" s="249">
        <v>20</v>
      </c>
      <c r="AA38" s="250">
        <f>SUM(AA36:AA37)</f>
        <v>10</v>
      </c>
      <c r="AB38" s="245">
        <f>+D38+F38+H38+J38+L38+N38+P38+R38+T38+V38+X38+Z38</f>
        <v>204</v>
      </c>
      <c r="AC38" s="251">
        <f t="shared" ref="AC38" si="81">SUM(AC36:AC37)</f>
        <v>203</v>
      </c>
      <c r="AE38" s="135">
        <f>E38+G38+I38</f>
        <v>41</v>
      </c>
    </row>
    <row r="39" spans="1:31" ht="16" thickBot="1" x14ac:dyDescent="0.4">
      <c r="B39" s="857"/>
      <c r="C39" s="259" t="s">
        <v>126</v>
      </c>
      <c r="D39" s="260"/>
      <c r="E39" s="261">
        <f t="shared" ref="E39:Q39" si="82">E38/E$2</f>
        <v>0.16666666666666666</v>
      </c>
      <c r="F39" s="262"/>
      <c r="G39" s="263">
        <f t="shared" si="82"/>
        <v>0.61290322580645162</v>
      </c>
      <c r="H39" s="260"/>
      <c r="I39" s="261">
        <f t="shared" si="82"/>
        <v>0.56666666666666665</v>
      </c>
      <c r="J39" s="262"/>
      <c r="K39" s="436">
        <f t="shared" si="82"/>
        <v>0.41935483870967744</v>
      </c>
      <c r="L39" s="260"/>
      <c r="M39" s="261">
        <f t="shared" si="82"/>
        <v>0.38709677419354838</v>
      </c>
      <c r="N39" s="262"/>
      <c r="O39" s="263">
        <f t="shared" si="82"/>
        <v>0.56666666666666665</v>
      </c>
      <c r="P39" s="260"/>
      <c r="Q39" s="261">
        <f t="shared" si="82"/>
        <v>0.54838709677419351</v>
      </c>
      <c r="R39" s="262"/>
      <c r="S39" s="263">
        <f t="shared" ref="S39" si="83">S38/S$2</f>
        <v>0.7</v>
      </c>
      <c r="T39" s="260"/>
      <c r="U39" s="261">
        <f t="shared" ref="U39" si="84">U38/U$2</f>
        <v>0.87096774193548387</v>
      </c>
      <c r="V39" s="262"/>
      <c r="W39" s="263">
        <f t="shared" ref="W39" si="85">W38/W$2</f>
        <v>0.77419354838709675</v>
      </c>
      <c r="X39" s="260"/>
      <c r="Y39" s="261">
        <f>Y38/Y$2</f>
        <v>0.75</v>
      </c>
      <c r="Z39" s="262"/>
      <c r="AA39" s="263">
        <f>AA38/AA$2</f>
        <v>0.32258064516129031</v>
      </c>
      <c r="AB39" s="264">
        <f>AB38/$AC$2</f>
        <v>0.55890410958904113</v>
      </c>
      <c r="AC39" s="261">
        <f t="shared" ref="AC39" si="86">AC38/$AC$2</f>
        <v>0.55616438356164388</v>
      </c>
      <c r="AD39" s="135"/>
    </row>
    <row r="40" spans="1:31" ht="15.75" customHeight="1" x14ac:dyDescent="0.35">
      <c r="B40" s="863" t="s">
        <v>104</v>
      </c>
      <c r="C40" s="864"/>
      <c r="D40" s="241"/>
      <c r="E40" s="242">
        <f>E8+E12+E16+E20+E24+E28+E32+E36</f>
        <v>163</v>
      </c>
      <c r="F40" s="243"/>
      <c r="G40" s="273">
        <f>G8+G12+G16+G20+G24+G28+G32+G36</f>
        <v>167.8</v>
      </c>
      <c r="H40" s="241"/>
      <c r="I40" s="246">
        <f>I8+I12+I16+I20+I24+I28+I32+I36</f>
        <v>183.39999999999998</v>
      </c>
      <c r="J40" s="243"/>
      <c r="K40" s="438">
        <f>K8+K12+K16+K20+K24+K28+K32+K36</f>
        <v>171.29999999999998</v>
      </c>
      <c r="L40" s="241"/>
      <c r="M40" s="246">
        <f>M8+M12+M16+M20+M24+M28+M32+M36</f>
        <v>166.2</v>
      </c>
      <c r="N40" s="243"/>
      <c r="O40" s="273">
        <f>O8+O12+O16+O20+O24+O28+O32+O36</f>
        <v>152</v>
      </c>
      <c r="P40" s="241"/>
      <c r="Q40" s="246">
        <f>Q8+Q12+Q16+Q20+Q24+Q28+Q32+Q36</f>
        <v>157.69999999999999</v>
      </c>
      <c r="R40" s="243"/>
      <c r="S40" s="273">
        <f>S8+S12+S16+S20+S24+S28+S32+S36</f>
        <v>158.4</v>
      </c>
      <c r="T40" s="241"/>
      <c r="U40" s="246">
        <f>U8+U12+U16+U20+U24+U28+U32+U36</f>
        <v>199.1</v>
      </c>
      <c r="V40" s="243"/>
      <c r="W40" s="273">
        <f>W8+W12+W16+W20+W24+W28+W32+W36</f>
        <v>179.3</v>
      </c>
      <c r="X40" s="241"/>
      <c r="Y40" s="246">
        <f>Y8+Y12+Y16+Y20+Y24+Y28+Y32+Y36</f>
        <v>173.3</v>
      </c>
      <c r="Z40" s="243"/>
      <c r="AA40" s="273">
        <f>AA8+AA12+AA16+AA20+AA24+AA28+AA32+AA36</f>
        <v>198.1</v>
      </c>
      <c r="AB40" s="241"/>
      <c r="AC40" s="246">
        <f>+E40+G40+I40+K40+M40+O40+Q40+S40+U40+W40+Y40+AA40</f>
        <v>2069.6</v>
      </c>
    </row>
    <row r="41" spans="1:31" ht="16.5" customHeight="1" x14ac:dyDescent="0.35">
      <c r="B41" s="865" t="s">
        <v>105</v>
      </c>
      <c r="C41" s="866"/>
      <c r="D41" s="245"/>
      <c r="E41" s="248">
        <f>E9+E13+E17+E21+E25+E29+E33+E37</f>
        <v>306</v>
      </c>
      <c r="F41" s="274"/>
      <c r="G41" s="275">
        <f>G9+G13+G17+G21+G25+G29+G33+G37</f>
        <v>312.2</v>
      </c>
      <c r="H41" s="276"/>
      <c r="I41" s="277">
        <f>I9+I13+I17+I21+I25+I29+I33+I37</f>
        <v>330.6</v>
      </c>
      <c r="J41" s="274"/>
      <c r="K41" s="439">
        <f>K9+K13+K17+K21+K25+K29+K33+K37</f>
        <v>310.70000000000005</v>
      </c>
      <c r="L41" s="276"/>
      <c r="M41" s="277">
        <f>M9+M13+M17+M21+M25+M29+M33+M37</f>
        <v>298.8</v>
      </c>
      <c r="N41" s="274"/>
      <c r="O41" s="275">
        <f>O9+O13+O17+O21+O25+O29+O33+O37</f>
        <v>310</v>
      </c>
      <c r="P41" s="276"/>
      <c r="Q41" s="277">
        <f>Q9+Q13+Q17+Q21+Q25+Q29+Q33+Q37</f>
        <v>341.3</v>
      </c>
      <c r="R41" s="274"/>
      <c r="S41" s="275">
        <f>S9+S13+S17+S21+S25+S29+S33+S37</f>
        <v>357.6</v>
      </c>
      <c r="T41" s="276"/>
      <c r="U41" s="277">
        <f>U9+U13+U17+U21+U25+U29+U33+U37</f>
        <v>333.9</v>
      </c>
      <c r="V41" s="274"/>
      <c r="W41" s="275">
        <f>W9+W13+W17+W21+W25+W29+W33+W37</f>
        <v>332.70000000000005</v>
      </c>
      <c r="X41" s="276"/>
      <c r="Y41" s="277">
        <f>Y9+Y13+Y17+Y21+Y25+Y29+Y33+Y37</f>
        <v>321.7</v>
      </c>
      <c r="Z41" s="274"/>
      <c r="AA41" s="275">
        <f>AA9+AA13+AA17+AA21+AA25+AA29+AA33+AA37</f>
        <v>314.89999999999998</v>
      </c>
      <c r="AB41" s="279"/>
      <c r="AC41" s="251">
        <f>+E41+G41+I41+K41+M41+O41+Q41+S41+U41+W41+Y41+AA41</f>
        <v>3870.4</v>
      </c>
    </row>
    <row r="42" spans="1:31" x14ac:dyDescent="0.35">
      <c r="A42" s="245">
        <f>E42+G42+I42</f>
        <v>1463</v>
      </c>
      <c r="B42" s="865" t="s">
        <v>127</v>
      </c>
      <c r="C42" s="866"/>
      <c r="D42" s="245">
        <f>D10+D14+D18+D22+D26+D30+D34+D38</f>
        <v>600</v>
      </c>
      <c r="E42" s="248">
        <f>SUM(E40:E41)</f>
        <v>469</v>
      </c>
      <c r="F42" s="249">
        <f>F10+F14+F18+F22+F26+F30+F34+F38</f>
        <v>600</v>
      </c>
      <c r="G42" s="252">
        <f t="shared" ref="G42" si="87">SUM(G40:G41)</f>
        <v>480</v>
      </c>
      <c r="H42" s="245">
        <f>H10+H14+H18+H22+H26+H30+H34+H38</f>
        <v>600</v>
      </c>
      <c r="I42" s="251">
        <f>I10+I14+I18+I22+I26+I30+I34+I38</f>
        <v>514</v>
      </c>
      <c r="J42" s="249">
        <f>J10+J14+J18+J22+J26+J30+J34+J38</f>
        <v>630</v>
      </c>
      <c r="K42" s="434">
        <f>K10+K14+K18+K22+K26+K30+K34+K38</f>
        <v>482</v>
      </c>
      <c r="L42" s="245">
        <f>L10+L14+L18+L22+L26+L30+L34+L38</f>
        <v>630</v>
      </c>
      <c r="M42" s="251">
        <f>M10+M14+M18+M22+M26+M30+M34+M38</f>
        <v>465</v>
      </c>
      <c r="N42" s="249">
        <f>N10+N14+N18+N22+N26+N30+N34+N38</f>
        <v>630</v>
      </c>
      <c r="O42" s="252">
        <f>O10+O14+O18+O22+O26+O30+O34+O38</f>
        <v>462</v>
      </c>
      <c r="P42" s="245">
        <f>P10+P14+P18+P22+P26+P30+P34+P38</f>
        <v>600</v>
      </c>
      <c r="Q42" s="251">
        <f>Q10+Q14+Q18+Q22+Q26+Q30+Q34+Q38</f>
        <v>499</v>
      </c>
      <c r="R42" s="249">
        <f>R10+R14+R18+R22+R26+R30+R34+R38</f>
        <v>600</v>
      </c>
      <c r="S42" s="252">
        <f>S10+S14+S18+S22+S26+S30+S34+S38</f>
        <v>516</v>
      </c>
      <c r="T42" s="245">
        <f>T10+T14+T18+T22+T26+T30+T34+T38</f>
        <v>600</v>
      </c>
      <c r="U42" s="463">
        <f>U10+U14+U18+U22+U26+U30+U34+U38</f>
        <v>533</v>
      </c>
      <c r="V42" s="249">
        <f>V10+V14+V18+V22+V26+V30+V34+V38</f>
        <v>630</v>
      </c>
      <c r="W42" s="252">
        <f>W10+W14+W18+W22+W26+W30+W34+W38</f>
        <v>512</v>
      </c>
      <c r="X42" s="245">
        <f>X10+X14+X18+X22+X26+X30+X34+X38</f>
        <v>630</v>
      </c>
      <c r="Y42" s="251">
        <f>Y10+Y14+Y18+Y22+Y26+Y30+Y34+Y38</f>
        <v>495</v>
      </c>
      <c r="Z42" s="249">
        <f>Z10+Z14+Z18+Z22+Z26+Z30+Z34+Z38</f>
        <v>630</v>
      </c>
      <c r="AA42" s="252">
        <f>AA10+AA14+AA18+AA22+AA26+AA30+AA34+AA38</f>
        <v>513</v>
      </c>
      <c r="AB42" s="245">
        <f>+D42+F42+H42+J42+L42+N42+P42+R42+T42+V42+X42+Z42</f>
        <v>7380</v>
      </c>
      <c r="AC42" s="251">
        <f>+E42+G42+I42+K42+M42+O42+Q42+S42+U42+W42+Y42+AA42</f>
        <v>5940</v>
      </c>
      <c r="AE42" s="135">
        <f>E42+G42+I42</f>
        <v>1463</v>
      </c>
    </row>
    <row r="43" spans="1:31" ht="16" thickBot="1" x14ac:dyDescent="0.4">
      <c r="B43" s="867" t="s">
        <v>128</v>
      </c>
      <c r="C43" s="868"/>
      <c r="D43" s="280"/>
      <c r="E43" s="261">
        <f>E42/$E$2</f>
        <v>15.633333333333333</v>
      </c>
      <c r="F43" s="281"/>
      <c r="G43" s="263">
        <f t="shared" ref="G43:O43" si="88">G42/$E$2</f>
        <v>16</v>
      </c>
      <c r="H43" s="280"/>
      <c r="I43" s="261">
        <f t="shared" si="88"/>
        <v>17.133333333333333</v>
      </c>
      <c r="J43" s="281"/>
      <c r="K43" s="436">
        <f t="shared" si="88"/>
        <v>16.066666666666666</v>
      </c>
      <c r="L43" s="280"/>
      <c r="M43" s="261">
        <f t="shared" si="88"/>
        <v>15.5</v>
      </c>
      <c r="N43" s="281"/>
      <c r="O43" s="263">
        <f t="shared" si="88"/>
        <v>15.4</v>
      </c>
      <c r="P43" s="280"/>
      <c r="Q43" s="261">
        <f t="shared" ref="Q43" si="89">Q42/Q$2</f>
        <v>16.096774193548388</v>
      </c>
      <c r="R43" s="281"/>
      <c r="S43" s="263">
        <f t="shared" ref="S43" si="90">S42/S$2</f>
        <v>17.2</v>
      </c>
      <c r="T43" s="280"/>
      <c r="U43" s="464">
        <f t="shared" ref="U43" si="91">U42/U$2</f>
        <v>17.193548387096776</v>
      </c>
      <c r="V43" s="281"/>
      <c r="W43" s="263">
        <f t="shared" ref="W43" si="92">W42/W$2</f>
        <v>16.516129032258064</v>
      </c>
      <c r="X43" s="280"/>
      <c r="Y43" s="261">
        <f>Y42/Y$2</f>
        <v>17.678571428571427</v>
      </c>
      <c r="Z43" s="281"/>
      <c r="AA43" s="263">
        <f>AA42/AA$2</f>
        <v>16.548387096774192</v>
      </c>
      <c r="AB43" s="264">
        <f>AB42/$AC$2</f>
        <v>20.219178082191782</v>
      </c>
      <c r="AC43" s="261">
        <f>AC42/$AC$2</f>
        <v>16.273972602739725</v>
      </c>
      <c r="AD43" s="135"/>
    </row>
  </sheetData>
  <mergeCells count="26">
    <mergeCell ref="B40:C40"/>
    <mergeCell ref="B41:C41"/>
    <mergeCell ref="B42:C42"/>
    <mergeCell ref="B43:C43"/>
    <mergeCell ref="B16:B19"/>
    <mergeCell ref="B20:B23"/>
    <mergeCell ref="B24:B27"/>
    <mergeCell ref="B28:B31"/>
    <mergeCell ref="B32:B35"/>
    <mergeCell ref="B36:B39"/>
    <mergeCell ref="B12:B15"/>
    <mergeCell ref="B4:AC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B8:B11"/>
  </mergeCells>
  <pageMargins left="0.22" right="0.2" top="0.75" bottom="0.75" header="0.3" footer="0.3"/>
  <pageSetup paperSize="9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2:Y103"/>
  <sheetViews>
    <sheetView workbookViewId="0"/>
  </sheetViews>
  <sheetFormatPr defaultColWidth="9.1796875" defaultRowHeight="14.5" x14ac:dyDescent="0.35"/>
  <cols>
    <col min="1" max="1" width="14.453125" style="2" customWidth="1"/>
    <col min="2" max="2" width="6.453125" style="68" customWidth="1"/>
    <col min="3" max="3" width="9.81640625" style="2" customWidth="1"/>
    <col min="4" max="4" width="12.81640625" style="2" customWidth="1"/>
    <col min="5" max="5" width="9.1796875" style="2"/>
    <col min="6" max="6" width="9.54296875" style="2" bestFit="1" customWidth="1"/>
    <col min="7" max="8" width="9.1796875" style="2"/>
    <col min="9" max="9" width="11.81640625" style="2" customWidth="1"/>
    <col min="10" max="10" width="9.1796875" style="2"/>
    <col min="11" max="11" width="0" style="2" hidden="1" customWidth="1"/>
    <col min="12" max="12" width="10" style="2" customWidth="1"/>
    <col min="13" max="13" width="11" style="2" customWidth="1"/>
    <col min="14" max="20" width="9.1796875" style="2"/>
    <col min="21" max="21" width="9.453125" style="2" customWidth="1"/>
    <col min="22" max="16384" width="9.1796875" style="2"/>
  </cols>
  <sheetData>
    <row r="2" spans="2:25" ht="21" x14ac:dyDescent="0.35">
      <c r="B2" s="1"/>
      <c r="C2" s="810" t="s">
        <v>0</v>
      </c>
      <c r="D2" s="810"/>
      <c r="E2" s="810"/>
      <c r="F2" s="810"/>
      <c r="G2" s="810"/>
      <c r="H2" s="810"/>
      <c r="I2" s="810"/>
      <c r="J2" s="810"/>
      <c r="K2" s="810"/>
      <c r="L2" s="810"/>
      <c r="M2" s="810"/>
    </row>
    <row r="3" spans="2:25" ht="15" x14ac:dyDescent="0.25">
      <c r="B3" s="1"/>
    </row>
    <row r="4" spans="2:25" ht="15.75" thickBot="1" x14ac:dyDescent="0.3">
      <c r="B4" s="1"/>
    </row>
    <row r="5" spans="2:25" ht="32.25" thickBot="1" x14ac:dyDescent="0.3">
      <c r="B5" s="1"/>
      <c r="C5" s="3"/>
      <c r="D5" s="4"/>
      <c r="E5" s="5" t="s">
        <v>1</v>
      </c>
      <c r="F5" s="6" t="s">
        <v>2</v>
      </c>
      <c r="G5" s="7" t="s">
        <v>3</v>
      </c>
      <c r="H5" s="8" t="s">
        <v>4</v>
      </c>
      <c r="I5" s="8" t="s">
        <v>5</v>
      </c>
      <c r="J5" s="9" t="s">
        <v>6</v>
      </c>
      <c r="K5" s="10" t="s">
        <v>7</v>
      </c>
      <c r="L5" s="11" t="s">
        <v>8</v>
      </c>
      <c r="M5" s="12" t="s">
        <v>9</v>
      </c>
      <c r="S5" s="150" t="s">
        <v>1</v>
      </c>
      <c r="T5" s="151" t="s">
        <v>2</v>
      </c>
      <c r="U5" s="151" t="s">
        <v>3</v>
      </c>
      <c r="V5" s="151" t="s">
        <v>4</v>
      </c>
      <c r="W5" s="151" t="s">
        <v>5</v>
      </c>
      <c r="X5" s="151" t="s">
        <v>6</v>
      </c>
      <c r="Y5" s="152" t="s">
        <v>10</v>
      </c>
    </row>
    <row r="6" spans="2:25" ht="15.5" x14ac:dyDescent="0.35">
      <c r="B6" s="1"/>
      <c r="C6" s="789">
        <v>43191</v>
      </c>
      <c r="D6" s="13" t="s">
        <v>11</v>
      </c>
      <c r="E6" s="14">
        <v>185</v>
      </c>
      <c r="F6" s="14">
        <v>113</v>
      </c>
      <c r="G6" s="14">
        <v>146</v>
      </c>
      <c r="H6" s="14">
        <v>126</v>
      </c>
      <c r="I6" s="14">
        <v>30</v>
      </c>
      <c r="J6" s="14">
        <f>SUM(E6:I6)</f>
        <v>600</v>
      </c>
      <c r="K6" s="872">
        <f>+J6-J7</f>
        <v>131</v>
      </c>
      <c r="L6" s="15">
        <v>210</v>
      </c>
      <c r="M6" s="16">
        <f>+J6+L6</f>
        <v>810</v>
      </c>
      <c r="R6" s="138">
        <v>43191</v>
      </c>
      <c r="S6" s="136">
        <v>185</v>
      </c>
      <c r="T6" s="47">
        <v>113</v>
      </c>
      <c r="U6" s="47">
        <v>146</v>
      </c>
      <c r="V6" s="47">
        <v>126</v>
      </c>
      <c r="W6" s="47">
        <v>30</v>
      </c>
      <c r="X6" s="47">
        <f t="shared" ref="X6:X15" si="0">SUM(S6:W6)</f>
        <v>600</v>
      </c>
      <c r="Y6" s="149">
        <v>210</v>
      </c>
    </row>
    <row r="7" spans="2:25" ht="16" thickBot="1" x14ac:dyDescent="0.4">
      <c r="B7" s="1">
        <v>30</v>
      </c>
      <c r="C7" s="790"/>
      <c r="D7" s="20" t="s">
        <v>12</v>
      </c>
      <c r="E7" s="21">
        <v>121</v>
      </c>
      <c r="F7" s="21">
        <v>107</v>
      </c>
      <c r="G7" s="21">
        <v>131</v>
      </c>
      <c r="H7" s="21">
        <v>108</v>
      </c>
      <c r="I7" s="21">
        <v>2</v>
      </c>
      <c r="J7" s="21">
        <f>SUM(E7:I7)</f>
        <v>469</v>
      </c>
      <c r="K7" s="873"/>
      <c r="L7" s="22">
        <v>166</v>
      </c>
      <c r="M7" s="23">
        <f>+J7+L7</f>
        <v>635</v>
      </c>
      <c r="R7" s="139">
        <v>43221</v>
      </c>
      <c r="S7" s="24">
        <v>185</v>
      </c>
      <c r="T7" s="25">
        <v>113</v>
      </c>
      <c r="U7" s="25">
        <v>146</v>
      </c>
      <c r="V7" s="25">
        <v>126</v>
      </c>
      <c r="W7" s="25">
        <v>30</v>
      </c>
      <c r="X7" s="25">
        <f t="shared" si="0"/>
        <v>600</v>
      </c>
      <c r="Y7" s="26">
        <v>210</v>
      </c>
    </row>
    <row r="8" spans="2:25" ht="16" thickBot="1" x14ac:dyDescent="0.4">
      <c r="B8" s="1"/>
      <c r="C8" s="791"/>
      <c r="D8" s="27" t="s">
        <v>13</v>
      </c>
      <c r="E8" s="28">
        <f t="shared" ref="E8:J8" si="1">E7/30</f>
        <v>4.0333333333333332</v>
      </c>
      <c r="F8" s="28">
        <f t="shared" si="1"/>
        <v>3.5666666666666669</v>
      </c>
      <c r="G8" s="28">
        <f t="shared" si="1"/>
        <v>4.3666666666666663</v>
      </c>
      <c r="H8" s="28">
        <f t="shared" si="1"/>
        <v>3.6</v>
      </c>
      <c r="I8" s="28">
        <f t="shared" si="1"/>
        <v>6.6666666666666666E-2</v>
      </c>
      <c r="J8" s="28">
        <f t="shared" si="1"/>
        <v>15.633333333333333</v>
      </c>
      <c r="K8" s="874"/>
      <c r="L8" s="29">
        <f>L7/30</f>
        <v>5.5333333333333332</v>
      </c>
      <c r="M8" s="30">
        <f>M7/30</f>
        <v>21.166666666666668</v>
      </c>
      <c r="R8" s="140">
        <v>43252</v>
      </c>
      <c r="S8" s="31">
        <v>185</v>
      </c>
      <c r="T8" s="32">
        <v>113</v>
      </c>
      <c r="U8" s="32">
        <v>146</v>
      </c>
      <c r="V8" s="32">
        <v>126</v>
      </c>
      <c r="W8" s="32">
        <v>30</v>
      </c>
      <c r="X8" s="32">
        <f t="shared" si="0"/>
        <v>600</v>
      </c>
      <c r="Y8" s="33">
        <v>210</v>
      </c>
    </row>
    <row r="9" spans="2:25" ht="15.5" x14ac:dyDescent="0.35">
      <c r="B9" s="1"/>
      <c r="C9" s="789">
        <v>43221</v>
      </c>
      <c r="D9" s="13" t="s">
        <v>11</v>
      </c>
      <c r="E9" s="14">
        <f>+(S7*$B$10)/DAY(EOMONTH($R$7,0))</f>
        <v>185</v>
      </c>
      <c r="F9" s="14">
        <f>+(T7*$B$10)/DAY(EOMONTH($R$7,0))</f>
        <v>113</v>
      </c>
      <c r="G9" s="14">
        <f>+(U7*$B$10)/DAY(EOMONTH($R$7,0))</f>
        <v>146</v>
      </c>
      <c r="H9" s="14">
        <f>+(V7*$B$10)/DAY(EOMONTH($R$7,0))</f>
        <v>126</v>
      </c>
      <c r="I9" s="14">
        <f>+(W7*$B$10)/DAY(EOMONTH($R$7,0))</f>
        <v>30</v>
      </c>
      <c r="J9" s="14">
        <f>SUM(E9:I9)</f>
        <v>600</v>
      </c>
      <c r="K9" s="872">
        <f>+J9-J10</f>
        <v>120</v>
      </c>
      <c r="L9" s="15">
        <v>210</v>
      </c>
      <c r="M9" s="16">
        <f>+J9+L9</f>
        <v>810</v>
      </c>
      <c r="R9" s="138">
        <v>43282</v>
      </c>
      <c r="S9" s="34">
        <v>202</v>
      </c>
      <c r="T9" s="35">
        <v>106</v>
      </c>
      <c r="U9" s="35">
        <v>174</v>
      </c>
      <c r="V9" s="35">
        <v>128</v>
      </c>
      <c r="W9" s="35">
        <v>20</v>
      </c>
      <c r="X9" s="36">
        <f t="shared" si="0"/>
        <v>630</v>
      </c>
      <c r="Y9" s="19">
        <v>217</v>
      </c>
    </row>
    <row r="10" spans="2:25" ht="16" thickBot="1" x14ac:dyDescent="0.4">
      <c r="B10" s="1">
        <v>31</v>
      </c>
      <c r="C10" s="790"/>
      <c r="D10" s="20" t="s">
        <v>12</v>
      </c>
      <c r="E10" s="21">
        <v>145</v>
      </c>
      <c r="F10" s="21">
        <v>109</v>
      </c>
      <c r="G10" s="21">
        <v>138</v>
      </c>
      <c r="H10" s="21">
        <v>86</v>
      </c>
      <c r="I10" s="21">
        <v>2</v>
      </c>
      <c r="J10" s="21">
        <f>SUM(E10:I10)</f>
        <v>480</v>
      </c>
      <c r="K10" s="873"/>
      <c r="L10" s="22">
        <v>170</v>
      </c>
      <c r="M10" s="23">
        <f>+J10+L10</f>
        <v>650</v>
      </c>
      <c r="R10" s="139">
        <v>43313</v>
      </c>
      <c r="S10" s="37">
        <v>202</v>
      </c>
      <c r="T10" s="38">
        <v>106</v>
      </c>
      <c r="U10" s="38">
        <v>174</v>
      </c>
      <c r="V10" s="38">
        <v>128</v>
      </c>
      <c r="W10" s="38">
        <v>20</v>
      </c>
      <c r="X10" s="39">
        <f t="shared" si="0"/>
        <v>630</v>
      </c>
      <c r="Y10" s="26">
        <v>217</v>
      </c>
    </row>
    <row r="11" spans="2:25" ht="16" thickBot="1" x14ac:dyDescent="0.4">
      <c r="B11" s="1"/>
      <c r="C11" s="791"/>
      <c r="D11" s="27" t="s">
        <v>13</v>
      </c>
      <c r="E11" s="28">
        <f t="shared" ref="E11:J11" si="2">E10/31</f>
        <v>4.67741935483871</v>
      </c>
      <c r="F11" s="28">
        <f t="shared" si="2"/>
        <v>3.5161290322580645</v>
      </c>
      <c r="G11" s="28">
        <f t="shared" si="2"/>
        <v>4.4516129032258061</v>
      </c>
      <c r="H11" s="28">
        <f t="shared" si="2"/>
        <v>2.774193548387097</v>
      </c>
      <c r="I11" s="28">
        <f t="shared" si="2"/>
        <v>6.4516129032258063E-2</v>
      </c>
      <c r="J11" s="28">
        <f t="shared" si="2"/>
        <v>15.483870967741936</v>
      </c>
      <c r="K11" s="874"/>
      <c r="L11" s="29">
        <f>L10/31</f>
        <v>5.4838709677419351</v>
      </c>
      <c r="M11" s="30">
        <f>M10/30</f>
        <v>21.666666666666668</v>
      </c>
      <c r="R11" s="140">
        <v>43344</v>
      </c>
      <c r="S11" s="40">
        <v>202</v>
      </c>
      <c r="T11" s="41">
        <v>106</v>
      </c>
      <c r="U11" s="41">
        <v>174</v>
      </c>
      <c r="V11" s="41">
        <v>128</v>
      </c>
      <c r="W11" s="41">
        <v>20</v>
      </c>
      <c r="X11" s="42">
        <f t="shared" si="0"/>
        <v>630</v>
      </c>
      <c r="Y11" s="33">
        <v>217</v>
      </c>
    </row>
    <row r="12" spans="2:25" ht="15.5" x14ac:dyDescent="0.35">
      <c r="B12" s="1">
        <v>30</v>
      </c>
      <c r="C12" s="789">
        <v>43252</v>
      </c>
      <c r="D12" s="13" t="s">
        <v>11</v>
      </c>
      <c r="E12" s="14">
        <f>+(S8*$B$12)/DAY(EOMONTH($R$8,0))</f>
        <v>185</v>
      </c>
      <c r="F12" s="14">
        <f>+(T8*$B$12)/DAY(EOMONTH($R$8,0))</f>
        <v>113</v>
      </c>
      <c r="G12" s="14">
        <f>+(U8*$B$12)/DAY(EOMONTH($R$8,0))</f>
        <v>146</v>
      </c>
      <c r="H12" s="14">
        <f>+(V8*$B$12)/DAY(EOMONTH($R$8,0))</f>
        <v>126</v>
      </c>
      <c r="I12" s="14">
        <f>+(W8*$B$12)/DAY(EOMONTH($R$8,0))</f>
        <v>30</v>
      </c>
      <c r="J12" s="14">
        <f>SUM(E12:I12)</f>
        <v>600</v>
      </c>
      <c r="K12" s="872">
        <f>+J12-J13</f>
        <v>86</v>
      </c>
      <c r="L12" s="15">
        <v>210</v>
      </c>
      <c r="M12" s="16">
        <f>+J12+L12</f>
        <v>810</v>
      </c>
      <c r="R12" s="138">
        <v>43374</v>
      </c>
      <c r="S12" s="17">
        <v>195</v>
      </c>
      <c r="T12" s="18">
        <v>105</v>
      </c>
      <c r="U12" s="18">
        <v>165</v>
      </c>
      <c r="V12" s="18">
        <v>120</v>
      </c>
      <c r="W12" s="18">
        <v>15</v>
      </c>
      <c r="X12" s="36">
        <f t="shared" si="0"/>
        <v>600</v>
      </c>
      <c r="Y12" s="43">
        <v>217</v>
      </c>
    </row>
    <row r="13" spans="2:25" ht="16" thickBot="1" x14ac:dyDescent="0.4">
      <c r="B13" s="1"/>
      <c r="C13" s="790"/>
      <c r="D13" s="20" t="s">
        <v>12</v>
      </c>
      <c r="E13" s="21">
        <v>170</v>
      </c>
      <c r="F13" s="21">
        <v>102</v>
      </c>
      <c r="G13" s="21">
        <v>135</v>
      </c>
      <c r="H13" s="21">
        <v>107</v>
      </c>
      <c r="I13" s="21">
        <v>0</v>
      </c>
      <c r="J13" s="21">
        <f>SUM(E13:I13)</f>
        <v>514</v>
      </c>
      <c r="K13" s="873"/>
      <c r="L13" s="22">
        <v>166</v>
      </c>
      <c r="M13" s="23">
        <f>+J13+L13</f>
        <v>680</v>
      </c>
      <c r="R13" s="139">
        <v>43405</v>
      </c>
      <c r="S13" s="24">
        <v>195</v>
      </c>
      <c r="T13" s="25">
        <v>105</v>
      </c>
      <c r="U13" s="25">
        <v>165</v>
      </c>
      <c r="V13" s="25">
        <v>120</v>
      </c>
      <c r="W13" s="25">
        <v>15</v>
      </c>
      <c r="X13" s="39">
        <f t="shared" si="0"/>
        <v>600</v>
      </c>
      <c r="Y13" s="44">
        <v>217</v>
      </c>
    </row>
    <row r="14" spans="2:25" ht="16" thickBot="1" x14ac:dyDescent="0.4">
      <c r="B14" s="1"/>
      <c r="C14" s="791"/>
      <c r="D14" s="27" t="s">
        <v>13</v>
      </c>
      <c r="E14" s="28">
        <f t="shared" ref="E14:J14" si="3">E13/$B$12</f>
        <v>5.666666666666667</v>
      </c>
      <c r="F14" s="28">
        <f t="shared" si="3"/>
        <v>3.4</v>
      </c>
      <c r="G14" s="28">
        <f t="shared" si="3"/>
        <v>4.5</v>
      </c>
      <c r="H14" s="28">
        <f t="shared" si="3"/>
        <v>3.5666666666666669</v>
      </c>
      <c r="I14" s="28">
        <f t="shared" si="3"/>
        <v>0</v>
      </c>
      <c r="J14" s="28">
        <f t="shared" si="3"/>
        <v>17.133333333333333</v>
      </c>
      <c r="K14" s="874"/>
      <c r="L14" s="29">
        <f>L13/$B$12</f>
        <v>5.5333333333333332</v>
      </c>
      <c r="M14" s="30">
        <f>M13/$B$12</f>
        <v>22.666666666666668</v>
      </c>
      <c r="R14" s="140">
        <v>43435</v>
      </c>
      <c r="S14" s="31">
        <v>195</v>
      </c>
      <c r="T14" s="32">
        <v>105</v>
      </c>
      <c r="U14" s="32">
        <v>165</v>
      </c>
      <c r="V14" s="32">
        <v>120</v>
      </c>
      <c r="W14" s="32">
        <v>15</v>
      </c>
      <c r="X14" s="42">
        <f t="shared" si="0"/>
        <v>600</v>
      </c>
      <c r="Y14" s="45">
        <v>217</v>
      </c>
    </row>
    <row r="15" spans="2:25" ht="15.5" x14ac:dyDescent="0.35">
      <c r="B15" s="1">
        <v>31</v>
      </c>
      <c r="C15" s="789">
        <v>43282</v>
      </c>
      <c r="D15" s="13" t="s">
        <v>11</v>
      </c>
      <c r="E15" s="14">
        <f>+(S9*$B15)/DAY(EOMONTH($R$9,0))</f>
        <v>202</v>
      </c>
      <c r="F15" s="14">
        <f t="shared" ref="F15:I15" si="4">+(T9*$B15)/DAY(EOMONTH($R$9,0))</f>
        <v>106</v>
      </c>
      <c r="G15" s="14">
        <f t="shared" si="4"/>
        <v>174</v>
      </c>
      <c r="H15" s="14">
        <f t="shared" si="4"/>
        <v>128</v>
      </c>
      <c r="I15" s="14">
        <f t="shared" si="4"/>
        <v>20</v>
      </c>
      <c r="J15" s="14">
        <f>SUM(E15:I15)</f>
        <v>630</v>
      </c>
      <c r="K15" s="872">
        <f>+J15-J16</f>
        <v>148</v>
      </c>
      <c r="L15" s="46">
        <v>217</v>
      </c>
      <c r="M15" s="16">
        <f>+J15+L15</f>
        <v>847</v>
      </c>
      <c r="R15" s="138">
        <v>43466</v>
      </c>
      <c r="S15" s="17">
        <v>180</v>
      </c>
      <c r="T15" s="18">
        <v>105</v>
      </c>
      <c r="U15" s="18">
        <v>170</v>
      </c>
      <c r="V15" s="18">
        <v>145</v>
      </c>
      <c r="W15" s="18">
        <v>30</v>
      </c>
      <c r="X15" s="36">
        <f t="shared" si="0"/>
        <v>630</v>
      </c>
      <c r="Y15" s="43">
        <v>210</v>
      </c>
    </row>
    <row r="16" spans="2:25" ht="16" thickBot="1" x14ac:dyDescent="0.4">
      <c r="B16" s="1"/>
      <c r="C16" s="790"/>
      <c r="D16" s="20" t="s">
        <v>12</v>
      </c>
      <c r="E16" s="21">
        <v>145</v>
      </c>
      <c r="F16" s="21">
        <v>97</v>
      </c>
      <c r="G16" s="21">
        <v>132</v>
      </c>
      <c r="H16" s="21">
        <v>108</v>
      </c>
      <c r="I16" s="21">
        <v>0</v>
      </c>
      <c r="J16" s="21">
        <f>SUM(E16:I16)</f>
        <v>482</v>
      </c>
      <c r="K16" s="873"/>
      <c r="L16" s="22">
        <v>169</v>
      </c>
      <c r="M16" s="23">
        <f>+J16+L16</f>
        <v>651</v>
      </c>
      <c r="R16" s="139">
        <v>43497</v>
      </c>
      <c r="S16" s="136">
        <v>180</v>
      </c>
      <c r="T16" s="47">
        <v>105</v>
      </c>
      <c r="U16" s="47">
        <v>170</v>
      </c>
      <c r="V16" s="47">
        <v>145</v>
      </c>
      <c r="W16" s="47">
        <v>30</v>
      </c>
      <c r="X16" s="48">
        <f t="shared" ref="X16:X17" si="5">SUM(S16:W16)</f>
        <v>630</v>
      </c>
      <c r="Y16" s="137">
        <v>210</v>
      </c>
    </row>
    <row r="17" spans="2:25" ht="16" thickBot="1" x14ac:dyDescent="0.4">
      <c r="B17" s="1"/>
      <c r="C17" s="791"/>
      <c r="D17" s="27" t="s">
        <v>13</v>
      </c>
      <c r="E17" s="28">
        <f t="shared" ref="E17:J17" si="6">E16/$B$15</f>
        <v>4.67741935483871</v>
      </c>
      <c r="F17" s="28">
        <f t="shared" si="6"/>
        <v>3.129032258064516</v>
      </c>
      <c r="G17" s="28">
        <f t="shared" si="6"/>
        <v>4.258064516129032</v>
      </c>
      <c r="H17" s="28">
        <f t="shared" si="6"/>
        <v>3.4838709677419355</v>
      </c>
      <c r="I17" s="28">
        <f t="shared" si="6"/>
        <v>0</v>
      </c>
      <c r="J17" s="28">
        <f t="shared" si="6"/>
        <v>15.548387096774194</v>
      </c>
      <c r="K17" s="874"/>
      <c r="L17" s="29">
        <f>L16/$B$15</f>
        <v>5.4516129032258061</v>
      </c>
      <c r="M17" s="30">
        <f>M16/$B$15</f>
        <v>21</v>
      </c>
      <c r="R17" s="139">
        <v>43525</v>
      </c>
      <c r="S17" s="141">
        <v>180</v>
      </c>
      <c r="T17" s="142">
        <v>105</v>
      </c>
      <c r="U17" s="142">
        <v>170</v>
      </c>
      <c r="V17" s="142">
        <v>145</v>
      </c>
      <c r="W17" s="142">
        <v>30</v>
      </c>
      <c r="X17" s="143">
        <f t="shared" si="5"/>
        <v>630</v>
      </c>
      <c r="Y17" s="144">
        <v>210</v>
      </c>
    </row>
    <row r="18" spans="2:25" ht="16" thickBot="1" x14ac:dyDescent="0.4">
      <c r="B18" s="1">
        <v>31</v>
      </c>
      <c r="C18" s="789">
        <v>43313</v>
      </c>
      <c r="D18" s="13" t="s">
        <v>11</v>
      </c>
      <c r="E18" s="14">
        <f>+(S10*$B18)/DAY(EOMONTH($R$10,0))</f>
        <v>202</v>
      </c>
      <c r="F18" s="14">
        <f t="shared" ref="F18:I18" si="7">+(T10*$B18)/DAY(EOMONTH($R$10,0))</f>
        <v>106</v>
      </c>
      <c r="G18" s="14">
        <f t="shared" si="7"/>
        <v>174</v>
      </c>
      <c r="H18" s="14">
        <f t="shared" si="7"/>
        <v>128</v>
      </c>
      <c r="I18" s="14">
        <f t="shared" si="7"/>
        <v>20</v>
      </c>
      <c r="J18" s="14">
        <f>SUM(E18:I18)</f>
        <v>630</v>
      </c>
      <c r="K18" s="872">
        <f>+J18-J19</f>
        <v>165</v>
      </c>
      <c r="L18" s="46">
        <v>217</v>
      </c>
      <c r="M18" s="16">
        <f>+J18+L18</f>
        <v>847</v>
      </c>
      <c r="R18" s="148" t="s">
        <v>23</v>
      </c>
      <c r="S18" s="147">
        <f>SUM(S6:S17)</f>
        <v>2286</v>
      </c>
      <c r="T18" s="145">
        <f t="shared" ref="T18:Y18" si="8">SUM(T6:T17)</f>
        <v>1287</v>
      </c>
      <c r="U18" s="145">
        <f t="shared" si="8"/>
        <v>1965</v>
      </c>
      <c r="V18" s="145">
        <f t="shared" si="8"/>
        <v>1557</v>
      </c>
      <c r="W18" s="145">
        <f t="shared" si="8"/>
        <v>285</v>
      </c>
      <c r="X18" s="145">
        <f t="shared" si="8"/>
        <v>7380</v>
      </c>
      <c r="Y18" s="146">
        <f t="shared" si="8"/>
        <v>2562</v>
      </c>
    </row>
    <row r="19" spans="2:25" ht="16" thickBot="1" x14ac:dyDescent="0.4">
      <c r="B19" s="1"/>
      <c r="C19" s="790"/>
      <c r="D19" s="20" t="s">
        <v>12</v>
      </c>
      <c r="E19" s="21">
        <v>157</v>
      </c>
      <c r="F19" s="21">
        <v>97</v>
      </c>
      <c r="G19" s="21">
        <v>120</v>
      </c>
      <c r="H19" s="21">
        <v>89</v>
      </c>
      <c r="I19" s="21">
        <v>2</v>
      </c>
      <c r="J19" s="21">
        <f>SUM(E19:I19)</f>
        <v>465</v>
      </c>
      <c r="K19" s="873"/>
      <c r="L19" s="22">
        <v>148</v>
      </c>
      <c r="M19" s="23">
        <f>+J19+L19</f>
        <v>613</v>
      </c>
    </row>
    <row r="20" spans="2:25" ht="16" thickBot="1" x14ac:dyDescent="0.4">
      <c r="B20" s="1"/>
      <c r="C20" s="791"/>
      <c r="D20" s="27" t="s">
        <v>13</v>
      </c>
      <c r="E20" s="28">
        <f>E19/$B$18</f>
        <v>5.064516129032258</v>
      </c>
      <c r="F20" s="28">
        <f t="shared" ref="F20:J20" si="9">F19/$B$18</f>
        <v>3.129032258064516</v>
      </c>
      <c r="G20" s="28">
        <f t="shared" si="9"/>
        <v>3.870967741935484</v>
      </c>
      <c r="H20" s="28">
        <f t="shared" si="9"/>
        <v>2.870967741935484</v>
      </c>
      <c r="I20" s="28">
        <f t="shared" si="9"/>
        <v>6.4516129032258063E-2</v>
      </c>
      <c r="J20" s="28">
        <f t="shared" si="9"/>
        <v>15</v>
      </c>
      <c r="K20" s="874"/>
      <c r="L20" s="29">
        <f t="shared" ref="L20:M20" si="10">L19/$B$18</f>
        <v>4.774193548387097</v>
      </c>
      <c r="M20" s="30">
        <f t="shared" si="10"/>
        <v>19.774193548387096</v>
      </c>
    </row>
    <row r="21" spans="2:25" ht="15.5" x14ac:dyDescent="0.35">
      <c r="B21" s="1">
        <v>30</v>
      </c>
      <c r="C21" s="789">
        <v>43344</v>
      </c>
      <c r="D21" s="13" t="s">
        <v>14</v>
      </c>
      <c r="E21" s="14">
        <f>+(S11*$B21)/DAY(EOMONTH($R$11,0))</f>
        <v>202</v>
      </c>
      <c r="F21" s="14">
        <f t="shared" ref="F21:I21" si="11">+(T11*$B21)/DAY(EOMONTH($R$11,0))</f>
        <v>106</v>
      </c>
      <c r="G21" s="14">
        <f t="shared" si="11"/>
        <v>174</v>
      </c>
      <c r="H21" s="14">
        <f t="shared" si="11"/>
        <v>128</v>
      </c>
      <c r="I21" s="14">
        <f t="shared" si="11"/>
        <v>20</v>
      </c>
      <c r="J21" s="14">
        <f>SUM(E21:I21)</f>
        <v>630</v>
      </c>
      <c r="K21" s="872">
        <f>+J21-J22</f>
        <v>168</v>
      </c>
      <c r="L21" s="46">
        <v>217</v>
      </c>
      <c r="M21" s="16">
        <f>+J21+L21</f>
        <v>847</v>
      </c>
    </row>
    <row r="22" spans="2:25" ht="16" thickBot="1" x14ac:dyDescent="0.4">
      <c r="B22" s="1"/>
      <c r="C22" s="790"/>
      <c r="D22" s="20" t="s">
        <v>12</v>
      </c>
      <c r="E22" s="21">
        <v>177</v>
      </c>
      <c r="F22" s="21">
        <v>95</v>
      </c>
      <c r="G22" s="21">
        <v>138</v>
      </c>
      <c r="H22" s="21">
        <v>44</v>
      </c>
      <c r="I22" s="21">
        <v>8</v>
      </c>
      <c r="J22" s="21">
        <f>SUM(E22:I22)</f>
        <v>462</v>
      </c>
      <c r="K22" s="873"/>
      <c r="L22" s="22">
        <v>159</v>
      </c>
      <c r="M22" s="23">
        <f>+J22+L22</f>
        <v>621</v>
      </c>
    </row>
    <row r="23" spans="2:25" ht="16" thickBot="1" x14ac:dyDescent="0.4">
      <c r="B23" s="1"/>
      <c r="C23" s="791"/>
      <c r="D23" s="27" t="s">
        <v>13</v>
      </c>
      <c r="E23" s="28">
        <f t="shared" ref="E23:J23" si="12">E22/30</f>
        <v>5.9</v>
      </c>
      <c r="F23" s="28">
        <f t="shared" si="12"/>
        <v>3.1666666666666665</v>
      </c>
      <c r="G23" s="28">
        <f t="shared" si="12"/>
        <v>4.5999999999999996</v>
      </c>
      <c r="H23" s="28">
        <f t="shared" si="12"/>
        <v>1.4666666666666666</v>
      </c>
      <c r="I23" s="28">
        <f t="shared" si="12"/>
        <v>0.26666666666666666</v>
      </c>
      <c r="J23" s="28">
        <f t="shared" si="12"/>
        <v>15.4</v>
      </c>
      <c r="K23" s="874"/>
      <c r="L23" s="29">
        <f>L22/30</f>
        <v>5.3</v>
      </c>
      <c r="M23" s="30">
        <f>M22/30</f>
        <v>20.7</v>
      </c>
    </row>
    <row r="24" spans="2:25" ht="15.75" customHeight="1" x14ac:dyDescent="0.35">
      <c r="B24" s="1">
        <v>31</v>
      </c>
      <c r="C24" s="789">
        <v>43374</v>
      </c>
      <c r="D24" s="13" t="s">
        <v>11</v>
      </c>
      <c r="E24" s="14">
        <v>195</v>
      </c>
      <c r="F24" s="14">
        <v>105</v>
      </c>
      <c r="G24" s="14">
        <v>165</v>
      </c>
      <c r="H24" s="14">
        <v>120</v>
      </c>
      <c r="I24" s="14">
        <v>15</v>
      </c>
      <c r="J24" s="14">
        <f>SUM(E24:I24)</f>
        <v>600</v>
      </c>
      <c r="K24" s="872">
        <f>+J24-J25</f>
        <v>101</v>
      </c>
      <c r="L24" s="46">
        <v>217</v>
      </c>
      <c r="M24" s="16">
        <f>+J24+L24</f>
        <v>817</v>
      </c>
    </row>
    <row r="25" spans="2:25" ht="16.5" customHeight="1" thickBot="1" x14ac:dyDescent="0.4">
      <c r="B25" s="1"/>
      <c r="C25" s="790"/>
      <c r="D25" s="20" t="s">
        <v>12</v>
      </c>
      <c r="E25" s="21">
        <v>127</v>
      </c>
      <c r="F25" s="21">
        <v>110</v>
      </c>
      <c r="G25" s="21">
        <v>193</v>
      </c>
      <c r="H25" s="21">
        <v>68</v>
      </c>
      <c r="I25" s="21">
        <v>1</v>
      </c>
      <c r="J25" s="21">
        <f>SUM(E25:I25)</f>
        <v>499</v>
      </c>
      <c r="K25" s="873"/>
      <c r="L25" s="22">
        <v>167</v>
      </c>
      <c r="M25" s="23">
        <f>+J25+L25</f>
        <v>666</v>
      </c>
    </row>
    <row r="26" spans="2:25" ht="16.5" customHeight="1" thickBot="1" x14ac:dyDescent="0.4">
      <c r="B26" s="1"/>
      <c r="C26" s="791"/>
      <c r="D26" s="27" t="s">
        <v>13</v>
      </c>
      <c r="E26" s="28">
        <f t="shared" ref="E26:J26" si="13">E25/31</f>
        <v>4.096774193548387</v>
      </c>
      <c r="F26" s="28">
        <f t="shared" si="13"/>
        <v>3.5483870967741935</v>
      </c>
      <c r="G26" s="28">
        <f t="shared" si="13"/>
        <v>6.225806451612903</v>
      </c>
      <c r="H26" s="28">
        <f t="shared" si="13"/>
        <v>2.193548387096774</v>
      </c>
      <c r="I26" s="28">
        <f t="shared" si="13"/>
        <v>3.2258064516129031E-2</v>
      </c>
      <c r="J26" s="28">
        <f t="shared" si="13"/>
        <v>16.096774193548388</v>
      </c>
      <c r="K26" s="874"/>
      <c r="L26" s="29">
        <f>L25/31</f>
        <v>5.387096774193548</v>
      </c>
      <c r="M26" s="30">
        <f>M25/30</f>
        <v>22.2</v>
      </c>
      <c r="R26" s="177"/>
      <c r="S26" s="177"/>
      <c r="T26" s="177"/>
      <c r="U26" s="177"/>
      <c r="V26" s="177"/>
    </row>
    <row r="27" spans="2:25" ht="15.75" customHeight="1" x14ac:dyDescent="0.35">
      <c r="B27" s="1">
        <v>30</v>
      </c>
      <c r="C27" s="789">
        <v>43405</v>
      </c>
      <c r="D27" s="13" t="s">
        <v>11</v>
      </c>
      <c r="E27" s="14">
        <v>195</v>
      </c>
      <c r="F27" s="14">
        <v>105</v>
      </c>
      <c r="G27" s="14">
        <v>165</v>
      </c>
      <c r="H27" s="14">
        <v>120</v>
      </c>
      <c r="I27" s="14">
        <v>15</v>
      </c>
      <c r="J27" s="14">
        <f>SUM(E27:I27)</f>
        <v>600</v>
      </c>
      <c r="K27" s="872">
        <f>+J27-J28</f>
        <v>84</v>
      </c>
      <c r="L27" s="49">
        <v>217</v>
      </c>
      <c r="M27" s="50">
        <f>+J27+L27</f>
        <v>817</v>
      </c>
      <c r="R27" s="177"/>
      <c r="S27" s="177"/>
      <c r="T27" s="177"/>
      <c r="U27" s="177"/>
      <c r="V27" s="177"/>
    </row>
    <row r="28" spans="2:25" ht="16.5" customHeight="1" thickBot="1" x14ac:dyDescent="0.4">
      <c r="B28" s="1"/>
      <c r="C28" s="790"/>
      <c r="D28" s="20" t="s">
        <v>12</v>
      </c>
      <c r="E28" s="21">
        <v>138</v>
      </c>
      <c r="F28" s="21">
        <v>102</v>
      </c>
      <c r="G28" s="21">
        <v>179</v>
      </c>
      <c r="H28" s="21">
        <v>96</v>
      </c>
      <c r="I28" s="21">
        <v>1</v>
      </c>
      <c r="J28" s="21">
        <f>SUM(E28:I28)</f>
        <v>516</v>
      </c>
      <c r="K28" s="873"/>
      <c r="L28" s="22">
        <v>169</v>
      </c>
      <c r="M28" s="51">
        <f>+J28+L28</f>
        <v>685</v>
      </c>
      <c r="R28" s="177"/>
      <c r="S28" s="178"/>
      <c r="T28" s="178"/>
      <c r="U28" s="177"/>
      <c r="V28" s="177"/>
    </row>
    <row r="29" spans="2:25" ht="16.5" customHeight="1" thickBot="1" x14ac:dyDescent="0.4">
      <c r="B29" s="1"/>
      <c r="C29" s="791"/>
      <c r="D29" s="27" t="s">
        <v>13</v>
      </c>
      <c r="E29" s="28">
        <f t="shared" ref="E29:J29" si="14">E28/30</f>
        <v>4.5999999999999996</v>
      </c>
      <c r="F29" s="28">
        <f t="shared" si="14"/>
        <v>3.4</v>
      </c>
      <c r="G29" s="28">
        <f t="shared" si="14"/>
        <v>5.9666666666666668</v>
      </c>
      <c r="H29" s="28">
        <f t="shared" si="14"/>
        <v>3.2</v>
      </c>
      <c r="I29" s="28">
        <f t="shared" si="14"/>
        <v>3.3333333333333333E-2</v>
      </c>
      <c r="J29" s="28">
        <f t="shared" si="14"/>
        <v>17.2</v>
      </c>
      <c r="K29" s="874"/>
      <c r="L29" s="29">
        <f>L28/30</f>
        <v>5.6333333333333337</v>
      </c>
      <c r="M29" s="30">
        <f>M28/30</f>
        <v>22.833333333333332</v>
      </c>
      <c r="R29" s="177"/>
      <c r="S29" s="178"/>
      <c r="T29" s="178"/>
      <c r="U29" s="177"/>
      <c r="V29" s="177"/>
    </row>
    <row r="30" spans="2:25" ht="15.75" customHeight="1" x14ac:dyDescent="0.35">
      <c r="B30" s="1">
        <v>31</v>
      </c>
      <c r="C30" s="789">
        <v>43435</v>
      </c>
      <c r="D30" s="13" t="s">
        <v>11</v>
      </c>
      <c r="E30" s="14">
        <v>195</v>
      </c>
      <c r="F30" s="14">
        <v>105</v>
      </c>
      <c r="G30" s="14">
        <v>165</v>
      </c>
      <c r="H30" s="14">
        <v>120</v>
      </c>
      <c r="I30" s="14">
        <v>15</v>
      </c>
      <c r="J30" s="14">
        <f>SUM(E30:I30)</f>
        <v>600</v>
      </c>
      <c r="K30" s="872">
        <f>+J30-J32</f>
        <v>67</v>
      </c>
      <c r="L30" s="49">
        <v>217</v>
      </c>
      <c r="M30" s="50">
        <f>+J30+L30</f>
        <v>817</v>
      </c>
      <c r="R30" s="177"/>
      <c r="S30" s="178"/>
      <c r="T30" s="178"/>
      <c r="U30" s="177"/>
      <c r="V30" s="177"/>
    </row>
    <row r="31" spans="2:25" ht="15.75" customHeight="1" x14ac:dyDescent="0.35">
      <c r="B31" s="1"/>
      <c r="C31" s="790"/>
      <c r="D31" s="52" t="s">
        <v>15</v>
      </c>
      <c r="E31" s="53">
        <f t="shared" ref="E31:L31" si="15">+E30/31</f>
        <v>6.290322580645161</v>
      </c>
      <c r="F31" s="53">
        <f t="shared" si="15"/>
        <v>3.3870967741935485</v>
      </c>
      <c r="G31" s="53">
        <f t="shared" si="15"/>
        <v>5.32258064516129</v>
      </c>
      <c r="H31" s="53">
        <f t="shared" si="15"/>
        <v>3.870967741935484</v>
      </c>
      <c r="I31" s="53">
        <f t="shared" si="15"/>
        <v>0.4838709677419355</v>
      </c>
      <c r="J31" s="53">
        <f t="shared" si="15"/>
        <v>19.35483870967742</v>
      </c>
      <c r="K31" s="873"/>
      <c r="L31" s="53">
        <f t="shared" si="15"/>
        <v>7</v>
      </c>
      <c r="M31" s="54">
        <f>+M30/31</f>
        <v>26.35483870967742</v>
      </c>
      <c r="R31" s="177"/>
      <c r="S31" s="178"/>
      <c r="T31" s="178"/>
      <c r="U31" s="177"/>
      <c r="V31" s="177"/>
    </row>
    <row r="32" spans="2:25" ht="16.5" customHeight="1" thickBot="1" x14ac:dyDescent="0.4">
      <c r="B32" s="1"/>
      <c r="C32" s="790"/>
      <c r="D32" s="20" t="s">
        <v>12</v>
      </c>
      <c r="E32" s="21">
        <v>151</v>
      </c>
      <c r="F32" s="21">
        <v>105</v>
      </c>
      <c r="G32" s="21">
        <v>156</v>
      </c>
      <c r="H32" s="21">
        <v>120</v>
      </c>
      <c r="I32" s="21">
        <v>1</v>
      </c>
      <c r="J32" s="21">
        <f>SUM(E32:I32)</f>
        <v>533</v>
      </c>
      <c r="K32" s="873"/>
      <c r="L32" s="22">
        <v>168</v>
      </c>
      <c r="M32" s="51">
        <f>+J32+L32</f>
        <v>701</v>
      </c>
      <c r="R32" s="177"/>
      <c r="S32" s="178"/>
      <c r="T32" s="178"/>
      <c r="U32" s="177"/>
      <c r="V32" s="177"/>
    </row>
    <row r="33" spans="2:22" ht="16.5" customHeight="1" thickBot="1" x14ac:dyDescent="0.4">
      <c r="B33" s="1"/>
      <c r="C33" s="791"/>
      <c r="D33" s="55" t="s">
        <v>13</v>
      </c>
      <c r="E33" s="28">
        <f t="shared" ref="E33:J33" si="16">E32/31</f>
        <v>4.870967741935484</v>
      </c>
      <c r="F33" s="28">
        <f t="shared" si="16"/>
        <v>3.3870967741935485</v>
      </c>
      <c r="G33" s="28">
        <f t="shared" si="16"/>
        <v>5.032258064516129</v>
      </c>
      <c r="H33" s="28">
        <f t="shared" si="16"/>
        <v>3.870967741935484</v>
      </c>
      <c r="I33" s="28">
        <f t="shared" si="16"/>
        <v>3.2258064516129031E-2</v>
      </c>
      <c r="J33" s="28">
        <f t="shared" si="16"/>
        <v>17.193548387096776</v>
      </c>
      <c r="K33" s="874"/>
      <c r="L33" s="29">
        <f>L32/31</f>
        <v>5.419354838709677</v>
      </c>
      <c r="M33" s="30">
        <f>M32/30</f>
        <v>23.366666666666667</v>
      </c>
      <c r="R33" s="177"/>
      <c r="S33" s="178"/>
      <c r="T33" s="178"/>
      <c r="U33" s="177"/>
      <c r="V33" s="177"/>
    </row>
    <row r="34" spans="2:22" ht="15.75" customHeight="1" x14ac:dyDescent="0.35">
      <c r="B34" s="1">
        <v>31</v>
      </c>
      <c r="C34" s="881">
        <v>43466</v>
      </c>
      <c r="D34" s="56" t="s">
        <v>11</v>
      </c>
      <c r="E34" s="14">
        <v>180</v>
      </c>
      <c r="F34" s="14">
        <v>105</v>
      </c>
      <c r="G34" s="14">
        <v>170</v>
      </c>
      <c r="H34" s="14">
        <v>145</v>
      </c>
      <c r="I34" s="14">
        <v>30</v>
      </c>
      <c r="J34" s="14">
        <f>SUM(E34:I34)</f>
        <v>630</v>
      </c>
      <c r="K34" s="872">
        <f>+J34-J36</f>
        <v>118</v>
      </c>
      <c r="L34" s="48">
        <v>210</v>
      </c>
      <c r="M34" s="57">
        <f>+J34+L34</f>
        <v>840</v>
      </c>
      <c r="R34" s="177"/>
      <c r="S34" s="178"/>
      <c r="T34" s="178"/>
      <c r="U34" s="177"/>
      <c r="V34" s="177"/>
    </row>
    <row r="35" spans="2:22" ht="15.75" customHeight="1" x14ac:dyDescent="0.35">
      <c r="B35" s="1"/>
      <c r="C35" s="882"/>
      <c r="D35" s="58" t="s">
        <v>15</v>
      </c>
      <c r="E35" s="59">
        <f>+E34/$B$34</f>
        <v>5.806451612903226</v>
      </c>
      <c r="F35" s="59">
        <f t="shared" ref="F35:I35" si="17">+F34/$B$34</f>
        <v>3.3870967741935485</v>
      </c>
      <c r="G35" s="59">
        <f t="shared" si="17"/>
        <v>5.4838709677419351</v>
      </c>
      <c r="H35" s="59">
        <f t="shared" si="17"/>
        <v>4.67741935483871</v>
      </c>
      <c r="I35" s="59">
        <f t="shared" si="17"/>
        <v>0.967741935483871</v>
      </c>
      <c r="J35" s="59">
        <f>+J34/31</f>
        <v>20.322580645161292</v>
      </c>
      <c r="K35" s="873"/>
      <c r="L35" s="60">
        <f>+L34/31</f>
        <v>6.774193548387097</v>
      </c>
      <c r="M35" s="61">
        <f>+M34/31</f>
        <v>27.096774193548388</v>
      </c>
      <c r="R35" s="177"/>
      <c r="S35" s="178"/>
      <c r="T35" s="178"/>
      <c r="U35" s="177"/>
      <c r="V35" s="177"/>
    </row>
    <row r="36" spans="2:22" ht="16.5" customHeight="1" thickBot="1" x14ac:dyDescent="0.4">
      <c r="B36" s="1"/>
      <c r="C36" s="882"/>
      <c r="D36" s="62" t="s">
        <v>12</v>
      </c>
      <c r="E36" s="21">
        <v>153</v>
      </c>
      <c r="F36" s="21">
        <v>71</v>
      </c>
      <c r="G36" s="21">
        <v>159</v>
      </c>
      <c r="H36" s="21">
        <v>128</v>
      </c>
      <c r="I36" s="21">
        <v>1</v>
      </c>
      <c r="J36" s="63">
        <f>SUM(E36:I36)</f>
        <v>512</v>
      </c>
      <c r="K36" s="873"/>
      <c r="L36" s="22">
        <v>172</v>
      </c>
      <c r="M36" s="51">
        <f>+J36+L36</f>
        <v>684</v>
      </c>
      <c r="R36" s="177"/>
      <c r="S36" s="177"/>
      <c r="T36" s="177"/>
      <c r="U36" s="177"/>
      <c r="V36" s="177"/>
    </row>
    <row r="37" spans="2:22" ht="16.5" customHeight="1" thickBot="1" x14ac:dyDescent="0.4">
      <c r="B37" s="1"/>
      <c r="C37" s="883"/>
      <c r="D37" s="64" t="s">
        <v>13</v>
      </c>
      <c r="E37" s="28">
        <f>+E36/31</f>
        <v>4.935483870967742</v>
      </c>
      <c r="F37" s="28">
        <f t="shared" ref="F37:J37" si="18">+F36/31</f>
        <v>2.2903225806451615</v>
      </c>
      <c r="G37" s="28">
        <f t="shared" si="18"/>
        <v>5.129032258064516</v>
      </c>
      <c r="H37" s="28">
        <f t="shared" si="18"/>
        <v>4.129032258064516</v>
      </c>
      <c r="I37" s="28">
        <f t="shared" si="18"/>
        <v>3.2258064516129031E-2</v>
      </c>
      <c r="J37" s="65">
        <f t="shared" si="18"/>
        <v>16.516129032258064</v>
      </c>
      <c r="K37" s="874"/>
      <c r="L37" s="29">
        <f>+L36/31</f>
        <v>5.5483870967741939</v>
      </c>
      <c r="M37" s="66">
        <f>+M36/31</f>
        <v>22.06451612903226</v>
      </c>
      <c r="R37" s="177"/>
      <c r="S37" s="177"/>
      <c r="T37" s="177"/>
      <c r="U37" s="177"/>
      <c r="V37" s="177"/>
    </row>
    <row r="38" spans="2:22" ht="15.75" customHeight="1" x14ac:dyDescent="0.35">
      <c r="B38" s="1">
        <v>28</v>
      </c>
      <c r="C38" s="881">
        <v>43497</v>
      </c>
      <c r="D38" s="56" t="s">
        <v>11</v>
      </c>
      <c r="E38" s="14">
        <v>180</v>
      </c>
      <c r="F38" s="14">
        <v>105</v>
      </c>
      <c r="G38" s="14">
        <v>170</v>
      </c>
      <c r="H38" s="14">
        <v>145</v>
      </c>
      <c r="I38" s="14">
        <v>30</v>
      </c>
      <c r="J38" s="14">
        <f>SUM(E38:I38)</f>
        <v>630</v>
      </c>
      <c r="K38" s="872">
        <f>+J38-J40</f>
        <v>135</v>
      </c>
      <c r="L38" s="48">
        <v>210</v>
      </c>
      <c r="M38" s="57">
        <f>+J38+L38</f>
        <v>840</v>
      </c>
      <c r="R38" s="177"/>
      <c r="S38" s="177"/>
      <c r="T38" s="177"/>
      <c r="U38" s="177"/>
      <c r="V38" s="177"/>
    </row>
    <row r="39" spans="2:22" ht="15.75" customHeight="1" x14ac:dyDescent="0.35">
      <c r="B39" s="1"/>
      <c r="C39" s="882"/>
      <c r="D39" s="58" t="s">
        <v>15</v>
      </c>
      <c r="E39" s="59">
        <f>+E38/$B$38</f>
        <v>6.4285714285714288</v>
      </c>
      <c r="F39" s="59">
        <f t="shared" ref="F39:I39" si="19">+F38/$B$38</f>
        <v>3.75</v>
      </c>
      <c r="G39" s="59">
        <f t="shared" si="19"/>
        <v>6.0714285714285712</v>
      </c>
      <c r="H39" s="59">
        <f t="shared" si="19"/>
        <v>5.1785714285714288</v>
      </c>
      <c r="I39" s="59">
        <f t="shared" si="19"/>
        <v>1.0714285714285714</v>
      </c>
      <c r="J39" s="59">
        <f>+J38/28</f>
        <v>22.5</v>
      </c>
      <c r="K39" s="873"/>
      <c r="L39" s="59">
        <f t="shared" ref="L39" si="20">+L38/$B$38</f>
        <v>7.5</v>
      </c>
      <c r="M39" s="61">
        <f>+M38/28</f>
        <v>30</v>
      </c>
      <c r="R39" s="177"/>
      <c r="S39" s="177"/>
      <c r="T39" s="177"/>
      <c r="U39" s="177"/>
      <c r="V39" s="177"/>
    </row>
    <row r="40" spans="2:22" ht="16.5" customHeight="1" thickBot="1" x14ac:dyDescent="0.4">
      <c r="B40" s="1"/>
      <c r="C40" s="882"/>
      <c r="D40" s="62" t="s">
        <v>12</v>
      </c>
      <c r="E40" s="21">
        <v>145</v>
      </c>
      <c r="F40" s="21">
        <v>73</v>
      </c>
      <c r="G40" s="21">
        <v>152</v>
      </c>
      <c r="H40" s="21">
        <v>120</v>
      </c>
      <c r="I40" s="21">
        <v>5</v>
      </c>
      <c r="J40" s="63">
        <f>SUM(E40:I40)</f>
        <v>495</v>
      </c>
      <c r="K40" s="873"/>
      <c r="L40" s="22">
        <v>156</v>
      </c>
      <c r="M40" s="51">
        <f>+J40+L40</f>
        <v>651</v>
      </c>
    </row>
    <row r="41" spans="2:22" ht="16.5" customHeight="1" thickBot="1" x14ac:dyDescent="0.4">
      <c r="B41" s="1"/>
      <c r="C41" s="883"/>
      <c r="D41" s="64" t="s">
        <v>13</v>
      </c>
      <c r="E41" s="28">
        <f t="shared" ref="E41:J41" si="21">+E40/28</f>
        <v>5.1785714285714288</v>
      </c>
      <c r="F41" s="28">
        <f t="shared" si="21"/>
        <v>2.6071428571428572</v>
      </c>
      <c r="G41" s="28">
        <f t="shared" si="21"/>
        <v>5.4285714285714288</v>
      </c>
      <c r="H41" s="28">
        <f t="shared" si="21"/>
        <v>4.2857142857142856</v>
      </c>
      <c r="I41" s="28">
        <f t="shared" si="21"/>
        <v>0.17857142857142858</v>
      </c>
      <c r="J41" s="65">
        <f t="shared" si="21"/>
        <v>17.678571428571427</v>
      </c>
      <c r="K41" s="874"/>
      <c r="L41" s="29">
        <f>+L40/28</f>
        <v>5.5714285714285712</v>
      </c>
      <c r="M41" s="66">
        <f>+M40/28</f>
        <v>23.25</v>
      </c>
    </row>
    <row r="42" spans="2:22" ht="15.75" customHeight="1" x14ac:dyDescent="0.35">
      <c r="B42" s="1">
        <v>31</v>
      </c>
      <c r="C42" s="881">
        <v>43525</v>
      </c>
      <c r="D42" s="56" t="s">
        <v>11</v>
      </c>
      <c r="E42" s="14">
        <v>180</v>
      </c>
      <c r="F42" s="14">
        <v>105</v>
      </c>
      <c r="G42" s="14">
        <v>170</v>
      </c>
      <c r="H42" s="14">
        <v>145</v>
      </c>
      <c r="I42" s="14">
        <v>30</v>
      </c>
      <c r="J42" s="14">
        <f>SUM(E42:I42)</f>
        <v>630</v>
      </c>
      <c r="K42" s="872">
        <f>+J42-J44</f>
        <v>117</v>
      </c>
      <c r="L42" s="48">
        <v>210</v>
      </c>
      <c r="M42" s="57">
        <f>+J42+L42</f>
        <v>840</v>
      </c>
    </row>
    <row r="43" spans="2:22" ht="15.75" customHeight="1" x14ac:dyDescent="0.35">
      <c r="B43" s="1"/>
      <c r="C43" s="882"/>
      <c r="D43" s="58" t="s">
        <v>15</v>
      </c>
      <c r="E43" s="59">
        <f>+E42/$B$42</f>
        <v>5.806451612903226</v>
      </c>
      <c r="F43" s="59">
        <f t="shared" ref="F43:J43" si="22">+F42/$B$42</f>
        <v>3.3870967741935485</v>
      </c>
      <c r="G43" s="59">
        <f t="shared" si="22"/>
        <v>5.4838709677419351</v>
      </c>
      <c r="H43" s="59">
        <f t="shared" si="22"/>
        <v>4.67741935483871</v>
      </c>
      <c r="I43" s="59">
        <f t="shared" si="22"/>
        <v>0.967741935483871</v>
      </c>
      <c r="J43" s="59">
        <f t="shared" si="22"/>
        <v>20.322580645161292</v>
      </c>
      <c r="K43" s="873"/>
      <c r="L43" s="59">
        <f>+L42/$B$42</f>
        <v>6.774193548387097</v>
      </c>
      <c r="M43" s="61">
        <f>+M42/31</f>
        <v>27.096774193548388</v>
      </c>
    </row>
    <row r="44" spans="2:22" ht="16.5" customHeight="1" thickBot="1" x14ac:dyDescent="0.4">
      <c r="B44" s="1"/>
      <c r="C44" s="882"/>
      <c r="D44" s="62" t="s">
        <v>12</v>
      </c>
      <c r="E44" s="21">
        <v>174</v>
      </c>
      <c r="F44" s="21">
        <v>88</v>
      </c>
      <c r="G44" s="21">
        <v>141</v>
      </c>
      <c r="H44" s="21">
        <v>108</v>
      </c>
      <c r="I44" s="21">
        <v>2</v>
      </c>
      <c r="J44" s="63">
        <f>SUM(E44:I44)</f>
        <v>513</v>
      </c>
      <c r="K44" s="873"/>
      <c r="L44" s="22">
        <v>187</v>
      </c>
      <c r="M44" s="51">
        <f>+J44+L44</f>
        <v>700</v>
      </c>
    </row>
    <row r="45" spans="2:22" ht="16.5" customHeight="1" thickBot="1" x14ac:dyDescent="0.4">
      <c r="B45" s="1"/>
      <c r="C45" s="883"/>
      <c r="D45" s="64" t="s">
        <v>13</v>
      </c>
      <c r="E45" s="28">
        <f t="shared" ref="E45:J45" si="23">+E44/31</f>
        <v>5.612903225806452</v>
      </c>
      <c r="F45" s="28">
        <f t="shared" si="23"/>
        <v>2.838709677419355</v>
      </c>
      <c r="G45" s="28">
        <f t="shared" si="23"/>
        <v>4.5483870967741939</v>
      </c>
      <c r="H45" s="28">
        <f t="shared" si="23"/>
        <v>3.4838709677419355</v>
      </c>
      <c r="I45" s="28">
        <f t="shared" si="23"/>
        <v>6.4516129032258063E-2</v>
      </c>
      <c r="J45" s="67">
        <f t="shared" si="23"/>
        <v>16.548387096774192</v>
      </c>
      <c r="K45" s="873"/>
      <c r="L45" s="29">
        <f>+L44/31</f>
        <v>6.032258064516129</v>
      </c>
      <c r="M45" s="66">
        <f>+M44/31</f>
        <v>22.580645161290324</v>
      </c>
    </row>
    <row r="46" spans="2:22" ht="15.75" customHeight="1" x14ac:dyDescent="0.35">
      <c r="C46" s="884" t="s">
        <v>16</v>
      </c>
      <c r="D46" s="56" t="s">
        <v>11</v>
      </c>
      <c r="E46" s="14">
        <f>E6+E9+E12+E15+E18+E21+E24+E27+E30+E34+E38+E42</f>
        <v>2286</v>
      </c>
      <c r="F46" s="14">
        <f t="shared" ref="F46:J46" si="24">F6+F9+F12+F15+F18+F21+F24+F27+F30+F34+F38+F42</f>
        <v>1287</v>
      </c>
      <c r="G46" s="14">
        <f t="shared" si="24"/>
        <v>1965</v>
      </c>
      <c r="H46" s="14">
        <f t="shared" si="24"/>
        <v>1557</v>
      </c>
      <c r="I46" s="14">
        <f t="shared" si="24"/>
        <v>285</v>
      </c>
      <c r="J46" s="14">
        <f t="shared" si="24"/>
        <v>7380</v>
      </c>
      <c r="K46" s="872">
        <f>+J46-J48</f>
        <v>1440</v>
      </c>
      <c r="L46" s="48">
        <f>L6+L9+L12+L15+L18+L21+L24+L27+L30+L34+L38+L42</f>
        <v>2562</v>
      </c>
      <c r="M46" s="57">
        <f>M6+M9+M12+M15+M18+M21+M24+M27+M30+M34+M38+M42</f>
        <v>9942</v>
      </c>
    </row>
    <row r="47" spans="2:22" ht="15.5" x14ac:dyDescent="0.35">
      <c r="C47" s="885"/>
      <c r="D47" s="58" t="s">
        <v>15</v>
      </c>
      <c r="E47" s="59">
        <f>E46/($B$48)</f>
        <v>6.2630136986301368</v>
      </c>
      <c r="F47" s="59">
        <f t="shared" ref="F47:J47" si="25">F46/($B$48)</f>
        <v>3.526027397260274</v>
      </c>
      <c r="G47" s="59">
        <f t="shared" si="25"/>
        <v>5.3835616438356162</v>
      </c>
      <c r="H47" s="59">
        <f t="shared" si="25"/>
        <v>4.2657534246575342</v>
      </c>
      <c r="I47" s="59">
        <f t="shared" si="25"/>
        <v>0.78082191780821919</v>
      </c>
      <c r="J47" s="59">
        <f t="shared" si="25"/>
        <v>20.219178082191782</v>
      </c>
      <c r="K47" s="873"/>
      <c r="L47" s="59">
        <f>L46/($B$48)</f>
        <v>7.0191780821917806</v>
      </c>
      <c r="M47" s="61">
        <f>M46/($B$48)</f>
        <v>27.238356164383561</v>
      </c>
    </row>
    <row r="48" spans="2:22" ht="16" thickBot="1" x14ac:dyDescent="0.4">
      <c r="B48" s="68">
        <f>SUM(B7:B47)</f>
        <v>365</v>
      </c>
      <c r="C48" s="885"/>
      <c r="D48" s="62" t="s">
        <v>12</v>
      </c>
      <c r="E48" s="21">
        <f t="shared" ref="E48:J48" si="26">E7+E10+E13+E16+E19+E22+E25+E28+E32+E36+E40+E44</f>
        <v>1803</v>
      </c>
      <c r="F48" s="21">
        <f t="shared" si="26"/>
        <v>1156</v>
      </c>
      <c r="G48" s="21">
        <f t="shared" si="26"/>
        <v>1774</v>
      </c>
      <c r="H48" s="21">
        <f t="shared" si="26"/>
        <v>1182</v>
      </c>
      <c r="I48" s="21">
        <f t="shared" si="26"/>
        <v>25</v>
      </c>
      <c r="J48" s="63">
        <f t="shared" si="26"/>
        <v>5940</v>
      </c>
      <c r="K48" s="873"/>
      <c r="L48" s="22">
        <f>L7+L10+L13+L16+L19+L22+L25+L28+L32+L36+L40+L44</f>
        <v>1997</v>
      </c>
      <c r="M48" s="51">
        <f>M7+M10+M13+M16+M19+M22+M25+M28+M32+M36+M40+M44</f>
        <v>7937</v>
      </c>
    </row>
    <row r="49" spans="3:13" ht="16" thickBot="1" x14ac:dyDescent="0.4">
      <c r="C49" s="886"/>
      <c r="D49" s="69" t="s">
        <v>13</v>
      </c>
      <c r="E49" s="65">
        <f t="shared" ref="E49:I49" si="27">E48/$B$48</f>
        <v>4.9397260273972599</v>
      </c>
      <c r="F49" s="65">
        <f t="shared" si="27"/>
        <v>3.1671232876712327</v>
      </c>
      <c r="G49" s="65">
        <f t="shared" si="27"/>
        <v>4.86027397260274</v>
      </c>
      <c r="H49" s="65">
        <f t="shared" si="27"/>
        <v>3.2383561643835614</v>
      </c>
      <c r="I49" s="65">
        <f t="shared" si="27"/>
        <v>6.8493150684931503E-2</v>
      </c>
      <c r="J49" s="65">
        <f>J48/$B$48</f>
        <v>16.273972602739725</v>
      </c>
      <c r="K49" s="873"/>
      <c r="L49" s="29">
        <f>L48/$B$48</f>
        <v>5.4712328767123291</v>
      </c>
      <c r="M49" s="66">
        <f>M48/$B$48</f>
        <v>21.745205479452054</v>
      </c>
    </row>
    <row r="50" spans="3:13" ht="16" thickBot="1" x14ac:dyDescent="0.4">
      <c r="C50" s="3"/>
      <c r="D50" s="70" t="s">
        <v>7</v>
      </c>
      <c r="E50" s="71">
        <f t="shared" ref="E50:M50" si="28">+E46-E48</f>
        <v>483</v>
      </c>
      <c r="F50" s="72">
        <f t="shared" si="28"/>
        <v>131</v>
      </c>
      <c r="G50" s="73">
        <f t="shared" si="28"/>
        <v>191</v>
      </c>
      <c r="H50" s="74">
        <f t="shared" si="28"/>
        <v>375</v>
      </c>
      <c r="I50" s="74">
        <f t="shared" si="28"/>
        <v>260</v>
      </c>
      <c r="J50" s="75">
        <f t="shared" si="28"/>
        <v>1440</v>
      </c>
      <c r="K50" s="75">
        <f t="shared" si="28"/>
        <v>1440</v>
      </c>
      <c r="L50" s="75">
        <f t="shared" si="28"/>
        <v>565</v>
      </c>
      <c r="M50" s="75">
        <f t="shared" si="28"/>
        <v>2005</v>
      </c>
    </row>
    <row r="51" spans="3:13" ht="16" thickBot="1" x14ac:dyDescent="0.4">
      <c r="C51" s="3"/>
      <c r="D51" s="76" t="s">
        <v>17</v>
      </c>
      <c r="E51" s="77">
        <f t="shared" ref="E51:M51" si="29">+E48/E46%</f>
        <v>78.871391076115486</v>
      </c>
      <c r="F51" s="78">
        <f t="shared" si="29"/>
        <v>89.821289821289824</v>
      </c>
      <c r="G51" s="79">
        <f t="shared" si="29"/>
        <v>90.27989821882953</v>
      </c>
      <c r="H51" s="80">
        <f t="shared" si="29"/>
        <v>75.915221579961468</v>
      </c>
      <c r="I51" s="80">
        <f t="shared" si="29"/>
        <v>8.7719298245614024</v>
      </c>
      <c r="J51" s="81">
        <f t="shared" si="29"/>
        <v>80.487804878048777</v>
      </c>
      <c r="K51" s="81">
        <f t="shared" si="29"/>
        <v>0</v>
      </c>
      <c r="L51" s="81">
        <f t="shared" si="29"/>
        <v>77.946916471506626</v>
      </c>
      <c r="M51" s="81">
        <f t="shared" si="29"/>
        <v>79.833031583182461</v>
      </c>
    </row>
    <row r="52" spans="3:13" ht="15.5" x14ac:dyDescent="0.35">
      <c r="C52" s="3"/>
      <c r="D52" s="82"/>
      <c r="E52" s="83"/>
      <c r="F52" s="83"/>
      <c r="G52" s="83"/>
      <c r="H52" s="83"/>
      <c r="I52" s="83"/>
      <c r="J52" s="83"/>
      <c r="K52" s="83"/>
      <c r="L52" s="83"/>
      <c r="M52" s="83"/>
    </row>
    <row r="53" spans="3:13" ht="21.5" thickBot="1" x14ac:dyDescent="0.55000000000000004">
      <c r="C53" s="810" t="s">
        <v>18</v>
      </c>
      <c r="D53" s="810"/>
      <c r="E53" s="810"/>
      <c r="F53" s="810"/>
      <c r="G53" s="810"/>
      <c r="H53" s="810"/>
      <c r="I53" s="810"/>
      <c r="J53" s="810"/>
      <c r="K53" s="810"/>
      <c r="L53" s="810"/>
      <c r="M53" s="810"/>
    </row>
    <row r="54" spans="3:13" ht="31.5" thickBot="1" x14ac:dyDescent="0.4">
      <c r="C54" s="3"/>
      <c r="D54" s="4"/>
      <c r="E54" s="5" t="s">
        <v>1</v>
      </c>
      <c r="F54" s="6" t="s">
        <v>2</v>
      </c>
      <c r="G54" s="7" t="s">
        <v>3</v>
      </c>
      <c r="H54" s="8" t="s">
        <v>4</v>
      </c>
      <c r="I54" s="8" t="s">
        <v>5</v>
      </c>
      <c r="J54" s="9" t="s">
        <v>6</v>
      </c>
      <c r="K54" s="10" t="s">
        <v>7</v>
      </c>
      <c r="L54" s="11" t="s">
        <v>8</v>
      </c>
      <c r="M54" s="12" t="s">
        <v>9</v>
      </c>
    </row>
    <row r="55" spans="3:13" ht="15.5" x14ac:dyDescent="0.35">
      <c r="C55" s="875">
        <v>42826</v>
      </c>
      <c r="D55" s="84" t="s">
        <v>11</v>
      </c>
      <c r="E55" s="46">
        <v>123</v>
      </c>
      <c r="F55" s="14">
        <v>75</v>
      </c>
      <c r="G55" s="85">
        <v>153</v>
      </c>
      <c r="H55" s="18">
        <v>87</v>
      </c>
      <c r="I55" s="18">
        <v>12</v>
      </c>
      <c r="J55" s="86">
        <f>SUM(E55:I55)</f>
        <v>450</v>
      </c>
      <c r="K55" s="878">
        <f>+J55-J56</f>
        <v>44</v>
      </c>
      <c r="L55" s="15">
        <v>180</v>
      </c>
      <c r="M55" s="16">
        <f>+J55+L55</f>
        <v>630</v>
      </c>
    </row>
    <row r="56" spans="3:13" ht="16" thickBot="1" x14ac:dyDescent="0.4">
      <c r="C56" s="876"/>
      <c r="D56" s="87" t="s">
        <v>12</v>
      </c>
      <c r="E56" s="88">
        <v>124</v>
      </c>
      <c r="F56" s="21">
        <v>67</v>
      </c>
      <c r="G56" s="89">
        <v>131</v>
      </c>
      <c r="H56" s="32">
        <v>84</v>
      </c>
      <c r="I56" s="32">
        <v>0</v>
      </c>
      <c r="J56" s="90">
        <f>SUM(E56:I56)</f>
        <v>406</v>
      </c>
      <c r="K56" s="879"/>
      <c r="L56" s="22">
        <v>164</v>
      </c>
      <c r="M56" s="23">
        <f>+J56+L56</f>
        <v>570</v>
      </c>
    </row>
    <row r="57" spans="3:13" ht="16" thickBot="1" x14ac:dyDescent="0.4">
      <c r="C57" s="877"/>
      <c r="D57" s="91" t="s">
        <v>13</v>
      </c>
      <c r="E57" s="92">
        <f>E56/30</f>
        <v>4.1333333333333337</v>
      </c>
      <c r="F57" s="28">
        <f t="shared" ref="F57:L57" si="30">F56/30</f>
        <v>2.2333333333333334</v>
      </c>
      <c r="G57" s="93">
        <f t="shared" si="30"/>
        <v>4.3666666666666663</v>
      </c>
      <c r="H57" s="94">
        <f t="shared" si="30"/>
        <v>2.8</v>
      </c>
      <c r="I57" s="94">
        <f t="shared" si="30"/>
        <v>0</v>
      </c>
      <c r="J57" s="94">
        <f t="shared" si="30"/>
        <v>13.533333333333333</v>
      </c>
      <c r="K57" s="880"/>
      <c r="L57" s="29">
        <f t="shared" si="30"/>
        <v>5.4666666666666668</v>
      </c>
      <c r="M57" s="30">
        <f>M56/30</f>
        <v>19</v>
      </c>
    </row>
    <row r="58" spans="3:13" ht="15.5" x14ac:dyDescent="0.35">
      <c r="C58" s="875">
        <v>42856</v>
      </c>
      <c r="D58" s="84" t="s">
        <v>11</v>
      </c>
      <c r="E58" s="46">
        <v>123</v>
      </c>
      <c r="F58" s="14">
        <v>75</v>
      </c>
      <c r="G58" s="85">
        <v>153</v>
      </c>
      <c r="H58" s="18">
        <v>87</v>
      </c>
      <c r="I58" s="18">
        <v>12</v>
      </c>
      <c r="J58" s="86">
        <f t="shared" ref="J58:J73" si="31">SUM(E58:I58)</f>
        <v>450</v>
      </c>
      <c r="K58" s="878">
        <f>+J58-J59</f>
        <v>49</v>
      </c>
      <c r="L58" s="15">
        <v>186</v>
      </c>
      <c r="M58" s="16">
        <f>+J58+L58</f>
        <v>636</v>
      </c>
    </row>
    <row r="59" spans="3:13" ht="16" thickBot="1" x14ac:dyDescent="0.4">
      <c r="C59" s="876"/>
      <c r="D59" s="87" t="s">
        <v>12</v>
      </c>
      <c r="E59" s="88">
        <v>121</v>
      </c>
      <c r="F59" s="21">
        <v>71</v>
      </c>
      <c r="G59" s="89">
        <v>130</v>
      </c>
      <c r="H59" s="32">
        <v>76</v>
      </c>
      <c r="I59" s="32">
        <v>3</v>
      </c>
      <c r="J59" s="90">
        <f t="shared" si="31"/>
        <v>401</v>
      </c>
      <c r="K59" s="879"/>
      <c r="L59" s="22">
        <v>153</v>
      </c>
      <c r="M59" s="23">
        <f>+J59+L59</f>
        <v>554</v>
      </c>
    </row>
    <row r="60" spans="3:13" ht="16" thickBot="1" x14ac:dyDescent="0.4">
      <c r="C60" s="877"/>
      <c r="D60" s="91" t="s">
        <v>13</v>
      </c>
      <c r="E60" s="92">
        <f>E59/31</f>
        <v>3.903225806451613</v>
      </c>
      <c r="F60" s="28">
        <f t="shared" ref="F60:L60" si="32">F59/31</f>
        <v>2.2903225806451615</v>
      </c>
      <c r="G60" s="93">
        <f t="shared" si="32"/>
        <v>4.193548387096774</v>
      </c>
      <c r="H60" s="94">
        <f t="shared" si="32"/>
        <v>2.4516129032258065</v>
      </c>
      <c r="I60" s="94">
        <f t="shared" si="32"/>
        <v>9.6774193548387094E-2</v>
      </c>
      <c r="J60" s="94">
        <f t="shared" si="32"/>
        <v>12.935483870967742</v>
      </c>
      <c r="K60" s="880"/>
      <c r="L60" s="29">
        <f t="shared" si="32"/>
        <v>4.935483870967742</v>
      </c>
      <c r="M60" s="30">
        <f>M59/30</f>
        <v>18.466666666666665</v>
      </c>
    </row>
    <row r="61" spans="3:13" ht="15.5" x14ac:dyDescent="0.35">
      <c r="C61" s="875">
        <v>42887</v>
      </c>
      <c r="D61" s="84" t="s">
        <v>11</v>
      </c>
      <c r="E61" s="46">
        <v>123</v>
      </c>
      <c r="F61" s="14">
        <v>75</v>
      </c>
      <c r="G61" s="85">
        <v>153</v>
      </c>
      <c r="H61" s="18">
        <v>87</v>
      </c>
      <c r="I61" s="18">
        <v>12</v>
      </c>
      <c r="J61" s="86">
        <f t="shared" si="31"/>
        <v>450</v>
      </c>
      <c r="K61" s="878">
        <f>+J61-J62</f>
        <v>39</v>
      </c>
      <c r="L61" s="15">
        <v>180</v>
      </c>
      <c r="M61" s="16">
        <f>+J61+L61</f>
        <v>630</v>
      </c>
    </row>
    <row r="62" spans="3:13" ht="16" thickBot="1" x14ac:dyDescent="0.4">
      <c r="C62" s="876"/>
      <c r="D62" s="87" t="s">
        <v>12</v>
      </c>
      <c r="E62" s="88">
        <v>141</v>
      </c>
      <c r="F62" s="21">
        <v>73</v>
      </c>
      <c r="G62" s="89">
        <v>102</v>
      </c>
      <c r="H62" s="32">
        <v>84</v>
      </c>
      <c r="I62" s="32">
        <v>11</v>
      </c>
      <c r="J62" s="90">
        <f t="shared" si="31"/>
        <v>411</v>
      </c>
      <c r="K62" s="879"/>
      <c r="L62" s="22">
        <v>126</v>
      </c>
      <c r="M62" s="23">
        <f>+J62+L62</f>
        <v>537</v>
      </c>
    </row>
    <row r="63" spans="3:13" ht="16" thickBot="1" x14ac:dyDescent="0.4">
      <c r="C63" s="877"/>
      <c r="D63" s="91" t="s">
        <v>13</v>
      </c>
      <c r="E63" s="92">
        <f t="shared" ref="E63:L63" si="33">E62/30</f>
        <v>4.7</v>
      </c>
      <c r="F63" s="28">
        <f t="shared" si="33"/>
        <v>2.4333333333333331</v>
      </c>
      <c r="G63" s="93">
        <f t="shared" si="33"/>
        <v>3.4</v>
      </c>
      <c r="H63" s="94">
        <f t="shared" si="33"/>
        <v>2.8</v>
      </c>
      <c r="I63" s="94">
        <f t="shared" si="33"/>
        <v>0.36666666666666664</v>
      </c>
      <c r="J63" s="94">
        <f t="shared" si="33"/>
        <v>13.7</v>
      </c>
      <c r="K63" s="880"/>
      <c r="L63" s="29">
        <f t="shared" si="33"/>
        <v>4.2</v>
      </c>
      <c r="M63" s="30">
        <f>M62/30</f>
        <v>17.899999999999999</v>
      </c>
    </row>
    <row r="64" spans="3:13" ht="15.5" x14ac:dyDescent="0.35">
      <c r="C64" s="875">
        <v>42917</v>
      </c>
      <c r="D64" s="84" t="s">
        <v>11</v>
      </c>
      <c r="E64" s="46">
        <v>150</v>
      </c>
      <c r="F64" s="14">
        <v>90</v>
      </c>
      <c r="G64" s="85">
        <v>134</v>
      </c>
      <c r="H64" s="18">
        <v>91</v>
      </c>
      <c r="I64" s="18">
        <v>15</v>
      </c>
      <c r="J64" s="86">
        <f t="shared" si="31"/>
        <v>480</v>
      </c>
      <c r="K64" s="878">
        <f>+J64-J65</f>
        <v>111</v>
      </c>
      <c r="L64" s="15">
        <v>186</v>
      </c>
      <c r="M64" s="16">
        <f>+J64+L64</f>
        <v>666</v>
      </c>
    </row>
    <row r="65" spans="3:13" ht="16" thickBot="1" x14ac:dyDescent="0.4">
      <c r="C65" s="876"/>
      <c r="D65" s="87" t="s">
        <v>12</v>
      </c>
      <c r="E65" s="88">
        <v>108</v>
      </c>
      <c r="F65" s="21">
        <v>94</v>
      </c>
      <c r="G65" s="89">
        <v>108</v>
      </c>
      <c r="H65" s="32">
        <v>59</v>
      </c>
      <c r="I65" s="32">
        <v>0</v>
      </c>
      <c r="J65" s="90">
        <f t="shared" si="31"/>
        <v>369</v>
      </c>
      <c r="K65" s="879"/>
      <c r="L65" s="22">
        <v>180</v>
      </c>
      <c r="M65" s="23">
        <f>+J65+L65</f>
        <v>549</v>
      </c>
    </row>
    <row r="66" spans="3:13" ht="16" thickBot="1" x14ac:dyDescent="0.4">
      <c r="C66" s="877"/>
      <c r="D66" s="91" t="s">
        <v>13</v>
      </c>
      <c r="E66" s="92">
        <f t="shared" ref="E66:L66" si="34">E65/31</f>
        <v>3.4838709677419355</v>
      </c>
      <c r="F66" s="28">
        <f t="shared" si="34"/>
        <v>3.032258064516129</v>
      </c>
      <c r="G66" s="93">
        <f t="shared" si="34"/>
        <v>3.4838709677419355</v>
      </c>
      <c r="H66" s="94">
        <f t="shared" si="34"/>
        <v>1.903225806451613</v>
      </c>
      <c r="I66" s="94">
        <f t="shared" si="34"/>
        <v>0</v>
      </c>
      <c r="J66" s="94">
        <f t="shared" si="34"/>
        <v>11.903225806451612</v>
      </c>
      <c r="K66" s="880"/>
      <c r="L66" s="29">
        <f t="shared" si="34"/>
        <v>5.806451612903226</v>
      </c>
      <c r="M66" s="30">
        <f>M65/30</f>
        <v>18.3</v>
      </c>
    </row>
    <row r="67" spans="3:13" ht="15.5" x14ac:dyDescent="0.35">
      <c r="C67" s="875">
        <v>42948</v>
      </c>
      <c r="D67" s="84" t="s">
        <v>11</v>
      </c>
      <c r="E67" s="46">
        <v>150</v>
      </c>
      <c r="F67" s="14">
        <v>90</v>
      </c>
      <c r="G67" s="85">
        <v>134</v>
      </c>
      <c r="H67" s="18">
        <v>91</v>
      </c>
      <c r="I67" s="18">
        <v>15</v>
      </c>
      <c r="J67" s="86">
        <f t="shared" si="31"/>
        <v>480</v>
      </c>
      <c r="K67" s="878">
        <f>+J67-J68</f>
        <v>41</v>
      </c>
      <c r="L67" s="15">
        <v>186</v>
      </c>
      <c r="M67" s="16">
        <f>+J67+L67</f>
        <v>666</v>
      </c>
    </row>
    <row r="68" spans="3:13" ht="16" thickBot="1" x14ac:dyDescent="0.4">
      <c r="C68" s="876"/>
      <c r="D68" s="87" t="s">
        <v>12</v>
      </c>
      <c r="E68" s="88">
        <v>125</v>
      </c>
      <c r="F68" s="21">
        <v>104</v>
      </c>
      <c r="G68" s="89">
        <v>112</v>
      </c>
      <c r="H68" s="32">
        <v>94</v>
      </c>
      <c r="I68" s="32">
        <v>4</v>
      </c>
      <c r="J68" s="90">
        <f t="shared" si="31"/>
        <v>439</v>
      </c>
      <c r="K68" s="879"/>
      <c r="L68" s="22">
        <v>168</v>
      </c>
      <c r="M68" s="23">
        <f>+J68+L68</f>
        <v>607</v>
      </c>
    </row>
    <row r="69" spans="3:13" ht="16" thickBot="1" x14ac:dyDescent="0.4">
      <c r="C69" s="877"/>
      <c r="D69" s="91" t="s">
        <v>13</v>
      </c>
      <c r="E69" s="92">
        <f t="shared" ref="E69:J69" si="35">E68/31</f>
        <v>4.032258064516129</v>
      </c>
      <c r="F69" s="28">
        <f t="shared" si="35"/>
        <v>3.3548387096774195</v>
      </c>
      <c r="G69" s="93">
        <f t="shared" si="35"/>
        <v>3.6129032258064515</v>
      </c>
      <c r="H69" s="94">
        <f t="shared" si="35"/>
        <v>3.032258064516129</v>
      </c>
      <c r="I69" s="94">
        <f t="shared" si="35"/>
        <v>0.12903225806451613</v>
      </c>
      <c r="J69" s="94">
        <f t="shared" si="35"/>
        <v>14.161290322580646</v>
      </c>
      <c r="K69" s="880"/>
      <c r="L69" s="29">
        <f>L68/31</f>
        <v>5.419354838709677</v>
      </c>
      <c r="M69" s="30">
        <f>M68/30</f>
        <v>20.233333333333334</v>
      </c>
    </row>
    <row r="70" spans="3:13" ht="15.5" x14ac:dyDescent="0.35">
      <c r="C70" s="875">
        <v>42979</v>
      </c>
      <c r="D70" s="84" t="s">
        <v>11</v>
      </c>
      <c r="E70" s="46">
        <v>150</v>
      </c>
      <c r="F70" s="14">
        <v>90</v>
      </c>
      <c r="G70" s="85">
        <v>134</v>
      </c>
      <c r="H70" s="18">
        <v>91</v>
      </c>
      <c r="I70" s="18">
        <v>15</v>
      </c>
      <c r="J70" s="86">
        <f t="shared" si="31"/>
        <v>480</v>
      </c>
      <c r="K70" s="878">
        <f>+J70-J71</f>
        <v>46</v>
      </c>
      <c r="L70" s="15">
        <v>180</v>
      </c>
      <c r="M70" s="16">
        <f>+J70+L70</f>
        <v>660</v>
      </c>
    </row>
    <row r="71" spans="3:13" ht="16" thickBot="1" x14ac:dyDescent="0.4">
      <c r="C71" s="876"/>
      <c r="D71" s="87" t="s">
        <v>12</v>
      </c>
      <c r="E71" s="88">
        <v>135</v>
      </c>
      <c r="F71" s="21">
        <v>90</v>
      </c>
      <c r="G71" s="89">
        <v>134</v>
      </c>
      <c r="H71" s="32">
        <v>65</v>
      </c>
      <c r="I71" s="32">
        <v>10</v>
      </c>
      <c r="J71" s="90">
        <f t="shared" si="31"/>
        <v>434</v>
      </c>
      <c r="K71" s="879"/>
      <c r="L71" s="22">
        <v>161</v>
      </c>
      <c r="M71" s="23">
        <f>+J71+L71</f>
        <v>595</v>
      </c>
    </row>
    <row r="72" spans="3:13" ht="16" thickBot="1" x14ac:dyDescent="0.4">
      <c r="C72" s="877"/>
      <c r="D72" s="91" t="s">
        <v>13</v>
      </c>
      <c r="E72" s="92">
        <f t="shared" ref="E72:J72" si="36">E71/30</f>
        <v>4.5</v>
      </c>
      <c r="F72" s="28">
        <f t="shared" si="36"/>
        <v>3</v>
      </c>
      <c r="G72" s="93">
        <f t="shared" si="36"/>
        <v>4.4666666666666668</v>
      </c>
      <c r="H72" s="94">
        <f t="shared" si="36"/>
        <v>2.1666666666666665</v>
      </c>
      <c r="I72" s="94">
        <f t="shared" si="36"/>
        <v>0.33333333333333331</v>
      </c>
      <c r="J72" s="94">
        <f t="shared" si="36"/>
        <v>14.466666666666667</v>
      </c>
      <c r="K72" s="880"/>
      <c r="L72" s="29">
        <f>L71/30</f>
        <v>5.3666666666666663</v>
      </c>
      <c r="M72" s="30">
        <f>M71/30</f>
        <v>19.833333333333332</v>
      </c>
    </row>
    <row r="73" spans="3:13" ht="15.5" x14ac:dyDescent="0.35">
      <c r="C73" s="875">
        <v>43009</v>
      </c>
      <c r="D73" s="84" t="s">
        <v>11</v>
      </c>
      <c r="E73" s="46">
        <v>183</v>
      </c>
      <c r="F73" s="14">
        <v>102</v>
      </c>
      <c r="G73" s="85">
        <v>150</v>
      </c>
      <c r="H73" s="18">
        <v>105</v>
      </c>
      <c r="I73" s="18">
        <v>30</v>
      </c>
      <c r="J73" s="86">
        <f t="shared" si="31"/>
        <v>570</v>
      </c>
      <c r="K73" s="878">
        <f>+J73-J74</f>
        <v>128</v>
      </c>
      <c r="L73" s="15">
        <v>186</v>
      </c>
      <c r="M73" s="16">
        <f>+J73+L73</f>
        <v>756</v>
      </c>
    </row>
    <row r="74" spans="3:13" ht="16" thickBot="1" x14ac:dyDescent="0.4">
      <c r="C74" s="876"/>
      <c r="D74" s="87" t="s">
        <v>12</v>
      </c>
      <c r="E74" s="88">
        <v>134</v>
      </c>
      <c r="F74" s="21">
        <v>93</v>
      </c>
      <c r="G74" s="89">
        <v>118</v>
      </c>
      <c r="H74" s="32">
        <v>83</v>
      </c>
      <c r="I74" s="32">
        <v>14</v>
      </c>
      <c r="J74" s="90">
        <f>SUM(E74:I74)</f>
        <v>442</v>
      </c>
      <c r="K74" s="879"/>
      <c r="L74" s="22">
        <v>160</v>
      </c>
      <c r="M74" s="23">
        <f>+J74+L74</f>
        <v>602</v>
      </c>
    </row>
    <row r="75" spans="3:13" ht="16" thickBot="1" x14ac:dyDescent="0.4">
      <c r="C75" s="877"/>
      <c r="D75" s="91" t="s">
        <v>13</v>
      </c>
      <c r="E75" s="92">
        <f t="shared" ref="E75:J75" si="37">E74/31</f>
        <v>4.32258064516129</v>
      </c>
      <c r="F75" s="28">
        <f t="shared" si="37"/>
        <v>3</v>
      </c>
      <c r="G75" s="93">
        <f t="shared" si="37"/>
        <v>3.806451612903226</v>
      </c>
      <c r="H75" s="94">
        <f t="shared" si="37"/>
        <v>2.6774193548387095</v>
      </c>
      <c r="I75" s="94">
        <f t="shared" si="37"/>
        <v>0.45161290322580644</v>
      </c>
      <c r="J75" s="94">
        <f t="shared" si="37"/>
        <v>14.258064516129032</v>
      </c>
      <c r="K75" s="880"/>
      <c r="L75" s="29">
        <f>L74/31</f>
        <v>5.161290322580645</v>
      </c>
      <c r="M75" s="30">
        <f>M74/30</f>
        <v>20.066666666666666</v>
      </c>
    </row>
    <row r="76" spans="3:13" ht="15.5" x14ac:dyDescent="0.35">
      <c r="C76" s="875">
        <v>43040</v>
      </c>
      <c r="D76" s="84" t="s">
        <v>11</v>
      </c>
      <c r="E76" s="46">
        <v>183</v>
      </c>
      <c r="F76" s="14">
        <v>102</v>
      </c>
      <c r="G76" s="85">
        <v>150</v>
      </c>
      <c r="H76" s="18">
        <v>105</v>
      </c>
      <c r="I76" s="18">
        <v>30</v>
      </c>
      <c r="J76" s="86">
        <f t="shared" ref="J76:J81" si="38">SUM(E76:I76)</f>
        <v>570</v>
      </c>
      <c r="K76" s="878">
        <f>+J76-J77</f>
        <v>104</v>
      </c>
      <c r="L76" s="15">
        <v>180</v>
      </c>
      <c r="M76" s="16">
        <f>+J76+L76</f>
        <v>750</v>
      </c>
    </row>
    <row r="77" spans="3:13" ht="16" thickBot="1" x14ac:dyDescent="0.4">
      <c r="C77" s="876"/>
      <c r="D77" s="87" t="s">
        <v>12</v>
      </c>
      <c r="E77" s="88">
        <v>144</v>
      </c>
      <c r="F77" s="21">
        <v>92</v>
      </c>
      <c r="G77" s="89">
        <v>147</v>
      </c>
      <c r="H77" s="32">
        <v>77</v>
      </c>
      <c r="I77" s="32">
        <v>6</v>
      </c>
      <c r="J77" s="90">
        <f t="shared" si="38"/>
        <v>466</v>
      </c>
      <c r="K77" s="879"/>
      <c r="L77" s="22">
        <v>148</v>
      </c>
      <c r="M77" s="23">
        <f>+J77+L77</f>
        <v>614</v>
      </c>
    </row>
    <row r="78" spans="3:13" ht="16" thickBot="1" x14ac:dyDescent="0.4">
      <c r="C78" s="877"/>
      <c r="D78" s="91" t="s">
        <v>13</v>
      </c>
      <c r="E78" s="92">
        <f t="shared" ref="E78:J78" si="39">E77/30</f>
        <v>4.8</v>
      </c>
      <c r="F78" s="28">
        <f t="shared" si="39"/>
        <v>3.0666666666666669</v>
      </c>
      <c r="G78" s="93">
        <f t="shared" si="39"/>
        <v>4.9000000000000004</v>
      </c>
      <c r="H78" s="94">
        <f t="shared" si="39"/>
        <v>2.5666666666666669</v>
      </c>
      <c r="I78" s="94">
        <f t="shared" si="39"/>
        <v>0.2</v>
      </c>
      <c r="J78" s="94">
        <f t="shared" si="39"/>
        <v>15.533333333333333</v>
      </c>
      <c r="K78" s="880"/>
      <c r="L78" s="29">
        <f>L77/30</f>
        <v>4.9333333333333336</v>
      </c>
      <c r="M78" s="30">
        <f>M77/30</f>
        <v>20.466666666666665</v>
      </c>
    </row>
    <row r="79" spans="3:13" ht="15.5" x14ac:dyDescent="0.35">
      <c r="C79" s="875">
        <v>43070</v>
      </c>
      <c r="D79" s="84" t="s">
        <v>11</v>
      </c>
      <c r="E79" s="46">
        <v>183</v>
      </c>
      <c r="F79" s="14">
        <v>102</v>
      </c>
      <c r="G79" s="85">
        <v>150</v>
      </c>
      <c r="H79" s="18">
        <v>105</v>
      </c>
      <c r="I79" s="18">
        <v>30</v>
      </c>
      <c r="J79" s="86">
        <f t="shared" si="38"/>
        <v>570</v>
      </c>
      <c r="K79" s="878">
        <f>+J79-J81</f>
        <v>65</v>
      </c>
      <c r="L79" s="49">
        <v>186</v>
      </c>
      <c r="M79" s="50">
        <f>+J79+L79</f>
        <v>756</v>
      </c>
    </row>
    <row r="80" spans="3:13" ht="15.75" hidden="1" customHeight="1" x14ac:dyDescent="0.25">
      <c r="C80" s="876"/>
      <c r="D80" s="95" t="s">
        <v>15</v>
      </c>
      <c r="E80" s="96">
        <f t="shared" ref="E80:J80" si="40">+E79/31</f>
        <v>5.903225806451613</v>
      </c>
      <c r="F80" s="97">
        <f t="shared" si="40"/>
        <v>3.2903225806451615</v>
      </c>
      <c r="G80" s="98">
        <f t="shared" si="40"/>
        <v>4.838709677419355</v>
      </c>
      <c r="H80" s="99">
        <f t="shared" si="40"/>
        <v>3.3870967741935485</v>
      </c>
      <c r="I80" s="99">
        <f t="shared" si="40"/>
        <v>0.967741935483871</v>
      </c>
      <c r="J80" s="99">
        <f t="shared" si="40"/>
        <v>18.387096774193548</v>
      </c>
      <c r="K80" s="879"/>
      <c r="L80" s="100">
        <f>+L79/31</f>
        <v>6</v>
      </c>
      <c r="M80" s="101">
        <f>+M79/31</f>
        <v>24.387096774193548</v>
      </c>
    </row>
    <row r="81" spans="3:21" ht="16" thickBot="1" x14ac:dyDescent="0.4">
      <c r="C81" s="876"/>
      <c r="D81" s="87" t="s">
        <v>12</v>
      </c>
      <c r="E81" s="88">
        <v>148</v>
      </c>
      <c r="F81" s="21">
        <v>91</v>
      </c>
      <c r="G81" s="89">
        <v>171</v>
      </c>
      <c r="H81" s="32">
        <v>92</v>
      </c>
      <c r="I81" s="32">
        <v>3</v>
      </c>
      <c r="J81" s="90">
        <f t="shared" si="38"/>
        <v>505</v>
      </c>
      <c r="K81" s="879"/>
      <c r="L81" s="22">
        <v>153</v>
      </c>
      <c r="M81" s="51">
        <f>+J81+L81</f>
        <v>658</v>
      </c>
    </row>
    <row r="82" spans="3:21" ht="16" thickBot="1" x14ac:dyDescent="0.4">
      <c r="C82" s="877"/>
      <c r="D82" s="91" t="s">
        <v>13</v>
      </c>
      <c r="E82" s="92">
        <f t="shared" ref="E82:J82" si="41">E81/31</f>
        <v>4.774193548387097</v>
      </c>
      <c r="F82" s="28">
        <f t="shared" si="41"/>
        <v>2.935483870967742</v>
      </c>
      <c r="G82" s="93">
        <f t="shared" si="41"/>
        <v>5.5161290322580649</v>
      </c>
      <c r="H82" s="94">
        <f t="shared" si="41"/>
        <v>2.967741935483871</v>
      </c>
      <c r="I82" s="94">
        <f t="shared" si="41"/>
        <v>9.6774193548387094E-2</v>
      </c>
      <c r="J82" s="94">
        <f t="shared" si="41"/>
        <v>16.29032258064516</v>
      </c>
      <c r="K82" s="880"/>
      <c r="L82" s="29">
        <f>L81/31</f>
        <v>4.935483870967742</v>
      </c>
      <c r="M82" s="30">
        <f>M81/30</f>
        <v>21.933333333333334</v>
      </c>
    </row>
    <row r="83" spans="3:21" ht="15.5" x14ac:dyDescent="0.35">
      <c r="C83" s="887" t="s">
        <v>19</v>
      </c>
      <c r="D83" s="84" t="s">
        <v>11</v>
      </c>
      <c r="E83" s="46">
        <v>180</v>
      </c>
      <c r="F83" s="14">
        <v>113</v>
      </c>
      <c r="G83" s="85">
        <v>157</v>
      </c>
      <c r="H83" s="18">
        <v>120</v>
      </c>
      <c r="I83" s="18">
        <v>30</v>
      </c>
      <c r="J83" s="86">
        <f>SUM(E83:I83)</f>
        <v>600</v>
      </c>
      <c r="K83" s="872">
        <f>+J83-J85</f>
        <v>111</v>
      </c>
      <c r="L83" s="48">
        <v>186</v>
      </c>
      <c r="M83" s="57">
        <f>+J83+L83</f>
        <v>786</v>
      </c>
    </row>
    <row r="84" spans="3:21" ht="15.75" hidden="1" customHeight="1" x14ac:dyDescent="0.25">
      <c r="C84" s="888"/>
      <c r="D84" s="102" t="s">
        <v>15</v>
      </c>
      <c r="E84" s="103">
        <f t="shared" ref="E84:J84" si="42">+E83/31</f>
        <v>5.806451612903226</v>
      </c>
      <c r="F84" s="104">
        <f t="shared" si="42"/>
        <v>3.6451612903225805</v>
      </c>
      <c r="G84" s="105">
        <f t="shared" si="42"/>
        <v>5.064516129032258</v>
      </c>
      <c r="H84" s="106">
        <f t="shared" si="42"/>
        <v>3.870967741935484</v>
      </c>
      <c r="I84" s="106">
        <f t="shared" si="42"/>
        <v>0.967741935483871</v>
      </c>
      <c r="J84" s="106">
        <f t="shared" si="42"/>
        <v>19.35483870967742</v>
      </c>
      <c r="K84" s="873"/>
      <c r="L84" s="106">
        <f>+L83/31</f>
        <v>6</v>
      </c>
      <c r="M84" s="26">
        <f>+M83/31</f>
        <v>25.35483870967742</v>
      </c>
    </row>
    <row r="85" spans="3:21" ht="16" thickBot="1" x14ac:dyDescent="0.4">
      <c r="C85" s="888"/>
      <c r="D85" s="87" t="s">
        <v>12</v>
      </c>
      <c r="E85" s="88">
        <v>147</v>
      </c>
      <c r="F85" s="21">
        <v>101</v>
      </c>
      <c r="G85" s="89">
        <v>142</v>
      </c>
      <c r="H85" s="32">
        <v>96</v>
      </c>
      <c r="I85" s="32">
        <v>3</v>
      </c>
      <c r="J85" s="107">
        <f>SUM(E85:I85)</f>
        <v>489</v>
      </c>
      <c r="K85" s="873"/>
      <c r="L85" s="22">
        <v>169</v>
      </c>
      <c r="M85" s="51">
        <f>+J85+L85</f>
        <v>658</v>
      </c>
    </row>
    <row r="86" spans="3:21" ht="16" thickBot="1" x14ac:dyDescent="0.4">
      <c r="C86" s="889"/>
      <c r="D86" s="91" t="s">
        <v>13</v>
      </c>
      <c r="E86" s="92">
        <f t="shared" ref="E86:J86" si="43">+E85/31</f>
        <v>4.741935483870968</v>
      </c>
      <c r="F86" s="28">
        <f t="shared" si="43"/>
        <v>3.2580645161290325</v>
      </c>
      <c r="G86" s="93">
        <f t="shared" si="43"/>
        <v>4.580645161290323</v>
      </c>
      <c r="H86" s="94">
        <f t="shared" si="43"/>
        <v>3.096774193548387</v>
      </c>
      <c r="I86" s="92">
        <f t="shared" si="43"/>
        <v>9.6774193548387094E-2</v>
      </c>
      <c r="J86" s="65">
        <f t="shared" si="43"/>
        <v>15.774193548387096</v>
      </c>
      <c r="K86" s="874"/>
      <c r="L86" s="29">
        <f>+L85/31</f>
        <v>5.4516129032258061</v>
      </c>
      <c r="M86" s="66">
        <f>+M85/31</f>
        <v>21.225806451612904</v>
      </c>
    </row>
    <row r="87" spans="3:21" ht="15.5" x14ac:dyDescent="0.35">
      <c r="C87" s="887" t="s">
        <v>20</v>
      </c>
      <c r="D87" s="84" t="s">
        <v>11</v>
      </c>
      <c r="E87" s="46">
        <v>180</v>
      </c>
      <c r="F87" s="14">
        <v>113</v>
      </c>
      <c r="G87" s="85">
        <v>157</v>
      </c>
      <c r="H87" s="18">
        <v>120</v>
      </c>
      <c r="I87" s="18">
        <v>30</v>
      </c>
      <c r="J87" s="86">
        <f>SUM(E87:I87)</f>
        <v>600</v>
      </c>
      <c r="K87" s="872">
        <f>+J87-J89</f>
        <v>129</v>
      </c>
      <c r="L87" s="48">
        <v>168</v>
      </c>
      <c r="M87" s="57">
        <f>+J87+L87</f>
        <v>768</v>
      </c>
    </row>
    <row r="88" spans="3:21" ht="15.75" hidden="1" customHeight="1" x14ac:dyDescent="0.25">
      <c r="C88" s="888"/>
      <c r="D88" s="102" t="s">
        <v>15</v>
      </c>
      <c r="E88" s="103">
        <f t="shared" ref="E88:J88" si="44">+E87/28</f>
        <v>6.4285714285714288</v>
      </c>
      <c r="F88" s="104">
        <f t="shared" si="44"/>
        <v>4.0357142857142856</v>
      </c>
      <c r="G88" s="105">
        <f t="shared" si="44"/>
        <v>5.6071428571428568</v>
      </c>
      <c r="H88" s="106">
        <f t="shared" si="44"/>
        <v>4.2857142857142856</v>
      </c>
      <c r="I88" s="106">
        <f t="shared" si="44"/>
        <v>1.0714285714285714</v>
      </c>
      <c r="J88" s="106">
        <f t="shared" si="44"/>
        <v>21.428571428571427</v>
      </c>
      <c r="K88" s="873"/>
      <c r="L88" s="106">
        <f>+L87/28</f>
        <v>6</v>
      </c>
      <c r="M88" s="26">
        <f>+M87/28</f>
        <v>27.428571428571427</v>
      </c>
    </row>
    <row r="89" spans="3:21" ht="16" thickBot="1" x14ac:dyDescent="0.4">
      <c r="C89" s="888"/>
      <c r="D89" s="87" t="s">
        <v>12</v>
      </c>
      <c r="E89" s="88">
        <v>155</v>
      </c>
      <c r="F89" s="21">
        <v>98</v>
      </c>
      <c r="G89" s="89">
        <v>130</v>
      </c>
      <c r="H89" s="32">
        <v>87</v>
      </c>
      <c r="I89" s="32">
        <v>1</v>
      </c>
      <c r="J89" s="107">
        <f>SUM(E89:I89)</f>
        <v>471</v>
      </c>
      <c r="K89" s="873"/>
      <c r="L89" s="22">
        <v>157</v>
      </c>
      <c r="M89" s="51">
        <f>+J89+L89</f>
        <v>628</v>
      </c>
    </row>
    <row r="90" spans="3:21" ht="16" thickBot="1" x14ac:dyDescent="0.4">
      <c r="C90" s="889"/>
      <c r="D90" s="91" t="s">
        <v>13</v>
      </c>
      <c r="E90" s="92">
        <f t="shared" ref="E90:J90" si="45">+E89/28</f>
        <v>5.5357142857142856</v>
      </c>
      <c r="F90" s="28">
        <f t="shared" si="45"/>
        <v>3.5</v>
      </c>
      <c r="G90" s="93">
        <f t="shared" si="45"/>
        <v>4.6428571428571432</v>
      </c>
      <c r="H90" s="94">
        <f t="shared" si="45"/>
        <v>3.1071428571428572</v>
      </c>
      <c r="I90" s="92">
        <f t="shared" si="45"/>
        <v>3.5714285714285712E-2</v>
      </c>
      <c r="J90" s="65">
        <f t="shared" si="45"/>
        <v>16.821428571428573</v>
      </c>
      <c r="K90" s="874"/>
      <c r="L90" s="29">
        <f>+L89/28</f>
        <v>5.6071428571428568</v>
      </c>
      <c r="M90" s="66">
        <f>+M89/28</f>
        <v>22.428571428571427</v>
      </c>
    </row>
    <row r="91" spans="3:21" ht="15.5" x14ac:dyDescent="0.35">
      <c r="C91" s="887" t="s">
        <v>21</v>
      </c>
      <c r="D91" s="84" t="s">
        <v>11</v>
      </c>
      <c r="E91" s="46">
        <v>180</v>
      </c>
      <c r="F91" s="14">
        <v>113</v>
      </c>
      <c r="G91" s="85">
        <v>157</v>
      </c>
      <c r="H91" s="18">
        <v>120</v>
      </c>
      <c r="I91" s="18">
        <v>30</v>
      </c>
      <c r="J91" s="86">
        <f>SUM(E91:I91)</f>
        <v>600</v>
      </c>
      <c r="K91" s="872">
        <f>+J91-J93</f>
        <v>93</v>
      </c>
      <c r="L91" s="48">
        <v>186</v>
      </c>
      <c r="M91" s="57">
        <f>+J91+L91</f>
        <v>786</v>
      </c>
    </row>
    <row r="92" spans="3:21" ht="15.75" hidden="1" customHeight="1" x14ac:dyDescent="0.25">
      <c r="C92" s="888"/>
      <c r="D92" s="102" t="s">
        <v>15</v>
      </c>
      <c r="E92" s="103">
        <f t="shared" ref="E92:J92" si="46">+E91/31</f>
        <v>5.806451612903226</v>
      </c>
      <c r="F92" s="104">
        <f t="shared" si="46"/>
        <v>3.6451612903225805</v>
      </c>
      <c r="G92" s="105">
        <f t="shared" si="46"/>
        <v>5.064516129032258</v>
      </c>
      <c r="H92" s="106">
        <f t="shared" si="46"/>
        <v>3.870967741935484</v>
      </c>
      <c r="I92" s="106">
        <f t="shared" si="46"/>
        <v>0.967741935483871</v>
      </c>
      <c r="J92" s="106">
        <f t="shared" si="46"/>
        <v>19.35483870967742</v>
      </c>
      <c r="K92" s="873"/>
      <c r="L92" s="106">
        <f>+L91/31</f>
        <v>6</v>
      </c>
      <c r="M92" s="26">
        <f>+M91/31</f>
        <v>25.35483870967742</v>
      </c>
    </row>
    <row r="93" spans="3:21" ht="16" thickBot="1" x14ac:dyDescent="0.4">
      <c r="C93" s="888"/>
      <c r="D93" s="87" t="s">
        <v>12</v>
      </c>
      <c r="E93" s="88">
        <v>165</v>
      </c>
      <c r="F93" s="21">
        <v>115</v>
      </c>
      <c r="G93" s="89">
        <v>128</v>
      </c>
      <c r="H93" s="32">
        <v>98</v>
      </c>
      <c r="I93" s="32">
        <v>1</v>
      </c>
      <c r="J93" s="107">
        <f>SUM(E93:I93)</f>
        <v>507</v>
      </c>
      <c r="K93" s="873"/>
      <c r="L93" s="22">
        <v>185</v>
      </c>
      <c r="M93" s="51">
        <f>+J93+L93</f>
        <v>692</v>
      </c>
    </row>
    <row r="94" spans="3:21" ht="16" thickBot="1" x14ac:dyDescent="0.4">
      <c r="C94" s="889"/>
      <c r="D94" s="91" t="s">
        <v>13</v>
      </c>
      <c r="E94" s="92">
        <f t="shared" ref="E94:J94" si="47">+E93/31</f>
        <v>5.32258064516129</v>
      </c>
      <c r="F94" s="28">
        <f t="shared" si="47"/>
        <v>3.7096774193548385</v>
      </c>
      <c r="G94" s="93">
        <f t="shared" si="47"/>
        <v>4.129032258064516</v>
      </c>
      <c r="H94" s="94">
        <f t="shared" si="47"/>
        <v>3.161290322580645</v>
      </c>
      <c r="I94" s="92">
        <f t="shared" si="47"/>
        <v>3.2258064516129031E-2</v>
      </c>
      <c r="J94" s="65">
        <f t="shared" si="47"/>
        <v>16.35483870967742</v>
      </c>
      <c r="K94" s="874"/>
      <c r="L94" s="29">
        <f>+L93/31</f>
        <v>5.967741935483871</v>
      </c>
      <c r="M94" s="66">
        <f>+M93/31</f>
        <v>22.322580645161292</v>
      </c>
    </row>
    <row r="95" spans="3:21" ht="15.75" customHeight="1" x14ac:dyDescent="0.35">
      <c r="C95" s="890" t="s">
        <v>22</v>
      </c>
      <c r="D95" s="84" t="s">
        <v>11</v>
      </c>
      <c r="E95" s="46">
        <f t="shared" ref="E95:J95" si="48">E55+E58+E61+E64+E67+E70+E73+E76+E79+E83+E87+E91</f>
        <v>1908</v>
      </c>
      <c r="F95" s="14">
        <f t="shared" si="48"/>
        <v>1140</v>
      </c>
      <c r="G95" s="85">
        <f t="shared" si="48"/>
        <v>1782</v>
      </c>
      <c r="H95" s="18">
        <f t="shared" si="48"/>
        <v>1209</v>
      </c>
      <c r="I95" s="18">
        <f t="shared" si="48"/>
        <v>261</v>
      </c>
      <c r="J95" s="18">
        <f t="shared" si="48"/>
        <v>6300</v>
      </c>
      <c r="K95" s="878">
        <f>+J95-J97</f>
        <v>960</v>
      </c>
      <c r="L95" s="47">
        <f>L55+L58+L61+L64+L67+L70+L73+L76+L79+L83+L87+L91</f>
        <v>2190</v>
      </c>
      <c r="M95" s="108">
        <f>M55+M58+M61+M64+M67+M70+M73+M76+M79+M83+M87+M91</f>
        <v>8490</v>
      </c>
    </row>
    <row r="96" spans="3:21" ht="15.75" hidden="1" x14ac:dyDescent="0.25">
      <c r="C96" s="891"/>
      <c r="D96" s="109" t="s">
        <v>15</v>
      </c>
      <c r="E96" s="110">
        <f t="shared" ref="E96:M98" si="49">E95/(365)</f>
        <v>5.2273972602739729</v>
      </c>
      <c r="F96" s="111">
        <f t="shared" si="49"/>
        <v>3.1232876712328768</v>
      </c>
      <c r="G96" s="112">
        <f t="shared" si="49"/>
        <v>4.882191780821918</v>
      </c>
      <c r="H96" s="113">
        <f t="shared" si="49"/>
        <v>3.3123287671232875</v>
      </c>
      <c r="I96" s="113">
        <f t="shared" si="49"/>
        <v>0.71506849315068488</v>
      </c>
      <c r="J96" s="113">
        <f t="shared" si="49"/>
        <v>17.260273972602739</v>
      </c>
      <c r="K96" s="879"/>
      <c r="L96" s="114">
        <f t="shared" si="49"/>
        <v>6</v>
      </c>
      <c r="M96" s="115">
        <f t="shared" si="49"/>
        <v>23.260273972602739</v>
      </c>
      <c r="Q96" s="116"/>
      <c r="R96" s="117"/>
      <c r="S96" s="118"/>
      <c r="T96" s="119"/>
      <c r="U96" s="119"/>
    </row>
    <row r="97" spans="3:13" ht="16" thickBot="1" x14ac:dyDescent="0.4">
      <c r="C97" s="891"/>
      <c r="D97" s="87" t="s">
        <v>12</v>
      </c>
      <c r="E97" s="88">
        <f t="shared" ref="E97:J97" si="50">E56+E59+E62+E65+E68+E71+E74+E77+E81+E85+E89+E93</f>
        <v>1647</v>
      </c>
      <c r="F97" s="21">
        <f t="shared" si="50"/>
        <v>1089</v>
      </c>
      <c r="G97" s="89">
        <f t="shared" si="50"/>
        <v>1553</v>
      </c>
      <c r="H97" s="32">
        <f t="shared" si="50"/>
        <v>995</v>
      </c>
      <c r="I97" s="32">
        <f t="shared" si="50"/>
        <v>56</v>
      </c>
      <c r="J97" s="90">
        <f t="shared" si="50"/>
        <v>5340</v>
      </c>
      <c r="K97" s="879"/>
      <c r="L97" s="120">
        <f>L56+L59+L62+L65+L68+L71+L74+L77+L81+L85+L89+L93</f>
        <v>1924</v>
      </c>
      <c r="M97" s="121">
        <f>M56+M59+M62+M65+M68+M71+M74+M77+M81+M85+M89+M93</f>
        <v>7264</v>
      </c>
    </row>
    <row r="98" spans="3:13" ht="16" thickBot="1" x14ac:dyDescent="0.4">
      <c r="C98" s="892"/>
      <c r="D98" s="122" t="s">
        <v>13</v>
      </c>
      <c r="E98" s="123">
        <f t="shared" si="49"/>
        <v>4.5123287671232877</v>
      </c>
      <c r="F98" s="124">
        <f t="shared" si="49"/>
        <v>2.9835616438356163</v>
      </c>
      <c r="G98" s="125">
        <f t="shared" si="49"/>
        <v>4.2547945205479456</v>
      </c>
      <c r="H98" s="126">
        <f t="shared" si="49"/>
        <v>2.7260273972602738</v>
      </c>
      <c r="I98" s="126">
        <f t="shared" si="49"/>
        <v>0.15342465753424658</v>
      </c>
      <c r="J98" s="126">
        <f t="shared" si="49"/>
        <v>14.63013698630137</v>
      </c>
      <c r="K98" s="880"/>
      <c r="L98" s="127">
        <f>L97/(365)</f>
        <v>5.2712328767123289</v>
      </c>
      <c r="M98" s="128">
        <f>M97/(365)</f>
        <v>19.901369863013699</v>
      </c>
    </row>
    <row r="99" spans="3:13" ht="16" thickBot="1" x14ac:dyDescent="0.4">
      <c r="C99" s="3"/>
      <c r="D99" s="129" t="s">
        <v>7</v>
      </c>
      <c r="E99" s="130">
        <f t="shared" ref="E99:M99" si="51">+E95-E97</f>
        <v>261</v>
      </c>
      <c r="F99" s="131">
        <f t="shared" si="51"/>
        <v>51</v>
      </c>
      <c r="G99" s="132">
        <f t="shared" si="51"/>
        <v>229</v>
      </c>
      <c r="H99" s="133">
        <f t="shared" si="51"/>
        <v>214</v>
      </c>
      <c r="I99" s="133">
        <f t="shared" si="51"/>
        <v>205</v>
      </c>
      <c r="J99" s="134">
        <f t="shared" si="51"/>
        <v>960</v>
      </c>
      <c r="K99" s="134">
        <f t="shared" si="51"/>
        <v>960</v>
      </c>
      <c r="L99" s="134">
        <f t="shared" si="51"/>
        <v>266</v>
      </c>
      <c r="M99" s="134">
        <f t="shared" si="51"/>
        <v>1226</v>
      </c>
    </row>
    <row r="100" spans="3:13" ht="16" thickBot="1" x14ac:dyDescent="0.4">
      <c r="C100" s="3"/>
      <c r="D100" s="76" t="s">
        <v>17</v>
      </c>
      <c r="E100" s="77">
        <f t="shared" ref="E100:M100" si="52">+E97/E95%</f>
        <v>86.320754716981142</v>
      </c>
      <c r="F100" s="78">
        <f t="shared" si="52"/>
        <v>95.526315789473685</v>
      </c>
      <c r="G100" s="79">
        <f t="shared" si="52"/>
        <v>87.149270482603811</v>
      </c>
      <c r="H100" s="80">
        <f t="shared" si="52"/>
        <v>82.299421009098424</v>
      </c>
      <c r="I100" s="80">
        <f t="shared" si="52"/>
        <v>21.455938697318008</v>
      </c>
      <c r="J100" s="81">
        <f t="shared" si="52"/>
        <v>84.761904761904759</v>
      </c>
      <c r="K100" s="81">
        <f t="shared" si="52"/>
        <v>0</v>
      </c>
      <c r="L100" s="81">
        <f t="shared" si="52"/>
        <v>87.853881278538822</v>
      </c>
      <c r="M100" s="81">
        <f t="shared" si="52"/>
        <v>85.559481743227323</v>
      </c>
    </row>
    <row r="102" spans="3:13" x14ac:dyDescent="0.35">
      <c r="E102" s="135"/>
      <c r="F102" s="135"/>
      <c r="G102" s="135"/>
      <c r="H102" s="135"/>
      <c r="I102" s="135"/>
      <c r="J102" s="135"/>
      <c r="K102" s="135"/>
      <c r="L102" s="135"/>
      <c r="M102" s="135"/>
    </row>
    <row r="103" spans="3:13" x14ac:dyDescent="0.35">
      <c r="E103" s="135"/>
      <c r="F103" s="135"/>
      <c r="G103" s="135"/>
      <c r="H103" s="135"/>
      <c r="I103" s="135"/>
      <c r="J103" s="135"/>
      <c r="K103" s="135"/>
      <c r="L103" s="135"/>
      <c r="M103" s="135"/>
    </row>
  </sheetData>
  <sheetProtection sheet="1" objects="1" scenarios="1"/>
  <mergeCells count="54">
    <mergeCell ref="C91:C94"/>
    <mergeCell ref="K91:K94"/>
    <mergeCell ref="C95:C98"/>
    <mergeCell ref="K95:K98"/>
    <mergeCell ref="C79:C82"/>
    <mergeCell ref="K79:K82"/>
    <mergeCell ref="C83:C86"/>
    <mergeCell ref="K83:K86"/>
    <mergeCell ref="C87:C90"/>
    <mergeCell ref="K87:K90"/>
    <mergeCell ref="C70:C72"/>
    <mergeCell ref="K70:K72"/>
    <mergeCell ref="C73:C75"/>
    <mergeCell ref="K73:K75"/>
    <mergeCell ref="C76:C78"/>
    <mergeCell ref="K76:K78"/>
    <mergeCell ref="C61:C63"/>
    <mergeCell ref="K61:K63"/>
    <mergeCell ref="C64:C66"/>
    <mergeCell ref="K64:K66"/>
    <mergeCell ref="C67:C69"/>
    <mergeCell ref="K67:K69"/>
    <mergeCell ref="C58:C60"/>
    <mergeCell ref="K58:K60"/>
    <mergeCell ref="C34:C37"/>
    <mergeCell ref="K34:K37"/>
    <mergeCell ref="C38:C41"/>
    <mergeCell ref="K38:K41"/>
    <mergeCell ref="C42:C45"/>
    <mergeCell ref="K42:K45"/>
    <mergeCell ref="C46:C49"/>
    <mergeCell ref="K46:K49"/>
    <mergeCell ref="C53:M53"/>
    <mergeCell ref="C55:C57"/>
    <mergeCell ref="K55:K57"/>
    <mergeCell ref="C24:C26"/>
    <mergeCell ref="K24:K26"/>
    <mergeCell ref="C27:C29"/>
    <mergeCell ref="K27:K29"/>
    <mergeCell ref="C30:C33"/>
    <mergeCell ref="K30:K33"/>
    <mergeCell ref="C15:C17"/>
    <mergeCell ref="K15:K17"/>
    <mergeCell ref="C18:C20"/>
    <mergeCell ref="K18:K20"/>
    <mergeCell ref="C21:C23"/>
    <mergeCell ref="K21:K23"/>
    <mergeCell ref="C12:C14"/>
    <mergeCell ref="K12:K14"/>
    <mergeCell ref="C2:M2"/>
    <mergeCell ref="C6:C8"/>
    <mergeCell ref="K6:K8"/>
    <mergeCell ref="C9:C11"/>
    <mergeCell ref="K9:K11"/>
  </mergeCells>
  <printOptions horizontalCentered="1" verticalCentered="1"/>
  <pageMargins left="0.70866141732283472" right="0.70866141732283472" top="0.43307086614173229" bottom="0.43307086614173229" header="0.31496062992125984" footer="0.31496062992125984"/>
  <pageSetup paperSize="9" scale="37" orientation="portrait" blackAndWhite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AF127"/>
  <sheetViews>
    <sheetView workbookViewId="0"/>
  </sheetViews>
  <sheetFormatPr defaultColWidth="9.1796875" defaultRowHeight="14.5" x14ac:dyDescent="0.35"/>
  <cols>
    <col min="1" max="1" width="9.1796875" style="190"/>
    <col min="2" max="2" width="6" style="190" bestFit="1" customWidth="1"/>
    <col min="3" max="3" width="10.1796875" style="190" bestFit="1" customWidth="1"/>
    <col min="4" max="7" width="8.7265625" style="190" bestFit="1" customWidth="1"/>
    <col min="8" max="8" width="9.81640625" style="190" bestFit="1" customWidth="1"/>
    <col min="9" max="9" width="13.7265625" style="190" bestFit="1" customWidth="1"/>
    <col min="10" max="10" width="10.81640625" style="190" bestFit="1" customWidth="1"/>
    <col min="11" max="11" width="13.26953125" style="190" bestFit="1" customWidth="1"/>
    <col min="12" max="12" width="12.81640625" style="190" bestFit="1" customWidth="1"/>
    <col min="13" max="13" width="10.453125" style="190" customWidth="1"/>
    <col min="14" max="14" width="11.54296875" style="190" customWidth="1"/>
    <col min="15" max="15" width="9.26953125" style="190" customWidth="1"/>
    <col min="16" max="17" width="10.54296875" style="190" bestFit="1" customWidth="1"/>
    <col min="18" max="18" width="8.1796875" style="191" bestFit="1" customWidth="1"/>
    <col min="19" max="19" width="6.54296875" style="191" bestFit="1" customWidth="1"/>
    <col min="20" max="20" width="11.54296875" style="191" bestFit="1" customWidth="1"/>
    <col min="21" max="21" width="14.54296875" style="191" bestFit="1" customWidth="1"/>
    <col min="22" max="22" width="9.1796875" style="190"/>
    <col min="23" max="24" width="5.54296875" style="190" bestFit="1" customWidth="1"/>
    <col min="25" max="25" width="13.1796875" style="190" bestFit="1" customWidth="1"/>
    <col min="26" max="26" width="6.54296875" style="190" bestFit="1" customWidth="1"/>
    <col min="27" max="27" width="11.7265625" style="190" bestFit="1" customWidth="1"/>
    <col min="28" max="28" width="9.1796875" style="190" bestFit="1" customWidth="1"/>
    <col min="29" max="29" width="7.54296875" style="190" bestFit="1" customWidth="1"/>
    <col min="30" max="30" width="8.26953125" style="190" bestFit="1" customWidth="1"/>
    <col min="31" max="31" width="6.453125" style="190" bestFit="1" customWidth="1"/>
    <col min="32" max="34" width="9.1796875" style="190"/>
    <col min="35" max="35" width="5.54296875" style="190" bestFit="1" customWidth="1"/>
    <col min="36" max="16384" width="9.1796875" style="190"/>
  </cols>
  <sheetData>
    <row r="2" spans="2:32" ht="15.75" thickBot="1" x14ac:dyDescent="0.3">
      <c r="D2" s="190">
        <v>30</v>
      </c>
      <c r="E2" s="190">
        <v>31</v>
      </c>
      <c r="F2" s="190">
        <v>30</v>
      </c>
      <c r="G2" s="190">
        <v>31</v>
      </c>
      <c r="H2" s="190">
        <v>31</v>
      </c>
      <c r="I2" s="190">
        <v>30</v>
      </c>
      <c r="J2" s="190">
        <v>31</v>
      </c>
      <c r="K2" s="190">
        <v>30</v>
      </c>
      <c r="L2" s="190">
        <v>31</v>
      </c>
      <c r="M2" s="190">
        <v>31</v>
      </c>
      <c r="N2" s="190">
        <v>28</v>
      </c>
      <c r="O2" s="190">
        <v>31</v>
      </c>
      <c r="P2" s="190">
        <f>SUM(D2:O2)</f>
        <v>365</v>
      </c>
    </row>
    <row r="3" spans="2:32" ht="15" x14ac:dyDescent="0.25">
      <c r="B3" s="896" t="s">
        <v>80</v>
      </c>
      <c r="C3" s="897"/>
      <c r="D3" s="897"/>
      <c r="E3" s="897"/>
      <c r="F3" s="897"/>
      <c r="G3" s="897"/>
      <c r="H3" s="897"/>
      <c r="I3" s="897"/>
      <c r="J3" s="897"/>
      <c r="K3" s="897"/>
      <c r="L3" s="898"/>
      <c r="M3" s="898"/>
      <c r="N3" s="898"/>
      <c r="O3" s="898"/>
      <c r="P3" s="899"/>
    </row>
    <row r="4" spans="2:32" ht="15" x14ac:dyDescent="0.25">
      <c r="B4" s="192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4"/>
    </row>
    <row r="5" spans="2:32" ht="30" x14ac:dyDescent="0.25">
      <c r="B5" s="195"/>
      <c r="C5" s="196"/>
      <c r="D5" s="197">
        <v>43191</v>
      </c>
      <c r="E5" s="197">
        <v>43221</v>
      </c>
      <c r="F5" s="197">
        <v>43252</v>
      </c>
      <c r="G5" s="197">
        <v>43282</v>
      </c>
      <c r="H5" s="197">
        <v>43313</v>
      </c>
      <c r="I5" s="197">
        <v>43344</v>
      </c>
      <c r="J5" s="197">
        <v>43374</v>
      </c>
      <c r="K5" s="197">
        <v>43405</v>
      </c>
      <c r="L5" s="197">
        <v>43435</v>
      </c>
      <c r="M5" s="197">
        <v>43466</v>
      </c>
      <c r="N5" s="197">
        <v>43497</v>
      </c>
      <c r="O5" s="197">
        <v>43525</v>
      </c>
      <c r="P5" s="198" t="s">
        <v>81</v>
      </c>
      <c r="Y5" s="190" t="s">
        <v>82</v>
      </c>
      <c r="Z5" s="199" t="s">
        <v>83</v>
      </c>
      <c r="AA5" s="199" t="s">
        <v>84</v>
      </c>
      <c r="AB5" s="199" t="s">
        <v>85</v>
      </c>
      <c r="AC5" s="199" t="s">
        <v>86</v>
      </c>
      <c r="AD5" s="199" t="s">
        <v>87</v>
      </c>
      <c r="AE5" s="199" t="s">
        <v>85</v>
      </c>
      <c r="AF5" s="200"/>
    </row>
    <row r="6" spans="2:32" ht="15.75" thickBot="1" x14ac:dyDescent="0.3">
      <c r="B6" s="201" t="s">
        <v>88</v>
      </c>
      <c r="C6" s="202"/>
      <c r="D6" s="203"/>
      <c r="E6" s="203"/>
      <c r="F6" s="203"/>
      <c r="G6" s="203"/>
      <c r="H6" s="203"/>
      <c r="I6" s="203"/>
      <c r="J6" s="203"/>
      <c r="K6" s="203"/>
      <c r="L6" s="203"/>
      <c r="M6" s="204"/>
      <c r="N6" s="204"/>
      <c r="O6" s="204"/>
      <c r="P6" s="198"/>
      <c r="Y6" s="190" t="s">
        <v>89</v>
      </c>
      <c r="Z6" s="205">
        <f>+L9</f>
        <v>91</v>
      </c>
      <c r="AA6" s="205">
        <f>+L78</f>
        <v>102</v>
      </c>
      <c r="AB6" s="206">
        <f>IFERROR((Z6-AA6)/AA6%,"-")</f>
        <v>-10.784313725490195</v>
      </c>
      <c r="AC6" s="207">
        <f>+P9</f>
        <v>1063</v>
      </c>
      <c r="AD6" s="205">
        <f>+R78</f>
        <v>0</v>
      </c>
      <c r="AE6" s="206" t="str">
        <f>IFERROR((AC6-AD6)/AD6%,"-")</f>
        <v>-</v>
      </c>
    </row>
    <row r="7" spans="2:32" x14ac:dyDescent="0.35">
      <c r="B7" s="893" t="s">
        <v>42</v>
      </c>
      <c r="C7" s="208" t="s">
        <v>90</v>
      </c>
      <c r="D7" s="209">
        <v>23</v>
      </c>
      <c r="E7" s="209">
        <v>25</v>
      </c>
      <c r="F7" s="209">
        <v>21</v>
      </c>
      <c r="G7" s="209">
        <v>24</v>
      </c>
      <c r="H7" s="209">
        <v>19</v>
      </c>
      <c r="I7" s="209">
        <v>22</v>
      </c>
      <c r="J7" s="209">
        <v>22</v>
      </c>
      <c r="K7" s="209">
        <v>25</v>
      </c>
      <c r="L7" s="209">
        <v>26</v>
      </c>
      <c r="M7" s="209">
        <v>21</v>
      </c>
      <c r="N7" s="209">
        <v>24</v>
      </c>
      <c r="O7" s="209">
        <v>24</v>
      </c>
      <c r="P7" s="210">
        <f>SUM(D7:O7)</f>
        <v>276</v>
      </c>
      <c r="Q7" s="211"/>
      <c r="Y7" s="190" t="s">
        <v>91</v>
      </c>
      <c r="Z7" s="205">
        <f>+L13</f>
        <v>87</v>
      </c>
      <c r="AA7" s="205">
        <f>+L82</f>
        <v>98</v>
      </c>
      <c r="AB7" s="206">
        <f t="shared" ref="AB7:AB17" si="0">IFERROR((Z7-AA7)/AA7%,"-")</f>
        <v>-11.224489795918368</v>
      </c>
      <c r="AC7" s="207">
        <f>+P13</f>
        <v>1014</v>
      </c>
      <c r="AD7" s="205">
        <f>+R82</f>
        <v>0</v>
      </c>
      <c r="AE7" s="206" t="str">
        <f t="shared" ref="AE7:AE14" si="1">IFERROR((AC7-AD7)/AD7%,"-")</f>
        <v>-</v>
      </c>
    </row>
    <row r="8" spans="2:32" x14ac:dyDescent="0.35">
      <c r="B8" s="894"/>
      <c r="C8" s="208" t="s">
        <v>92</v>
      </c>
      <c r="D8" s="209">
        <v>61</v>
      </c>
      <c r="E8" s="209">
        <v>62</v>
      </c>
      <c r="F8" s="209">
        <v>69</v>
      </c>
      <c r="G8" s="209">
        <v>64</v>
      </c>
      <c r="H8" s="209">
        <v>61</v>
      </c>
      <c r="I8" s="209">
        <v>75</v>
      </c>
      <c r="J8" s="209">
        <v>70</v>
      </c>
      <c r="K8" s="209">
        <v>70</v>
      </c>
      <c r="L8" s="209">
        <v>65</v>
      </c>
      <c r="M8" s="209">
        <v>65</v>
      </c>
      <c r="N8" s="209">
        <v>66</v>
      </c>
      <c r="O8" s="209">
        <v>59</v>
      </c>
      <c r="P8" s="210">
        <f>SUM(D8:O8)</f>
        <v>787</v>
      </c>
      <c r="Q8" s="211"/>
      <c r="Y8" s="190" t="s">
        <v>93</v>
      </c>
      <c r="Z8" s="205">
        <f>+L17</f>
        <v>144</v>
      </c>
      <c r="AA8" s="205">
        <f>+L86</f>
        <v>147</v>
      </c>
      <c r="AB8" s="206">
        <f t="shared" si="0"/>
        <v>-2.0408163265306123</v>
      </c>
      <c r="AC8" s="207">
        <f>+P17</f>
        <v>1569</v>
      </c>
      <c r="AD8" s="205">
        <f>+R86</f>
        <v>0</v>
      </c>
      <c r="AE8" s="206" t="str">
        <f t="shared" si="1"/>
        <v>-</v>
      </c>
    </row>
    <row r="9" spans="2:32" ht="15" thickBot="1" x14ac:dyDescent="0.4">
      <c r="B9" s="894"/>
      <c r="C9" s="212" t="s">
        <v>94</v>
      </c>
      <c r="D9" s="213">
        <f>SUM(D7:D8)</f>
        <v>84</v>
      </c>
      <c r="E9" s="213">
        <f t="shared" ref="E9:O9" si="2">SUM(E7:E8)</f>
        <v>87</v>
      </c>
      <c r="F9" s="213">
        <f t="shared" si="2"/>
        <v>90</v>
      </c>
      <c r="G9" s="213">
        <f t="shared" si="2"/>
        <v>88</v>
      </c>
      <c r="H9" s="213">
        <f t="shared" si="2"/>
        <v>80</v>
      </c>
      <c r="I9" s="213">
        <f t="shared" si="2"/>
        <v>97</v>
      </c>
      <c r="J9" s="213">
        <f t="shared" si="2"/>
        <v>92</v>
      </c>
      <c r="K9" s="213">
        <f t="shared" si="2"/>
        <v>95</v>
      </c>
      <c r="L9" s="213">
        <f t="shared" si="2"/>
        <v>91</v>
      </c>
      <c r="M9" s="213">
        <f t="shared" si="2"/>
        <v>86</v>
      </c>
      <c r="N9" s="213">
        <f t="shared" si="2"/>
        <v>90</v>
      </c>
      <c r="O9" s="213">
        <f t="shared" si="2"/>
        <v>83</v>
      </c>
      <c r="P9" s="210">
        <f>SUM(D9:O9)</f>
        <v>1063</v>
      </c>
      <c r="Q9" s="211"/>
      <c r="Y9" s="190" t="s">
        <v>95</v>
      </c>
      <c r="Z9" s="205">
        <f>+L21</f>
        <v>52</v>
      </c>
      <c r="AA9" s="205">
        <f>+L90</f>
        <v>0</v>
      </c>
      <c r="AB9" s="206" t="str">
        <f t="shared" si="0"/>
        <v>-</v>
      </c>
      <c r="AC9" s="207">
        <f>+P21</f>
        <v>483</v>
      </c>
      <c r="AD9" s="205">
        <f>+R90</f>
        <v>0</v>
      </c>
      <c r="AE9" s="206" t="str">
        <f t="shared" si="1"/>
        <v>-</v>
      </c>
    </row>
    <row r="10" spans="2:32" ht="16" thickBot="1" x14ac:dyDescent="0.4">
      <c r="B10" s="895"/>
      <c r="C10" s="214" t="s">
        <v>96</v>
      </c>
      <c r="D10" s="215">
        <f t="shared" ref="D10:P10" si="3">D9/D$2</f>
        <v>2.8</v>
      </c>
      <c r="E10" s="215">
        <f t="shared" si="3"/>
        <v>2.806451612903226</v>
      </c>
      <c r="F10" s="215">
        <f t="shared" si="3"/>
        <v>3</v>
      </c>
      <c r="G10" s="215">
        <f t="shared" si="3"/>
        <v>2.838709677419355</v>
      </c>
      <c r="H10" s="215">
        <f>H9/H$2</f>
        <v>2.5806451612903225</v>
      </c>
      <c r="I10" s="215">
        <f t="shared" si="3"/>
        <v>3.2333333333333334</v>
      </c>
      <c r="J10" s="215">
        <f>J9/J$2</f>
        <v>2.967741935483871</v>
      </c>
      <c r="K10" s="215">
        <f>K9/K$2</f>
        <v>3.1666666666666665</v>
      </c>
      <c r="L10" s="215">
        <f t="shared" si="3"/>
        <v>2.935483870967742</v>
      </c>
      <c r="M10" s="215">
        <f t="shared" si="3"/>
        <v>2.774193548387097</v>
      </c>
      <c r="N10" s="215">
        <f t="shared" si="3"/>
        <v>3.2142857142857144</v>
      </c>
      <c r="O10" s="215">
        <f t="shared" si="3"/>
        <v>2.6774193548387095</v>
      </c>
      <c r="P10" s="215">
        <f t="shared" si="3"/>
        <v>2.9123287671232876</v>
      </c>
      <c r="R10" s="216"/>
      <c r="Y10" s="190" t="s">
        <v>97</v>
      </c>
      <c r="Z10" s="205">
        <f>+L25</f>
        <v>0</v>
      </c>
      <c r="AA10" s="205">
        <f>+L94</f>
        <v>9</v>
      </c>
      <c r="AB10" s="206">
        <f t="shared" si="0"/>
        <v>-100</v>
      </c>
      <c r="AC10" s="207">
        <f>+P25</f>
        <v>86</v>
      </c>
      <c r="AD10" s="205">
        <f>+R94</f>
        <v>0</v>
      </c>
      <c r="AE10" s="206" t="str">
        <f t="shared" si="1"/>
        <v>-</v>
      </c>
    </row>
    <row r="11" spans="2:32" x14ac:dyDescent="0.35">
      <c r="B11" s="893" t="s">
        <v>26</v>
      </c>
      <c r="C11" s="208" t="s">
        <v>90</v>
      </c>
      <c r="D11" s="209">
        <v>34</v>
      </c>
      <c r="E11" s="209">
        <v>25</v>
      </c>
      <c r="F11" s="209">
        <v>13.9</v>
      </c>
      <c r="G11" s="209">
        <v>23</v>
      </c>
      <c r="H11" s="209">
        <v>27</v>
      </c>
      <c r="I11" s="209">
        <v>22</v>
      </c>
      <c r="J11" s="209">
        <v>14</v>
      </c>
      <c r="K11" s="209">
        <v>14</v>
      </c>
      <c r="L11" s="209">
        <v>24</v>
      </c>
      <c r="M11" s="209">
        <v>26</v>
      </c>
      <c r="N11" s="209">
        <v>23</v>
      </c>
      <c r="O11" s="209">
        <v>20</v>
      </c>
      <c r="P11" s="210">
        <f>SUM(D11:O11)</f>
        <v>265.89999999999998</v>
      </c>
      <c r="Y11" s="190" t="s">
        <v>98</v>
      </c>
      <c r="Z11" s="205">
        <f>+L29</f>
        <v>42</v>
      </c>
      <c r="AA11" s="205">
        <f>+L98</f>
        <v>51</v>
      </c>
      <c r="AB11" s="206">
        <f t="shared" si="0"/>
        <v>-17.647058823529413</v>
      </c>
      <c r="AC11" s="207">
        <f>+P29</f>
        <v>460</v>
      </c>
      <c r="AD11" s="205">
        <f>+R98</f>
        <v>0</v>
      </c>
      <c r="AE11" s="206" t="str">
        <f t="shared" si="1"/>
        <v>-</v>
      </c>
    </row>
    <row r="12" spans="2:32" x14ac:dyDescent="0.35">
      <c r="B12" s="894"/>
      <c r="C12" s="208" t="s">
        <v>92</v>
      </c>
      <c r="D12" s="209">
        <v>58</v>
      </c>
      <c r="E12" s="209">
        <v>60</v>
      </c>
      <c r="F12" s="209">
        <v>70.099999999999994</v>
      </c>
      <c r="G12" s="209">
        <v>52</v>
      </c>
      <c r="H12" s="209">
        <v>57</v>
      </c>
      <c r="I12" s="209">
        <v>58</v>
      </c>
      <c r="J12" s="209">
        <v>67</v>
      </c>
      <c r="K12" s="209">
        <v>72</v>
      </c>
      <c r="L12" s="209">
        <v>63</v>
      </c>
      <c r="M12" s="209">
        <v>61</v>
      </c>
      <c r="N12" s="209">
        <v>67</v>
      </c>
      <c r="O12" s="209">
        <v>63</v>
      </c>
      <c r="P12" s="210">
        <f>SUM(D12:O12)</f>
        <v>748.1</v>
      </c>
      <c r="Y12" s="190" t="s">
        <v>99</v>
      </c>
      <c r="Z12" s="205">
        <f>+L33</f>
        <v>90</v>
      </c>
      <c r="AA12" s="205">
        <f>+L102</f>
        <v>88</v>
      </c>
      <c r="AB12" s="206">
        <f t="shared" si="0"/>
        <v>2.2727272727272729</v>
      </c>
      <c r="AC12" s="207">
        <f>+P33</f>
        <v>1062</v>
      </c>
      <c r="AD12" s="205">
        <f>+R102</f>
        <v>0</v>
      </c>
      <c r="AE12" s="206" t="str">
        <f t="shared" si="1"/>
        <v>-</v>
      </c>
    </row>
    <row r="13" spans="2:32" ht="15" thickBot="1" x14ac:dyDescent="0.4">
      <c r="B13" s="894"/>
      <c r="C13" s="212" t="s">
        <v>94</v>
      </c>
      <c r="D13" s="213">
        <f>SUM(D11:D12)</f>
        <v>92</v>
      </c>
      <c r="E13" s="213">
        <f t="shared" ref="E13:O13" si="4">SUM(E11:E12)</f>
        <v>85</v>
      </c>
      <c r="F13" s="213">
        <f t="shared" si="4"/>
        <v>84</v>
      </c>
      <c r="G13" s="213">
        <f t="shared" si="4"/>
        <v>75</v>
      </c>
      <c r="H13" s="213">
        <f t="shared" si="4"/>
        <v>84</v>
      </c>
      <c r="I13" s="213">
        <f t="shared" si="4"/>
        <v>80</v>
      </c>
      <c r="J13" s="213">
        <f t="shared" si="4"/>
        <v>81</v>
      </c>
      <c r="K13" s="213">
        <f t="shared" si="4"/>
        <v>86</v>
      </c>
      <c r="L13" s="213">
        <f t="shared" si="4"/>
        <v>87</v>
      </c>
      <c r="M13" s="213">
        <f t="shared" si="4"/>
        <v>87</v>
      </c>
      <c r="N13" s="213">
        <f t="shared" si="4"/>
        <v>90</v>
      </c>
      <c r="O13" s="213">
        <f t="shared" si="4"/>
        <v>83</v>
      </c>
      <c r="P13" s="210">
        <f>SUM(D13:O13)</f>
        <v>1014</v>
      </c>
      <c r="Q13" s="211"/>
      <c r="Y13" s="190" t="s">
        <v>100</v>
      </c>
      <c r="Z13" s="205">
        <f>+L37</f>
        <v>27</v>
      </c>
      <c r="AA13" s="205">
        <f>+L106</f>
        <v>10</v>
      </c>
      <c r="AB13" s="206">
        <f t="shared" si="0"/>
        <v>170</v>
      </c>
      <c r="AC13" s="207">
        <f>+P37</f>
        <v>203</v>
      </c>
      <c r="AD13" s="205">
        <f>+R106</f>
        <v>0</v>
      </c>
      <c r="AE13" s="206" t="str">
        <f t="shared" si="1"/>
        <v>-</v>
      </c>
    </row>
    <row r="14" spans="2:32" ht="16" thickBot="1" x14ac:dyDescent="0.4">
      <c r="B14" s="895"/>
      <c r="C14" s="214" t="s">
        <v>96</v>
      </c>
      <c r="D14" s="215">
        <f t="shared" ref="D14:P14" si="5">D13/D$2</f>
        <v>3.0666666666666669</v>
      </c>
      <c r="E14" s="215">
        <f t="shared" si="5"/>
        <v>2.7419354838709675</v>
      </c>
      <c r="F14" s="215">
        <f t="shared" si="5"/>
        <v>2.8</v>
      </c>
      <c r="G14" s="215">
        <f t="shared" si="5"/>
        <v>2.4193548387096775</v>
      </c>
      <c r="H14" s="215">
        <f t="shared" si="5"/>
        <v>2.7096774193548385</v>
      </c>
      <c r="I14" s="215">
        <f t="shared" si="5"/>
        <v>2.6666666666666665</v>
      </c>
      <c r="J14" s="215">
        <f t="shared" si="5"/>
        <v>2.6129032258064515</v>
      </c>
      <c r="K14" s="215">
        <f t="shared" si="5"/>
        <v>2.8666666666666667</v>
      </c>
      <c r="L14" s="215">
        <f t="shared" si="5"/>
        <v>2.806451612903226</v>
      </c>
      <c r="M14" s="215">
        <f t="shared" si="5"/>
        <v>2.806451612903226</v>
      </c>
      <c r="N14" s="215">
        <f t="shared" si="5"/>
        <v>3.2142857142857144</v>
      </c>
      <c r="O14" s="215">
        <f t="shared" si="5"/>
        <v>2.6774193548387095</v>
      </c>
      <c r="P14" s="215">
        <f t="shared" si="5"/>
        <v>2.7780821917808218</v>
      </c>
      <c r="R14" s="216"/>
      <c r="Y14" s="190" t="s">
        <v>101</v>
      </c>
      <c r="Z14" s="205">
        <f>SUM(Z6:Z13)</f>
        <v>533</v>
      </c>
      <c r="AA14" s="205">
        <f>SUM(AA6:AA13)</f>
        <v>505</v>
      </c>
      <c r="AB14" s="206">
        <f t="shared" si="0"/>
        <v>5.544554455445545</v>
      </c>
      <c r="AC14" s="205">
        <f t="shared" ref="AC14:AD14" si="6">SUM(AC6:AC13)</f>
        <v>5940</v>
      </c>
      <c r="AD14" s="205">
        <f t="shared" si="6"/>
        <v>0</v>
      </c>
      <c r="AE14" s="206" t="str">
        <f t="shared" si="1"/>
        <v>-</v>
      </c>
    </row>
    <row r="15" spans="2:32" ht="15" thickBot="1" x14ac:dyDescent="0.4">
      <c r="B15" s="893" t="s">
        <v>27</v>
      </c>
      <c r="C15" s="208" t="s">
        <v>90</v>
      </c>
      <c r="D15" s="209">
        <v>35</v>
      </c>
      <c r="E15" s="209">
        <v>40.4</v>
      </c>
      <c r="F15" s="209">
        <v>63.8</v>
      </c>
      <c r="G15" s="209">
        <v>54.2</v>
      </c>
      <c r="H15" s="209">
        <v>54.5</v>
      </c>
      <c r="I15" s="209">
        <v>52</v>
      </c>
      <c r="J15" s="209">
        <v>46.2</v>
      </c>
      <c r="K15" s="209">
        <v>52.1</v>
      </c>
      <c r="L15" s="209">
        <v>66</v>
      </c>
      <c r="M15" s="209">
        <v>49.4</v>
      </c>
      <c r="N15" s="209">
        <v>47.9</v>
      </c>
      <c r="O15" s="209">
        <v>73.099999999999994</v>
      </c>
      <c r="P15" s="210">
        <f>SUM(D15:O15)</f>
        <v>634.6</v>
      </c>
    </row>
    <row r="16" spans="2:32" ht="15.5" thickTop="1" thickBot="1" x14ac:dyDescent="0.4">
      <c r="B16" s="894"/>
      <c r="C16" s="208" t="s">
        <v>92</v>
      </c>
      <c r="D16" s="209">
        <v>91</v>
      </c>
      <c r="E16" s="209">
        <v>94.6</v>
      </c>
      <c r="F16" s="209">
        <v>87.2</v>
      </c>
      <c r="G16" s="209">
        <v>78.8</v>
      </c>
      <c r="H16" s="209">
        <v>60.5</v>
      </c>
      <c r="I16" s="209">
        <v>60</v>
      </c>
      <c r="J16" s="209">
        <v>79.8</v>
      </c>
      <c r="K16" s="209">
        <v>88.9</v>
      </c>
      <c r="L16" s="209">
        <v>78</v>
      </c>
      <c r="M16" s="209">
        <v>77.599999999999994</v>
      </c>
      <c r="N16" s="209">
        <v>67.099999999999994</v>
      </c>
      <c r="O16" s="209">
        <v>70.900000000000006</v>
      </c>
      <c r="P16" s="210">
        <f>SUM(D16:O16)</f>
        <v>934.4</v>
      </c>
      <c r="Y16" s="190" t="s">
        <v>102</v>
      </c>
      <c r="Z16" s="217">
        <f>+L39</f>
        <v>199.1</v>
      </c>
      <c r="AA16" s="218">
        <f>+L108</f>
        <v>152</v>
      </c>
      <c r="AB16" s="206">
        <f t="shared" si="0"/>
        <v>30.986842105263154</v>
      </c>
      <c r="AC16" s="218">
        <f>+P39</f>
        <v>2070.2999999999997</v>
      </c>
      <c r="AD16" s="218">
        <f>+R108</f>
        <v>0</v>
      </c>
      <c r="AE16" s="206" t="str">
        <f t="shared" ref="AE16:AE17" si="7">IFERROR((AC16-AD16)/AD16%,"-")</f>
        <v>-</v>
      </c>
    </row>
    <row r="17" spans="2:31" ht="15.5" thickTop="1" thickBot="1" x14ac:dyDescent="0.4">
      <c r="B17" s="894"/>
      <c r="C17" s="212" t="s">
        <v>94</v>
      </c>
      <c r="D17" s="213">
        <f>SUM(D15:D16)</f>
        <v>126</v>
      </c>
      <c r="E17" s="213">
        <f t="shared" ref="E17:O17" si="8">SUM(E15:E16)</f>
        <v>135</v>
      </c>
      <c r="F17" s="213">
        <f t="shared" si="8"/>
        <v>151</v>
      </c>
      <c r="G17" s="213">
        <f t="shared" si="8"/>
        <v>133</v>
      </c>
      <c r="H17" s="213">
        <f t="shared" si="8"/>
        <v>115</v>
      </c>
      <c r="I17" s="213">
        <f t="shared" si="8"/>
        <v>112</v>
      </c>
      <c r="J17" s="213">
        <f t="shared" si="8"/>
        <v>126</v>
      </c>
      <c r="K17" s="213">
        <f t="shared" si="8"/>
        <v>141</v>
      </c>
      <c r="L17" s="213">
        <f t="shared" si="8"/>
        <v>144</v>
      </c>
      <c r="M17" s="213">
        <f t="shared" si="8"/>
        <v>127</v>
      </c>
      <c r="N17" s="213">
        <f t="shared" si="8"/>
        <v>115</v>
      </c>
      <c r="O17" s="213">
        <f t="shared" si="8"/>
        <v>144</v>
      </c>
      <c r="P17" s="210">
        <f>SUM(D17:O17)</f>
        <v>1569</v>
      </c>
      <c r="Q17" s="211"/>
      <c r="Y17" s="190" t="s">
        <v>103</v>
      </c>
      <c r="Z17" s="217">
        <f>+L40</f>
        <v>333.9</v>
      </c>
      <c r="AA17" s="218">
        <f>+L109</f>
        <v>353</v>
      </c>
      <c r="AB17" s="206">
        <f t="shared" si="0"/>
        <v>-5.4107648725212529</v>
      </c>
      <c r="AC17" s="218">
        <f>+P40</f>
        <v>3869.7000000000003</v>
      </c>
      <c r="AD17" s="218">
        <f>+R109</f>
        <v>0</v>
      </c>
      <c r="AE17" s="206" t="str">
        <f t="shared" si="7"/>
        <v>-</v>
      </c>
    </row>
    <row r="18" spans="2:31" ht="16" thickBot="1" x14ac:dyDescent="0.4">
      <c r="B18" s="895"/>
      <c r="C18" s="214" t="s">
        <v>96</v>
      </c>
      <c r="D18" s="215">
        <f t="shared" ref="D18:P18" si="9">D17/D$2</f>
        <v>4.2</v>
      </c>
      <c r="E18" s="215">
        <f t="shared" si="9"/>
        <v>4.354838709677419</v>
      </c>
      <c r="F18" s="215">
        <f t="shared" si="9"/>
        <v>5.0333333333333332</v>
      </c>
      <c r="G18" s="215">
        <f t="shared" si="9"/>
        <v>4.290322580645161</v>
      </c>
      <c r="H18" s="215">
        <f t="shared" si="9"/>
        <v>3.7096774193548385</v>
      </c>
      <c r="I18" s="215">
        <f t="shared" si="9"/>
        <v>3.7333333333333334</v>
      </c>
      <c r="J18" s="215">
        <f t="shared" si="9"/>
        <v>4.064516129032258</v>
      </c>
      <c r="K18" s="215">
        <f t="shared" si="9"/>
        <v>4.7</v>
      </c>
      <c r="L18" s="215">
        <f t="shared" si="9"/>
        <v>4.645161290322581</v>
      </c>
      <c r="M18" s="215">
        <f t="shared" si="9"/>
        <v>4.096774193548387</v>
      </c>
      <c r="N18" s="215">
        <f t="shared" si="9"/>
        <v>4.1071428571428568</v>
      </c>
      <c r="O18" s="215">
        <f t="shared" si="9"/>
        <v>4.645161290322581</v>
      </c>
      <c r="P18" s="215">
        <f t="shared" si="9"/>
        <v>4.2986301369863016</v>
      </c>
      <c r="R18" s="216"/>
    </row>
    <row r="19" spans="2:31" x14ac:dyDescent="0.35">
      <c r="B19" s="893" t="s">
        <v>29</v>
      </c>
      <c r="C19" s="208" t="s">
        <v>90</v>
      </c>
      <c r="D19" s="209">
        <v>0</v>
      </c>
      <c r="E19" s="209">
        <v>4</v>
      </c>
      <c r="F19" s="209">
        <v>16</v>
      </c>
      <c r="G19" s="209">
        <v>15</v>
      </c>
      <c r="H19" s="209">
        <v>11</v>
      </c>
      <c r="I19" s="209">
        <v>13</v>
      </c>
      <c r="J19" s="209">
        <v>19</v>
      </c>
      <c r="K19" s="209">
        <v>17</v>
      </c>
      <c r="L19" s="209">
        <v>22</v>
      </c>
      <c r="M19" s="209">
        <v>20</v>
      </c>
      <c r="N19" s="209">
        <v>20</v>
      </c>
      <c r="O19" s="209">
        <v>22</v>
      </c>
      <c r="P19" s="210">
        <f>SUM(D19:O19)</f>
        <v>179</v>
      </c>
    </row>
    <row r="20" spans="2:31" x14ac:dyDescent="0.35">
      <c r="B20" s="894"/>
      <c r="C20" s="208" t="s">
        <v>92</v>
      </c>
      <c r="D20" s="209">
        <v>0</v>
      </c>
      <c r="E20" s="209">
        <v>4</v>
      </c>
      <c r="F20" s="209">
        <v>20</v>
      </c>
      <c r="G20" s="209">
        <v>32</v>
      </c>
      <c r="H20" s="209">
        <v>33</v>
      </c>
      <c r="I20" s="209">
        <v>24</v>
      </c>
      <c r="J20" s="209">
        <v>26</v>
      </c>
      <c r="K20" s="209">
        <v>38</v>
      </c>
      <c r="L20" s="209">
        <v>30</v>
      </c>
      <c r="M20" s="209">
        <v>35</v>
      </c>
      <c r="N20" s="209">
        <v>35</v>
      </c>
      <c r="O20" s="209">
        <v>27</v>
      </c>
      <c r="P20" s="210">
        <f>SUM(D20:O20)</f>
        <v>304</v>
      </c>
    </row>
    <row r="21" spans="2:31" ht="15" thickBot="1" x14ac:dyDescent="0.4">
      <c r="B21" s="894"/>
      <c r="C21" s="212" t="s">
        <v>94</v>
      </c>
      <c r="D21" s="213">
        <f>SUM(D19:D20)</f>
        <v>0</v>
      </c>
      <c r="E21" s="213">
        <f t="shared" ref="E21:O21" si="10">SUM(E19:E20)</f>
        <v>8</v>
      </c>
      <c r="F21" s="213">
        <f t="shared" si="10"/>
        <v>36</v>
      </c>
      <c r="G21" s="213">
        <f t="shared" si="10"/>
        <v>47</v>
      </c>
      <c r="H21" s="213">
        <f t="shared" si="10"/>
        <v>44</v>
      </c>
      <c r="I21" s="213">
        <f t="shared" si="10"/>
        <v>37</v>
      </c>
      <c r="J21" s="213">
        <f t="shared" si="10"/>
        <v>45</v>
      </c>
      <c r="K21" s="213">
        <f t="shared" si="10"/>
        <v>55</v>
      </c>
      <c r="L21" s="213">
        <f t="shared" si="10"/>
        <v>52</v>
      </c>
      <c r="M21" s="213">
        <f t="shared" si="10"/>
        <v>55</v>
      </c>
      <c r="N21" s="213">
        <f t="shared" si="10"/>
        <v>55</v>
      </c>
      <c r="O21" s="213">
        <f t="shared" si="10"/>
        <v>49</v>
      </c>
      <c r="P21" s="210">
        <f>SUM(D21:O21)</f>
        <v>483</v>
      </c>
      <c r="Q21" s="211"/>
    </row>
    <row r="22" spans="2:31" ht="16" thickBot="1" x14ac:dyDescent="0.4">
      <c r="B22" s="895"/>
      <c r="C22" s="214" t="s">
        <v>96</v>
      </c>
      <c r="D22" s="215">
        <f t="shared" ref="D22:P22" si="11">D21/D$2</f>
        <v>0</v>
      </c>
      <c r="E22" s="215">
        <f t="shared" si="11"/>
        <v>0.25806451612903225</v>
      </c>
      <c r="F22" s="215">
        <f t="shared" si="11"/>
        <v>1.2</v>
      </c>
      <c r="G22" s="215">
        <f t="shared" si="11"/>
        <v>1.5161290322580645</v>
      </c>
      <c r="H22" s="215">
        <f t="shared" si="11"/>
        <v>1.4193548387096775</v>
      </c>
      <c r="I22" s="215">
        <f t="shared" si="11"/>
        <v>1.2333333333333334</v>
      </c>
      <c r="J22" s="215">
        <f t="shared" si="11"/>
        <v>1.4516129032258065</v>
      </c>
      <c r="K22" s="215">
        <f t="shared" si="11"/>
        <v>1.8333333333333333</v>
      </c>
      <c r="L22" s="215">
        <f t="shared" si="11"/>
        <v>1.6774193548387097</v>
      </c>
      <c r="M22" s="215">
        <f t="shared" si="11"/>
        <v>1.7741935483870968</v>
      </c>
      <c r="N22" s="215">
        <f t="shared" si="11"/>
        <v>1.9642857142857142</v>
      </c>
      <c r="O22" s="215">
        <f t="shared" si="11"/>
        <v>1.5806451612903225</v>
      </c>
      <c r="P22" s="215">
        <f t="shared" si="11"/>
        <v>1.3232876712328767</v>
      </c>
      <c r="R22" s="216"/>
    </row>
    <row r="23" spans="2:31" x14ac:dyDescent="0.35">
      <c r="B23" s="893" t="s">
        <v>30</v>
      </c>
      <c r="C23" s="208" t="s">
        <v>90</v>
      </c>
      <c r="D23" s="209">
        <v>13</v>
      </c>
      <c r="E23" s="209">
        <v>9</v>
      </c>
      <c r="F23" s="209">
        <v>11</v>
      </c>
      <c r="G23" s="209">
        <v>9</v>
      </c>
      <c r="H23" s="209">
        <v>3</v>
      </c>
      <c r="I23" s="209">
        <v>1</v>
      </c>
      <c r="J23" s="209">
        <v>6</v>
      </c>
      <c r="K23" s="209"/>
      <c r="L23" s="209"/>
      <c r="M23" s="209"/>
      <c r="N23" s="209"/>
      <c r="O23" s="209">
        <v>3</v>
      </c>
      <c r="P23" s="210">
        <f>SUM(D23:O23)</f>
        <v>55</v>
      </c>
    </row>
    <row r="24" spans="2:31" x14ac:dyDescent="0.35">
      <c r="B24" s="894"/>
      <c r="C24" s="208" t="s">
        <v>92</v>
      </c>
      <c r="D24" s="209">
        <v>7</v>
      </c>
      <c r="E24" s="209">
        <v>10</v>
      </c>
      <c r="F24" s="209">
        <v>5</v>
      </c>
      <c r="G24" s="209">
        <v>4</v>
      </c>
      <c r="H24" s="209"/>
      <c r="I24" s="209">
        <v>4</v>
      </c>
      <c r="J24" s="209"/>
      <c r="K24" s="209"/>
      <c r="L24" s="209"/>
      <c r="M24" s="209"/>
      <c r="N24" s="209"/>
      <c r="O24" s="209">
        <v>1</v>
      </c>
      <c r="P24" s="210">
        <f>SUM(D24:O24)</f>
        <v>31</v>
      </c>
    </row>
    <row r="25" spans="2:31" ht="15" thickBot="1" x14ac:dyDescent="0.4">
      <c r="B25" s="894"/>
      <c r="C25" s="212" t="s">
        <v>94</v>
      </c>
      <c r="D25" s="213">
        <f>SUM(D23:D24)</f>
        <v>20</v>
      </c>
      <c r="E25" s="213">
        <f t="shared" ref="E25:O25" si="12">SUM(E23:E24)</f>
        <v>19</v>
      </c>
      <c r="F25" s="213">
        <f t="shared" si="12"/>
        <v>16</v>
      </c>
      <c r="G25" s="213">
        <f t="shared" si="12"/>
        <v>13</v>
      </c>
      <c r="H25" s="213">
        <f t="shared" si="12"/>
        <v>3</v>
      </c>
      <c r="I25" s="213">
        <f t="shared" si="12"/>
        <v>5</v>
      </c>
      <c r="J25" s="213">
        <f t="shared" si="12"/>
        <v>6</v>
      </c>
      <c r="K25" s="213">
        <f t="shared" si="12"/>
        <v>0</v>
      </c>
      <c r="L25" s="213">
        <f t="shared" si="12"/>
        <v>0</v>
      </c>
      <c r="M25" s="213">
        <f t="shared" si="12"/>
        <v>0</v>
      </c>
      <c r="N25" s="213">
        <f t="shared" si="12"/>
        <v>0</v>
      </c>
      <c r="O25" s="213">
        <f t="shared" si="12"/>
        <v>4</v>
      </c>
      <c r="P25" s="210">
        <f>SUM(D25:O25)</f>
        <v>86</v>
      </c>
      <c r="Q25" s="211"/>
    </row>
    <row r="26" spans="2:31" ht="16" thickBot="1" x14ac:dyDescent="0.4">
      <c r="B26" s="895"/>
      <c r="C26" s="214" t="s">
        <v>96</v>
      </c>
      <c r="D26" s="215">
        <f t="shared" ref="D26:P26" si="13">D25/D$2</f>
        <v>0.66666666666666663</v>
      </c>
      <c r="E26" s="215">
        <f t="shared" si="13"/>
        <v>0.61290322580645162</v>
      </c>
      <c r="F26" s="215">
        <f t="shared" si="13"/>
        <v>0.53333333333333333</v>
      </c>
      <c r="G26" s="215">
        <f t="shared" si="13"/>
        <v>0.41935483870967744</v>
      </c>
      <c r="H26" s="215">
        <f t="shared" si="13"/>
        <v>9.6774193548387094E-2</v>
      </c>
      <c r="I26" s="215">
        <f t="shared" si="13"/>
        <v>0.16666666666666666</v>
      </c>
      <c r="J26" s="215">
        <f t="shared" si="13"/>
        <v>0.19354838709677419</v>
      </c>
      <c r="K26" s="215">
        <f t="shared" si="13"/>
        <v>0</v>
      </c>
      <c r="L26" s="215">
        <f t="shared" si="13"/>
        <v>0</v>
      </c>
      <c r="M26" s="215">
        <f t="shared" si="13"/>
        <v>0</v>
      </c>
      <c r="N26" s="215">
        <f t="shared" si="13"/>
        <v>0</v>
      </c>
      <c r="O26" s="215">
        <f t="shared" si="13"/>
        <v>0.12903225806451613</v>
      </c>
      <c r="P26" s="215">
        <f t="shared" si="13"/>
        <v>0.23561643835616439</v>
      </c>
      <c r="R26" s="216"/>
    </row>
    <row r="27" spans="2:31" x14ac:dyDescent="0.35">
      <c r="B27" s="893" t="s">
        <v>31</v>
      </c>
      <c r="C27" s="208" t="s">
        <v>90</v>
      </c>
      <c r="D27" s="209">
        <v>20</v>
      </c>
      <c r="E27" s="209">
        <v>20</v>
      </c>
      <c r="F27" s="209">
        <v>20</v>
      </c>
      <c r="G27" s="209">
        <v>13</v>
      </c>
      <c r="H27" s="209">
        <v>22</v>
      </c>
      <c r="I27" s="209">
        <v>17</v>
      </c>
      <c r="J27" s="209">
        <v>21</v>
      </c>
      <c r="K27" s="209">
        <v>21</v>
      </c>
      <c r="L27" s="209">
        <v>23</v>
      </c>
      <c r="M27" s="209">
        <v>23</v>
      </c>
      <c r="N27" s="209">
        <v>23</v>
      </c>
      <c r="O27" s="209">
        <v>27</v>
      </c>
      <c r="P27" s="210">
        <f>SUM(D27:O27)</f>
        <v>250</v>
      </c>
    </row>
    <row r="28" spans="2:31" x14ac:dyDescent="0.35">
      <c r="B28" s="894"/>
      <c r="C28" s="208" t="s">
        <v>92</v>
      </c>
      <c r="D28" s="209">
        <v>25</v>
      </c>
      <c r="E28" s="209">
        <v>19</v>
      </c>
      <c r="F28" s="209">
        <v>16</v>
      </c>
      <c r="G28" s="209">
        <v>4</v>
      </c>
      <c r="H28" s="209">
        <v>11</v>
      </c>
      <c r="I28" s="209">
        <v>16</v>
      </c>
      <c r="J28" s="209">
        <v>21</v>
      </c>
      <c r="K28" s="209">
        <v>20</v>
      </c>
      <c r="L28" s="209">
        <v>19</v>
      </c>
      <c r="M28" s="209">
        <v>20</v>
      </c>
      <c r="N28" s="209">
        <v>20</v>
      </c>
      <c r="O28" s="209">
        <v>19</v>
      </c>
      <c r="P28" s="210">
        <f>SUM(D28:O28)</f>
        <v>210</v>
      </c>
    </row>
    <row r="29" spans="2:31" ht="15" thickBot="1" x14ac:dyDescent="0.4">
      <c r="B29" s="894"/>
      <c r="C29" s="212" t="s">
        <v>94</v>
      </c>
      <c r="D29" s="213">
        <f>SUM(D27:D28)</f>
        <v>45</v>
      </c>
      <c r="E29" s="213">
        <f t="shared" ref="E29:O29" si="14">SUM(E27:E28)</f>
        <v>39</v>
      </c>
      <c r="F29" s="213">
        <f t="shared" si="14"/>
        <v>36</v>
      </c>
      <c r="G29" s="213">
        <f t="shared" si="14"/>
        <v>17</v>
      </c>
      <c r="H29" s="213">
        <f t="shared" si="14"/>
        <v>33</v>
      </c>
      <c r="I29" s="213">
        <f t="shared" si="14"/>
        <v>33</v>
      </c>
      <c r="J29" s="213">
        <f t="shared" si="14"/>
        <v>42</v>
      </c>
      <c r="K29" s="213">
        <f t="shared" si="14"/>
        <v>41</v>
      </c>
      <c r="L29" s="213">
        <f t="shared" si="14"/>
        <v>42</v>
      </c>
      <c r="M29" s="213">
        <f t="shared" si="14"/>
        <v>43</v>
      </c>
      <c r="N29" s="213">
        <f t="shared" si="14"/>
        <v>43</v>
      </c>
      <c r="O29" s="213">
        <f t="shared" si="14"/>
        <v>46</v>
      </c>
      <c r="P29" s="210">
        <f>SUM(D29:O29)</f>
        <v>460</v>
      </c>
      <c r="Q29" s="211"/>
    </row>
    <row r="30" spans="2:31" ht="16" thickBot="1" x14ac:dyDescent="0.4">
      <c r="B30" s="895"/>
      <c r="C30" s="214" t="s">
        <v>96</v>
      </c>
      <c r="D30" s="215">
        <f t="shared" ref="D30:P30" si="15">D29/D$2</f>
        <v>1.5</v>
      </c>
      <c r="E30" s="215">
        <f t="shared" si="15"/>
        <v>1.2580645161290323</v>
      </c>
      <c r="F30" s="215">
        <f t="shared" si="15"/>
        <v>1.2</v>
      </c>
      <c r="G30" s="215">
        <f t="shared" si="15"/>
        <v>0.54838709677419351</v>
      </c>
      <c r="H30" s="215">
        <f t="shared" si="15"/>
        <v>1.064516129032258</v>
      </c>
      <c r="I30" s="215">
        <f t="shared" si="15"/>
        <v>1.1000000000000001</v>
      </c>
      <c r="J30" s="215">
        <f t="shared" si="15"/>
        <v>1.3548387096774193</v>
      </c>
      <c r="K30" s="215">
        <f t="shared" si="15"/>
        <v>1.3666666666666667</v>
      </c>
      <c r="L30" s="215">
        <f t="shared" si="15"/>
        <v>1.3548387096774193</v>
      </c>
      <c r="M30" s="215">
        <f t="shared" si="15"/>
        <v>1.3870967741935485</v>
      </c>
      <c r="N30" s="215">
        <f t="shared" si="15"/>
        <v>1.5357142857142858</v>
      </c>
      <c r="O30" s="215">
        <f t="shared" si="15"/>
        <v>1.4838709677419355</v>
      </c>
      <c r="P30" s="215">
        <f t="shared" si="15"/>
        <v>1.2602739726027397</v>
      </c>
      <c r="R30" s="216"/>
    </row>
    <row r="31" spans="2:31" x14ac:dyDescent="0.35">
      <c r="B31" s="893" t="s">
        <v>28</v>
      </c>
      <c r="C31" s="208" t="s">
        <v>90</v>
      </c>
      <c r="D31" s="209">
        <v>33</v>
      </c>
      <c r="E31" s="209">
        <v>31.4</v>
      </c>
      <c r="F31" s="209">
        <v>28.5</v>
      </c>
      <c r="G31" s="209">
        <v>27.1</v>
      </c>
      <c r="H31" s="209">
        <v>22.7</v>
      </c>
      <c r="I31" s="209">
        <v>21</v>
      </c>
      <c r="J31" s="209">
        <v>21.5</v>
      </c>
      <c r="K31" s="209">
        <v>18.399999999999999</v>
      </c>
      <c r="L31" s="209">
        <v>26.5</v>
      </c>
      <c r="M31" s="209">
        <v>24.4</v>
      </c>
      <c r="N31" s="209">
        <v>23.4</v>
      </c>
      <c r="O31" s="209">
        <v>24.4</v>
      </c>
      <c r="P31" s="210">
        <f>SUM(D31:O31)</f>
        <v>302.29999999999995</v>
      </c>
    </row>
    <row r="32" spans="2:31" x14ac:dyDescent="0.35">
      <c r="B32" s="894"/>
      <c r="C32" s="208" t="s">
        <v>92</v>
      </c>
      <c r="D32" s="209">
        <v>64</v>
      </c>
      <c r="E32" s="209">
        <v>56.6</v>
      </c>
      <c r="F32" s="209">
        <v>55.5</v>
      </c>
      <c r="G32" s="209">
        <v>68.900000000000006</v>
      </c>
      <c r="H32" s="209">
        <v>71.3</v>
      </c>
      <c r="I32" s="209">
        <v>60</v>
      </c>
      <c r="J32" s="209">
        <v>68.5</v>
      </c>
      <c r="K32" s="209">
        <v>58.6</v>
      </c>
      <c r="L32" s="209">
        <v>63.5</v>
      </c>
      <c r="M32" s="209">
        <v>65.599999999999994</v>
      </c>
      <c r="N32" s="209">
        <v>57.6</v>
      </c>
      <c r="O32" s="209">
        <v>69.599999999999994</v>
      </c>
      <c r="P32" s="210">
        <f>SUM(D32:O32)</f>
        <v>759.70000000000016</v>
      </c>
    </row>
    <row r="33" spans="2:18" ht="15" thickBot="1" x14ac:dyDescent="0.4">
      <c r="B33" s="894"/>
      <c r="C33" s="212" t="s">
        <v>94</v>
      </c>
      <c r="D33" s="213">
        <f>SUM(D31:D32)</f>
        <v>97</v>
      </c>
      <c r="E33" s="213">
        <f t="shared" ref="E33:O33" si="16">SUM(E31:E32)</f>
        <v>88</v>
      </c>
      <c r="F33" s="213">
        <f t="shared" si="16"/>
        <v>84</v>
      </c>
      <c r="G33" s="213">
        <f t="shared" si="16"/>
        <v>96</v>
      </c>
      <c r="H33" s="213">
        <f t="shared" si="16"/>
        <v>94</v>
      </c>
      <c r="I33" s="213">
        <f t="shared" si="16"/>
        <v>81</v>
      </c>
      <c r="J33" s="213">
        <f t="shared" si="16"/>
        <v>90</v>
      </c>
      <c r="K33" s="213">
        <f t="shared" si="16"/>
        <v>77</v>
      </c>
      <c r="L33" s="213">
        <f t="shared" si="16"/>
        <v>90</v>
      </c>
      <c r="M33" s="213">
        <f t="shared" si="16"/>
        <v>90</v>
      </c>
      <c r="N33" s="213">
        <f t="shared" si="16"/>
        <v>81</v>
      </c>
      <c r="O33" s="213">
        <f t="shared" si="16"/>
        <v>94</v>
      </c>
      <c r="P33" s="210">
        <f>SUM(D33:O33)</f>
        <v>1062</v>
      </c>
      <c r="Q33" s="211"/>
    </row>
    <row r="34" spans="2:18" ht="16" thickBot="1" x14ac:dyDescent="0.4">
      <c r="B34" s="895"/>
      <c r="C34" s="214" t="s">
        <v>96</v>
      </c>
      <c r="D34" s="215">
        <f t="shared" ref="D34:P34" si="17">D33/D$2</f>
        <v>3.2333333333333334</v>
      </c>
      <c r="E34" s="215">
        <f t="shared" si="17"/>
        <v>2.838709677419355</v>
      </c>
      <c r="F34" s="215">
        <f t="shared" si="17"/>
        <v>2.8</v>
      </c>
      <c r="G34" s="215">
        <f t="shared" si="17"/>
        <v>3.096774193548387</v>
      </c>
      <c r="H34" s="215">
        <f t="shared" si="17"/>
        <v>3.032258064516129</v>
      </c>
      <c r="I34" s="215">
        <f t="shared" si="17"/>
        <v>2.7</v>
      </c>
      <c r="J34" s="215">
        <f t="shared" si="17"/>
        <v>2.903225806451613</v>
      </c>
      <c r="K34" s="215">
        <f t="shared" si="17"/>
        <v>2.5666666666666669</v>
      </c>
      <c r="L34" s="215">
        <f t="shared" si="17"/>
        <v>2.903225806451613</v>
      </c>
      <c r="M34" s="215">
        <f t="shared" si="17"/>
        <v>2.903225806451613</v>
      </c>
      <c r="N34" s="215">
        <f t="shared" si="17"/>
        <v>2.8928571428571428</v>
      </c>
      <c r="O34" s="215">
        <f t="shared" si="17"/>
        <v>3.032258064516129</v>
      </c>
      <c r="P34" s="215">
        <f t="shared" si="17"/>
        <v>2.9095890410958902</v>
      </c>
      <c r="R34" s="216"/>
    </row>
    <row r="35" spans="2:18" x14ac:dyDescent="0.35">
      <c r="B35" s="893" t="s">
        <v>32</v>
      </c>
      <c r="C35" s="208" t="s">
        <v>90</v>
      </c>
      <c r="D35" s="209">
        <v>5</v>
      </c>
      <c r="E35" s="209">
        <v>13</v>
      </c>
      <c r="F35" s="209">
        <v>9.1999999999999993</v>
      </c>
      <c r="G35" s="209">
        <v>6</v>
      </c>
      <c r="H35" s="209">
        <v>7</v>
      </c>
      <c r="I35" s="209">
        <v>4</v>
      </c>
      <c r="J35" s="209">
        <v>8</v>
      </c>
      <c r="K35" s="209">
        <v>11.6</v>
      </c>
      <c r="L35" s="209">
        <v>11.6</v>
      </c>
      <c r="M35" s="209">
        <v>15.5</v>
      </c>
      <c r="N35" s="209">
        <v>12</v>
      </c>
      <c r="O35" s="209">
        <v>4.5999999999999996</v>
      </c>
      <c r="P35" s="210">
        <f>SUM(D35:O35)</f>
        <v>107.5</v>
      </c>
    </row>
    <row r="36" spans="2:18" x14ac:dyDescent="0.35">
      <c r="B36" s="894"/>
      <c r="C36" s="208" t="s">
        <v>92</v>
      </c>
      <c r="D36" s="209">
        <v>0</v>
      </c>
      <c r="E36" s="209">
        <v>6</v>
      </c>
      <c r="F36" s="209">
        <v>7.8</v>
      </c>
      <c r="G36" s="209">
        <v>7</v>
      </c>
      <c r="H36" s="209">
        <v>5</v>
      </c>
      <c r="I36" s="209">
        <v>13</v>
      </c>
      <c r="J36" s="209">
        <v>9</v>
      </c>
      <c r="K36" s="209">
        <v>9.4</v>
      </c>
      <c r="L36" s="209">
        <v>15.4</v>
      </c>
      <c r="M36" s="209">
        <v>8.5</v>
      </c>
      <c r="N36" s="209">
        <v>9</v>
      </c>
      <c r="O36" s="209">
        <v>5.4</v>
      </c>
      <c r="P36" s="210">
        <f>SUM(D36:O36)</f>
        <v>95.5</v>
      </c>
    </row>
    <row r="37" spans="2:18" ht="15" thickBot="1" x14ac:dyDescent="0.4">
      <c r="B37" s="894"/>
      <c r="C37" s="212" t="s">
        <v>94</v>
      </c>
      <c r="D37" s="213">
        <f>SUM(D35:D36)</f>
        <v>5</v>
      </c>
      <c r="E37" s="213">
        <f t="shared" ref="E37:O37" si="18">SUM(E35:E36)</f>
        <v>19</v>
      </c>
      <c r="F37" s="213">
        <f t="shared" si="18"/>
        <v>17</v>
      </c>
      <c r="G37" s="213">
        <f t="shared" si="18"/>
        <v>13</v>
      </c>
      <c r="H37" s="213">
        <f t="shared" si="18"/>
        <v>12</v>
      </c>
      <c r="I37" s="213">
        <f t="shared" si="18"/>
        <v>17</v>
      </c>
      <c r="J37" s="213">
        <f t="shared" si="18"/>
        <v>17</v>
      </c>
      <c r="K37" s="213">
        <f t="shared" si="18"/>
        <v>21</v>
      </c>
      <c r="L37" s="213">
        <f t="shared" si="18"/>
        <v>27</v>
      </c>
      <c r="M37" s="213">
        <f t="shared" si="18"/>
        <v>24</v>
      </c>
      <c r="N37" s="213">
        <f t="shared" si="18"/>
        <v>21</v>
      </c>
      <c r="O37" s="213">
        <f t="shared" si="18"/>
        <v>10</v>
      </c>
      <c r="P37" s="210">
        <f>SUM(D37:O37)</f>
        <v>203</v>
      </c>
      <c r="Q37" s="211"/>
    </row>
    <row r="38" spans="2:18" ht="16" thickBot="1" x14ac:dyDescent="0.4">
      <c r="B38" s="895"/>
      <c r="C38" s="214" t="s">
        <v>96</v>
      </c>
      <c r="D38" s="215">
        <f t="shared" ref="D38:P38" si="19">D37/D$2</f>
        <v>0.16666666666666666</v>
      </c>
      <c r="E38" s="215">
        <f t="shared" si="19"/>
        <v>0.61290322580645162</v>
      </c>
      <c r="F38" s="215">
        <f t="shared" si="19"/>
        <v>0.56666666666666665</v>
      </c>
      <c r="G38" s="215">
        <f t="shared" si="19"/>
        <v>0.41935483870967744</v>
      </c>
      <c r="H38" s="215">
        <f t="shared" si="19"/>
        <v>0.38709677419354838</v>
      </c>
      <c r="I38" s="215">
        <f t="shared" si="19"/>
        <v>0.56666666666666665</v>
      </c>
      <c r="J38" s="215">
        <f t="shared" si="19"/>
        <v>0.54838709677419351</v>
      </c>
      <c r="K38" s="215">
        <f t="shared" si="19"/>
        <v>0.7</v>
      </c>
      <c r="L38" s="215">
        <f t="shared" si="19"/>
        <v>0.87096774193548387</v>
      </c>
      <c r="M38" s="215">
        <f t="shared" si="19"/>
        <v>0.77419354838709675</v>
      </c>
      <c r="N38" s="215">
        <f t="shared" si="19"/>
        <v>0.75</v>
      </c>
      <c r="O38" s="215">
        <f t="shared" si="19"/>
        <v>0.32258064516129031</v>
      </c>
      <c r="P38" s="215">
        <f t="shared" si="19"/>
        <v>0.55616438356164388</v>
      </c>
      <c r="R38" s="216"/>
    </row>
    <row r="39" spans="2:18" x14ac:dyDescent="0.35">
      <c r="B39" s="896" t="s">
        <v>104</v>
      </c>
      <c r="C39" s="899"/>
      <c r="D39" s="219">
        <f t="shared" ref="D39:O41" si="20">D7+D11+D15+D19+D23+D27+D31+D35</f>
        <v>163</v>
      </c>
      <c r="E39" s="220">
        <f t="shared" si="20"/>
        <v>167.8</v>
      </c>
      <c r="F39" s="220">
        <f t="shared" si="20"/>
        <v>183.39999999999998</v>
      </c>
      <c r="G39" s="220">
        <f t="shared" si="20"/>
        <v>171.29999999999998</v>
      </c>
      <c r="H39" s="220">
        <f t="shared" si="20"/>
        <v>166.2</v>
      </c>
      <c r="I39" s="220">
        <f t="shared" si="20"/>
        <v>152</v>
      </c>
      <c r="J39" s="220">
        <f t="shared" si="20"/>
        <v>157.69999999999999</v>
      </c>
      <c r="K39" s="220">
        <f t="shared" si="20"/>
        <v>159.1</v>
      </c>
      <c r="L39" s="220">
        <f t="shared" si="20"/>
        <v>199.1</v>
      </c>
      <c r="M39" s="220">
        <f t="shared" si="20"/>
        <v>179.3</v>
      </c>
      <c r="N39" s="220">
        <f t="shared" si="20"/>
        <v>173.3</v>
      </c>
      <c r="O39" s="220">
        <f t="shared" si="20"/>
        <v>198.1</v>
      </c>
      <c r="P39" s="210">
        <f>SUM(D39:O39)</f>
        <v>2070.2999999999997</v>
      </c>
    </row>
    <row r="40" spans="2:18" x14ac:dyDescent="0.35">
      <c r="B40" s="815" t="s">
        <v>105</v>
      </c>
      <c r="C40" s="900"/>
      <c r="D40" s="219">
        <f t="shared" si="20"/>
        <v>306</v>
      </c>
      <c r="E40" s="220">
        <f t="shared" si="20"/>
        <v>312.2</v>
      </c>
      <c r="F40" s="220">
        <f t="shared" si="20"/>
        <v>330.6</v>
      </c>
      <c r="G40" s="220">
        <f t="shared" si="20"/>
        <v>310.70000000000005</v>
      </c>
      <c r="H40" s="220">
        <f t="shared" si="20"/>
        <v>298.8</v>
      </c>
      <c r="I40" s="220">
        <f t="shared" si="20"/>
        <v>310</v>
      </c>
      <c r="J40" s="220">
        <f t="shared" si="20"/>
        <v>341.3</v>
      </c>
      <c r="K40" s="220">
        <f t="shared" si="20"/>
        <v>356.9</v>
      </c>
      <c r="L40" s="220">
        <f t="shared" si="20"/>
        <v>333.9</v>
      </c>
      <c r="M40" s="220">
        <f t="shared" si="20"/>
        <v>332.70000000000005</v>
      </c>
      <c r="N40" s="220">
        <f t="shared" si="20"/>
        <v>321.7</v>
      </c>
      <c r="O40" s="220">
        <f t="shared" si="20"/>
        <v>314.89999999999998</v>
      </c>
      <c r="P40" s="210">
        <f>SUM(D40:O40)</f>
        <v>3869.7000000000003</v>
      </c>
    </row>
    <row r="41" spans="2:18" ht="19" thickBot="1" x14ac:dyDescent="0.4">
      <c r="B41" s="815" t="s">
        <v>46</v>
      </c>
      <c r="C41" s="900"/>
      <c r="D41" s="219">
        <f>SUM(D39:D40)</f>
        <v>469</v>
      </c>
      <c r="E41" s="220">
        <f t="shared" ref="E41:O41" si="21">SUM(E39:E40)</f>
        <v>480</v>
      </c>
      <c r="F41" s="220">
        <f t="shared" si="21"/>
        <v>514</v>
      </c>
      <c r="G41" s="220">
        <f t="shared" si="21"/>
        <v>482</v>
      </c>
      <c r="H41" s="220">
        <f t="shared" si="21"/>
        <v>465</v>
      </c>
      <c r="I41" s="220">
        <f t="shared" si="21"/>
        <v>462</v>
      </c>
      <c r="J41" s="220">
        <f t="shared" si="20"/>
        <v>499</v>
      </c>
      <c r="K41" s="220">
        <f t="shared" si="21"/>
        <v>516</v>
      </c>
      <c r="L41" s="220">
        <f t="shared" si="21"/>
        <v>533</v>
      </c>
      <c r="M41" s="220">
        <f t="shared" si="21"/>
        <v>512</v>
      </c>
      <c r="N41" s="220">
        <f t="shared" si="21"/>
        <v>495</v>
      </c>
      <c r="O41" s="220">
        <f t="shared" si="21"/>
        <v>513</v>
      </c>
      <c r="P41" s="221">
        <f>SUM(D41:O41)</f>
        <v>5940</v>
      </c>
      <c r="Q41" s="222"/>
    </row>
    <row r="42" spans="2:18" ht="16" thickBot="1" x14ac:dyDescent="0.4">
      <c r="B42" s="901" t="s">
        <v>96</v>
      </c>
      <c r="C42" s="902"/>
      <c r="D42" s="223">
        <f t="shared" ref="D42:P42" si="22">D41/D$2</f>
        <v>15.633333333333333</v>
      </c>
      <c r="E42" s="215">
        <f t="shared" si="22"/>
        <v>15.483870967741936</v>
      </c>
      <c r="F42" s="215">
        <f t="shared" si="22"/>
        <v>17.133333333333333</v>
      </c>
      <c r="G42" s="215">
        <f t="shared" si="22"/>
        <v>15.548387096774194</v>
      </c>
      <c r="H42" s="215">
        <f t="shared" si="22"/>
        <v>15</v>
      </c>
      <c r="I42" s="215">
        <f t="shared" si="22"/>
        <v>15.4</v>
      </c>
      <c r="J42" s="215">
        <f t="shared" si="22"/>
        <v>16.096774193548388</v>
      </c>
      <c r="K42" s="215">
        <f t="shared" si="22"/>
        <v>17.2</v>
      </c>
      <c r="L42" s="215">
        <f t="shared" si="22"/>
        <v>17.193548387096776</v>
      </c>
      <c r="M42" s="215">
        <f t="shared" si="22"/>
        <v>16.516129032258064</v>
      </c>
      <c r="N42" s="215">
        <f t="shared" si="22"/>
        <v>17.678571428571427</v>
      </c>
      <c r="O42" s="215">
        <f t="shared" si="22"/>
        <v>16.548387096774192</v>
      </c>
      <c r="P42" s="215">
        <f t="shared" si="22"/>
        <v>16.273972602739725</v>
      </c>
      <c r="R42" s="216"/>
    </row>
    <row r="43" spans="2:18" x14ac:dyDescent="0.35">
      <c r="B43" s="224"/>
      <c r="C43" s="224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</row>
    <row r="44" spans="2:18" x14ac:dyDescent="0.35">
      <c r="B44" s="192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4"/>
    </row>
    <row r="45" spans="2:18" x14ac:dyDescent="0.35">
      <c r="B45" s="192"/>
      <c r="C45" s="193"/>
      <c r="D45" s="197">
        <v>43191</v>
      </c>
      <c r="E45" s="197">
        <v>43221</v>
      </c>
      <c r="F45" s="197">
        <v>43252</v>
      </c>
      <c r="G45" s="197">
        <v>43282</v>
      </c>
      <c r="H45" s="197">
        <v>43313</v>
      </c>
      <c r="I45" s="197">
        <v>43344</v>
      </c>
      <c r="J45" s="197">
        <v>43374</v>
      </c>
      <c r="K45" s="197">
        <v>43405</v>
      </c>
      <c r="L45" s="197">
        <v>43435</v>
      </c>
      <c r="M45" s="197">
        <v>43466</v>
      </c>
      <c r="N45" s="197">
        <v>43497</v>
      </c>
      <c r="O45" s="197">
        <v>43525</v>
      </c>
      <c r="P45" s="225" t="s">
        <v>81</v>
      </c>
    </row>
    <row r="46" spans="2:18" x14ac:dyDescent="0.35">
      <c r="B46" s="809" t="s">
        <v>1</v>
      </c>
      <c r="C46" s="226" t="s">
        <v>90</v>
      </c>
      <c r="D46" s="210">
        <v>48</v>
      </c>
      <c r="E46" s="210">
        <v>50.6</v>
      </c>
      <c r="F46" s="210">
        <v>54.5</v>
      </c>
      <c r="G46" s="210">
        <v>55.4</v>
      </c>
      <c r="H46" s="210">
        <v>58.7</v>
      </c>
      <c r="I46" s="210">
        <v>58.8</v>
      </c>
      <c r="J46" s="210">
        <v>46</v>
      </c>
      <c r="K46" s="210">
        <v>47.3</v>
      </c>
      <c r="L46" s="227">
        <v>57.3</v>
      </c>
      <c r="M46" s="227">
        <v>59.3</v>
      </c>
      <c r="N46" s="227">
        <v>52.5</v>
      </c>
      <c r="O46" s="227">
        <v>66.2</v>
      </c>
      <c r="P46" s="228">
        <f>D46+E46+F46+G46+H46+I46+J46+K46+L46+M46+N46+O46</f>
        <v>654.6</v>
      </c>
      <c r="R46" s="191">
        <f>SUM(D46:G46)</f>
        <v>208.5</v>
      </c>
    </row>
    <row r="47" spans="2:18" x14ac:dyDescent="0.35">
      <c r="B47" s="809"/>
      <c r="C47" s="226" t="s">
        <v>92</v>
      </c>
      <c r="D47" s="210">
        <v>73</v>
      </c>
      <c r="E47" s="210">
        <v>94.4</v>
      </c>
      <c r="F47" s="210">
        <v>115.5</v>
      </c>
      <c r="G47" s="210">
        <v>89.6</v>
      </c>
      <c r="H47" s="210">
        <v>98.3</v>
      </c>
      <c r="I47" s="210">
        <v>118.2</v>
      </c>
      <c r="J47" s="210">
        <v>81</v>
      </c>
      <c r="K47" s="210">
        <v>90.7</v>
      </c>
      <c r="L47" s="227">
        <v>93.7</v>
      </c>
      <c r="M47" s="227">
        <v>93.7</v>
      </c>
      <c r="N47" s="227">
        <v>92.5</v>
      </c>
      <c r="O47" s="227">
        <v>107.8</v>
      </c>
      <c r="P47" s="228">
        <f t="shared" ref="P47:P57" si="23">D47+E47+F47+G47+H47+I47+J47+K47+L47+M47+N47+O47</f>
        <v>1148.4000000000001</v>
      </c>
      <c r="R47" s="191">
        <f t="shared" ref="R47:R58" si="24">SUM(D47:G47)</f>
        <v>372.5</v>
      </c>
    </row>
    <row r="48" spans="2:18" x14ac:dyDescent="0.35">
      <c r="B48" s="809" t="s">
        <v>2</v>
      </c>
      <c r="C48" s="226" t="s">
        <v>90</v>
      </c>
      <c r="D48" s="210">
        <v>33</v>
      </c>
      <c r="E48" s="210">
        <v>38.9</v>
      </c>
      <c r="F48" s="210">
        <v>40.4</v>
      </c>
      <c r="G48" s="210">
        <v>29.8</v>
      </c>
      <c r="H48" s="210">
        <v>25.9</v>
      </c>
      <c r="I48" s="210">
        <v>36.799999999999997</v>
      </c>
      <c r="J48" s="210">
        <v>34</v>
      </c>
      <c r="K48" s="210">
        <v>33.1</v>
      </c>
      <c r="L48" s="227">
        <v>39</v>
      </c>
      <c r="M48" s="227">
        <v>22</v>
      </c>
      <c r="N48" s="227">
        <v>27.2</v>
      </c>
      <c r="O48" s="227">
        <v>38.700000000000003</v>
      </c>
      <c r="P48" s="228">
        <f t="shared" si="23"/>
        <v>398.8</v>
      </c>
      <c r="R48" s="191">
        <f t="shared" si="24"/>
        <v>142.10000000000002</v>
      </c>
    </row>
    <row r="49" spans="2:20" x14ac:dyDescent="0.35">
      <c r="B49" s="809"/>
      <c r="C49" s="226" t="s">
        <v>92</v>
      </c>
      <c r="D49" s="210">
        <v>74</v>
      </c>
      <c r="E49" s="210">
        <v>70.099999999999994</v>
      </c>
      <c r="F49" s="210">
        <v>61.6</v>
      </c>
      <c r="G49" s="210">
        <v>67.2</v>
      </c>
      <c r="H49" s="210">
        <v>71.099999999999994</v>
      </c>
      <c r="I49" s="210">
        <v>58.2</v>
      </c>
      <c r="J49" s="210">
        <v>76</v>
      </c>
      <c r="K49" s="210">
        <v>68.900000000000006</v>
      </c>
      <c r="L49" s="227">
        <v>66</v>
      </c>
      <c r="M49" s="227">
        <v>49</v>
      </c>
      <c r="N49" s="227">
        <v>45.8</v>
      </c>
      <c r="O49" s="227">
        <v>49.3</v>
      </c>
      <c r="P49" s="228">
        <f t="shared" si="23"/>
        <v>757.19999999999993</v>
      </c>
      <c r="R49" s="191">
        <f t="shared" si="24"/>
        <v>272.89999999999998</v>
      </c>
    </row>
    <row r="50" spans="2:20" x14ac:dyDescent="0.35">
      <c r="B50" s="809" t="s">
        <v>3</v>
      </c>
      <c r="C50" s="226" t="s">
        <v>90</v>
      </c>
      <c r="D50" s="210">
        <v>50</v>
      </c>
      <c r="E50" s="210">
        <v>53</v>
      </c>
      <c r="F50" s="210">
        <v>53.8</v>
      </c>
      <c r="G50" s="210">
        <v>54</v>
      </c>
      <c r="H50" s="210">
        <v>55</v>
      </c>
      <c r="I50" s="210">
        <v>48</v>
      </c>
      <c r="J50" s="210">
        <v>58</v>
      </c>
      <c r="K50" s="210">
        <v>59</v>
      </c>
      <c r="L50" s="227">
        <v>69</v>
      </c>
      <c r="M50" s="227">
        <v>60</v>
      </c>
      <c r="N50" s="227">
        <v>59</v>
      </c>
      <c r="O50" s="227">
        <v>64</v>
      </c>
      <c r="P50" s="228">
        <f t="shared" si="23"/>
        <v>682.8</v>
      </c>
      <c r="R50" s="191">
        <f t="shared" si="24"/>
        <v>210.8</v>
      </c>
    </row>
    <row r="51" spans="2:20" x14ac:dyDescent="0.35">
      <c r="B51" s="809"/>
      <c r="C51" s="226" t="s">
        <v>92</v>
      </c>
      <c r="D51" s="210">
        <v>81</v>
      </c>
      <c r="E51" s="210">
        <v>85</v>
      </c>
      <c r="F51" s="210">
        <v>81.2</v>
      </c>
      <c r="G51" s="210">
        <v>78</v>
      </c>
      <c r="H51" s="210">
        <v>65</v>
      </c>
      <c r="I51" s="210">
        <v>90</v>
      </c>
      <c r="J51" s="210">
        <v>135</v>
      </c>
      <c r="K51" s="210">
        <v>120</v>
      </c>
      <c r="L51" s="227">
        <v>87</v>
      </c>
      <c r="M51" s="227">
        <v>99</v>
      </c>
      <c r="N51" s="227">
        <v>93</v>
      </c>
      <c r="O51" s="227">
        <v>77</v>
      </c>
      <c r="P51" s="228">
        <f t="shared" si="23"/>
        <v>1091.2</v>
      </c>
      <c r="R51" s="191">
        <f t="shared" si="24"/>
        <v>325.2</v>
      </c>
    </row>
    <row r="52" spans="2:20" x14ac:dyDescent="0.35">
      <c r="B52" s="809" t="s">
        <v>47</v>
      </c>
      <c r="C52" s="226" t="s">
        <v>90</v>
      </c>
      <c r="D52" s="210">
        <v>32</v>
      </c>
      <c r="E52" s="210">
        <v>25.3</v>
      </c>
      <c r="F52" s="210">
        <v>34.700000000000003</v>
      </c>
      <c r="G52" s="210">
        <v>32.1</v>
      </c>
      <c r="H52" s="210">
        <v>26.6</v>
      </c>
      <c r="I52" s="210">
        <v>8.4</v>
      </c>
      <c r="J52" s="210">
        <v>19.7</v>
      </c>
      <c r="K52" s="210">
        <v>19.7</v>
      </c>
      <c r="L52" s="227">
        <v>33.799999999999997</v>
      </c>
      <c r="M52" s="227">
        <v>38</v>
      </c>
      <c r="N52" s="227">
        <v>34.6</v>
      </c>
      <c r="O52" s="227">
        <v>29.2</v>
      </c>
      <c r="P52" s="228">
        <f t="shared" si="23"/>
        <v>334.09999999999997</v>
      </c>
      <c r="R52" s="191">
        <f t="shared" si="24"/>
        <v>124.1</v>
      </c>
    </row>
    <row r="53" spans="2:20" x14ac:dyDescent="0.35">
      <c r="B53" s="809"/>
      <c r="C53" s="226" t="s">
        <v>92</v>
      </c>
      <c r="D53" s="210">
        <v>76</v>
      </c>
      <c r="E53" s="210">
        <v>60.7</v>
      </c>
      <c r="F53" s="210">
        <v>72.3</v>
      </c>
      <c r="G53" s="210">
        <v>75.900000000000006</v>
      </c>
      <c r="H53" s="210">
        <v>62.4</v>
      </c>
      <c r="I53" s="210">
        <v>35.6</v>
      </c>
      <c r="J53" s="210">
        <v>48.3</v>
      </c>
      <c r="K53" s="210">
        <v>76.3</v>
      </c>
      <c r="L53" s="227">
        <v>86.2</v>
      </c>
      <c r="M53" s="227">
        <v>90</v>
      </c>
      <c r="N53" s="227">
        <v>85.4</v>
      </c>
      <c r="O53" s="227">
        <v>78.8</v>
      </c>
      <c r="P53" s="228">
        <f t="shared" si="23"/>
        <v>847.9</v>
      </c>
      <c r="R53" s="191">
        <f t="shared" si="24"/>
        <v>284.89999999999998</v>
      </c>
    </row>
    <row r="54" spans="2:20" x14ac:dyDescent="0.35">
      <c r="B54" s="809" t="s">
        <v>48</v>
      </c>
      <c r="C54" s="226" t="s">
        <v>90</v>
      </c>
      <c r="D54" s="210">
        <v>0</v>
      </c>
      <c r="E54" s="210">
        <v>0</v>
      </c>
      <c r="F54" s="210">
        <v>0</v>
      </c>
      <c r="G54" s="210">
        <v>0</v>
      </c>
      <c r="H54" s="210">
        <v>0</v>
      </c>
      <c r="I54" s="210"/>
      <c r="J54" s="210"/>
      <c r="K54" s="210"/>
      <c r="L54" s="227"/>
      <c r="M54" s="227"/>
      <c r="N54" s="227"/>
      <c r="O54" s="227"/>
      <c r="P54" s="228">
        <f t="shared" si="23"/>
        <v>0</v>
      </c>
      <c r="R54" s="191">
        <f t="shared" si="24"/>
        <v>0</v>
      </c>
    </row>
    <row r="55" spans="2:20" x14ac:dyDescent="0.35">
      <c r="B55" s="809"/>
      <c r="C55" s="226" t="s">
        <v>92</v>
      </c>
      <c r="D55" s="210">
        <v>2</v>
      </c>
      <c r="E55" s="210">
        <v>2</v>
      </c>
      <c r="F55" s="210">
        <v>0</v>
      </c>
      <c r="G55" s="210">
        <v>0</v>
      </c>
      <c r="H55" s="210">
        <v>2</v>
      </c>
      <c r="I55" s="210">
        <v>8</v>
      </c>
      <c r="J55" s="210">
        <v>1</v>
      </c>
      <c r="K55" s="210">
        <v>1</v>
      </c>
      <c r="L55" s="227">
        <v>1</v>
      </c>
      <c r="M55" s="227">
        <v>1</v>
      </c>
      <c r="N55" s="227">
        <v>5</v>
      </c>
      <c r="O55" s="227">
        <v>2</v>
      </c>
      <c r="P55" s="228">
        <f t="shared" si="23"/>
        <v>25</v>
      </c>
      <c r="R55" s="191">
        <f t="shared" si="24"/>
        <v>4</v>
      </c>
      <c r="T55" s="229"/>
    </row>
    <row r="56" spans="2:20" x14ac:dyDescent="0.35">
      <c r="B56" s="813" t="s">
        <v>106</v>
      </c>
      <c r="C56" s="814"/>
      <c r="D56" s="203">
        <f t="shared" ref="D56:O57" si="25">D46+D48+D50+D52+D54</f>
        <v>163</v>
      </c>
      <c r="E56" s="203">
        <f t="shared" si="25"/>
        <v>167.8</v>
      </c>
      <c r="F56" s="203">
        <f t="shared" si="25"/>
        <v>183.39999999999998</v>
      </c>
      <c r="G56" s="203">
        <f t="shared" si="25"/>
        <v>171.29999999999998</v>
      </c>
      <c r="H56" s="203">
        <f t="shared" si="25"/>
        <v>166.2</v>
      </c>
      <c r="I56" s="203">
        <f t="shared" si="25"/>
        <v>152</v>
      </c>
      <c r="J56" s="203">
        <f t="shared" si="25"/>
        <v>157.69999999999999</v>
      </c>
      <c r="K56" s="203">
        <f t="shared" si="25"/>
        <v>159.1</v>
      </c>
      <c r="L56" s="203">
        <f t="shared" si="25"/>
        <v>199.10000000000002</v>
      </c>
      <c r="M56" s="203">
        <f t="shared" si="25"/>
        <v>179.3</v>
      </c>
      <c r="N56" s="203">
        <f t="shared" si="25"/>
        <v>173.29999999999998</v>
      </c>
      <c r="O56" s="203">
        <f t="shared" si="25"/>
        <v>198.1</v>
      </c>
      <c r="P56" s="228">
        <f t="shared" si="23"/>
        <v>2070.2999999999997</v>
      </c>
      <c r="R56" s="191">
        <f t="shared" si="24"/>
        <v>685.5</v>
      </c>
    </row>
    <row r="57" spans="2:20" x14ac:dyDescent="0.35">
      <c r="B57" s="813" t="s">
        <v>107</v>
      </c>
      <c r="C57" s="814"/>
      <c r="D57" s="203">
        <f t="shared" si="25"/>
        <v>306</v>
      </c>
      <c r="E57" s="203">
        <f t="shared" si="25"/>
        <v>312.2</v>
      </c>
      <c r="F57" s="203">
        <f t="shared" si="25"/>
        <v>330.6</v>
      </c>
      <c r="G57" s="203">
        <f t="shared" si="25"/>
        <v>310.70000000000005</v>
      </c>
      <c r="H57" s="203">
        <f t="shared" si="25"/>
        <v>298.79999999999995</v>
      </c>
      <c r="I57" s="203">
        <f t="shared" si="25"/>
        <v>310</v>
      </c>
      <c r="J57" s="203">
        <f t="shared" si="25"/>
        <v>341.3</v>
      </c>
      <c r="K57" s="203">
        <f t="shared" si="25"/>
        <v>356.90000000000003</v>
      </c>
      <c r="L57" s="203">
        <f t="shared" si="25"/>
        <v>333.9</v>
      </c>
      <c r="M57" s="203">
        <f t="shared" si="25"/>
        <v>332.7</v>
      </c>
      <c r="N57" s="203">
        <f t="shared" si="25"/>
        <v>321.70000000000005</v>
      </c>
      <c r="O57" s="203">
        <f t="shared" si="25"/>
        <v>314.89999999999998</v>
      </c>
      <c r="P57" s="228">
        <f t="shared" si="23"/>
        <v>3869.7000000000003</v>
      </c>
      <c r="R57" s="191">
        <f t="shared" si="24"/>
        <v>1259.5</v>
      </c>
    </row>
    <row r="58" spans="2:20" ht="18.5" x14ac:dyDescent="0.35">
      <c r="B58" s="815" t="s">
        <v>46</v>
      </c>
      <c r="C58" s="816"/>
      <c r="D58" s="203">
        <f>SUM(D56:D57)</f>
        <v>469</v>
      </c>
      <c r="E58" s="203">
        <f t="shared" ref="E58:O58" si="26">SUM(E56:E57)</f>
        <v>480</v>
      </c>
      <c r="F58" s="203">
        <f t="shared" si="26"/>
        <v>514</v>
      </c>
      <c r="G58" s="203">
        <f t="shared" si="26"/>
        <v>482</v>
      </c>
      <c r="H58" s="203">
        <f t="shared" si="26"/>
        <v>464.99999999999994</v>
      </c>
      <c r="I58" s="203">
        <f t="shared" si="26"/>
        <v>462</v>
      </c>
      <c r="J58" s="203">
        <f t="shared" si="26"/>
        <v>499</v>
      </c>
      <c r="K58" s="203">
        <f t="shared" si="26"/>
        <v>516</v>
      </c>
      <c r="L58" s="203">
        <f t="shared" si="26"/>
        <v>533</v>
      </c>
      <c r="M58" s="203">
        <f t="shared" si="26"/>
        <v>512</v>
      </c>
      <c r="N58" s="203">
        <f t="shared" si="26"/>
        <v>495</v>
      </c>
      <c r="O58" s="203">
        <f t="shared" si="26"/>
        <v>513</v>
      </c>
      <c r="P58" s="221">
        <f>D58+E58+F58+G58+H58+I58+J58+K58+L58+M58+N58+O58</f>
        <v>5940</v>
      </c>
      <c r="R58" s="191">
        <f t="shared" si="24"/>
        <v>1945</v>
      </c>
    </row>
    <row r="71" spans="2:16" ht="15" thickBot="1" x14ac:dyDescent="0.4">
      <c r="D71" s="190">
        <v>30</v>
      </c>
      <c r="E71" s="190">
        <v>31</v>
      </c>
      <c r="F71" s="190">
        <v>30</v>
      </c>
      <c r="G71" s="190">
        <v>31</v>
      </c>
      <c r="H71" s="190">
        <v>31</v>
      </c>
      <c r="I71" s="190">
        <v>30</v>
      </c>
      <c r="J71" s="190">
        <v>31</v>
      </c>
      <c r="K71" s="190">
        <v>30</v>
      </c>
      <c r="L71" s="190">
        <v>31</v>
      </c>
      <c r="M71" s="190">
        <v>31</v>
      </c>
      <c r="N71" s="190">
        <v>28</v>
      </c>
      <c r="O71" s="190">
        <v>31</v>
      </c>
      <c r="P71" s="190">
        <f>SUM(D71:O71)</f>
        <v>365</v>
      </c>
    </row>
    <row r="72" spans="2:16" x14ac:dyDescent="0.35">
      <c r="B72" s="896" t="s">
        <v>108</v>
      </c>
      <c r="C72" s="897"/>
      <c r="D72" s="897"/>
      <c r="E72" s="897"/>
      <c r="F72" s="897"/>
      <c r="G72" s="897"/>
      <c r="H72" s="897"/>
      <c r="I72" s="897"/>
      <c r="J72" s="897"/>
      <c r="K72" s="897"/>
      <c r="L72" s="898"/>
      <c r="M72" s="898"/>
      <c r="N72" s="898"/>
      <c r="O72" s="898"/>
      <c r="P72" s="899"/>
    </row>
    <row r="73" spans="2:16" x14ac:dyDescent="0.35">
      <c r="B73" s="192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4"/>
    </row>
    <row r="74" spans="2:16" x14ac:dyDescent="0.35">
      <c r="B74" s="195"/>
      <c r="C74" s="196"/>
      <c r="D74" s="203" t="s">
        <v>109</v>
      </c>
      <c r="E74" s="203" t="s">
        <v>110</v>
      </c>
      <c r="F74" s="203" t="s">
        <v>111</v>
      </c>
      <c r="G74" s="203" t="s">
        <v>112</v>
      </c>
      <c r="H74" s="203" t="s">
        <v>113</v>
      </c>
      <c r="I74" s="203" t="s">
        <v>114</v>
      </c>
      <c r="J74" s="203" t="s">
        <v>115</v>
      </c>
      <c r="K74" s="203" t="s">
        <v>116</v>
      </c>
      <c r="L74" s="203" t="s">
        <v>117</v>
      </c>
      <c r="M74" s="204" t="s">
        <v>118</v>
      </c>
      <c r="N74" s="204" t="s">
        <v>119</v>
      </c>
      <c r="O74" s="204" t="s">
        <v>120</v>
      </c>
      <c r="P74" s="198" t="s">
        <v>81</v>
      </c>
    </row>
    <row r="75" spans="2:16" ht="15" thickBot="1" x14ac:dyDescent="0.4">
      <c r="B75" s="201" t="s">
        <v>88</v>
      </c>
      <c r="C75" s="202"/>
      <c r="D75" s="203"/>
      <c r="E75" s="203"/>
      <c r="F75" s="203"/>
      <c r="G75" s="203"/>
      <c r="H75" s="203"/>
      <c r="I75" s="203"/>
      <c r="J75" s="203"/>
      <c r="K75" s="203"/>
      <c r="L75" s="203"/>
      <c r="M75" s="204"/>
      <c r="N75" s="204"/>
      <c r="O75" s="204"/>
      <c r="P75" s="198"/>
    </row>
    <row r="76" spans="2:16" x14ac:dyDescent="0.35">
      <c r="B76" s="893" t="s">
        <v>42</v>
      </c>
      <c r="C76" s="208" t="s">
        <v>90</v>
      </c>
      <c r="D76" s="209">
        <v>24</v>
      </c>
      <c r="E76" s="209">
        <v>29</v>
      </c>
      <c r="F76" s="209">
        <v>26</v>
      </c>
      <c r="G76" s="209">
        <v>27</v>
      </c>
      <c r="H76" s="209">
        <v>32</v>
      </c>
      <c r="I76" s="209">
        <v>26</v>
      </c>
      <c r="J76" s="209">
        <v>29</v>
      </c>
      <c r="K76" s="209">
        <v>28</v>
      </c>
      <c r="L76" s="209">
        <v>29</v>
      </c>
      <c r="M76" s="209">
        <v>29</v>
      </c>
      <c r="N76" s="209">
        <v>28</v>
      </c>
      <c r="O76" s="209">
        <v>28</v>
      </c>
      <c r="P76" s="210">
        <f>SUM(D76:O76)</f>
        <v>335</v>
      </c>
    </row>
    <row r="77" spans="2:16" x14ac:dyDescent="0.35">
      <c r="B77" s="894"/>
      <c r="C77" s="208" t="s">
        <v>92</v>
      </c>
      <c r="D77" s="209">
        <v>55</v>
      </c>
      <c r="E77" s="209">
        <v>64</v>
      </c>
      <c r="F77" s="209">
        <v>64</v>
      </c>
      <c r="G77" s="209">
        <v>56</v>
      </c>
      <c r="H77" s="209">
        <v>65</v>
      </c>
      <c r="I77" s="209">
        <v>63</v>
      </c>
      <c r="J77" s="209">
        <v>67</v>
      </c>
      <c r="K77" s="209">
        <v>70</v>
      </c>
      <c r="L77" s="209">
        <v>73</v>
      </c>
      <c r="M77" s="209">
        <v>68</v>
      </c>
      <c r="N77" s="209">
        <v>67</v>
      </c>
      <c r="O77" s="209">
        <v>66</v>
      </c>
      <c r="P77" s="210">
        <f>SUM(D77:O77)</f>
        <v>778</v>
      </c>
    </row>
    <row r="78" spans="2:16" ht="15" thickBot="1" x14ac:dyDescent="0.4">
      <c r="B78" s="894"/>
      <c r="C78" s="212" t="s">
        <v>94</v>
      </c>
      <c r="D78" s="213">
        <f>SUM(D76:D77)</f>
        <v>79</v>
      </c>
      <c r="E78" s="213">
        <f t="shared" ref="E78:O78" si="27">SUM(E76:E77)</f>
        <v>93</v>
      </c>
      <c r="F78" s="213">
        <f t="shared" si="27"/>
        <v>90</v>
      </c>
      <c r="G78" s="213">
        <f t="shared" si="27"/>
        <v>83</v>
      </c>
      <c r="H78" s="213">
        <f t="shared" si="27"/>
        <v>97</v>
      </c>
      <c r="I78" s="213">
        <f t="shared" si="27"/>
        <v>89</v>
      </c>
      <c r="J78" s="213">
        <f t="shared" si="27"/>
        <v>96</v>
      </c>
      <c r="K78" s="213">
        <f t="shared" si="27"/>
        <v>98</v>
      </c>
      <c r="L78" s="213">
        <f t="shared" si="27"/>
        <v>102</v>
      </c>
      <c r="M78" s="213">
        <f t="shared" si="27"/>
        <v>97</v>
      </c>
      <c r="N78" s="213">
        <f t="shared" si="27"/>
        <v>95</v>
      </c>
      <c r="O78" s="213">
        <f t="shared" si="27"/>
        <v>94</v>
      </c>
      <c r="P78" s="210">
        <f>SUM(D78:O78)</f>
        <v>1113</v>
      </c>
    </row>
    <row r="79" spans="2:16" ht="16" thickBot="1" x14ac:dyDescent="0.4">
      <c r="B79" s="895"/>
      <c r="C79" s="214" t="s">
        <v>96</v>
      </c>
      <c r="D79" s="215">
        <f>D78/D$71</f>
        <v>2.6333333333333333</v>
      </c>
      <c r="E79" s="215">
        <f t="shared" ref="E79:P79" si="28">E78/E$71</f>
        <v>3</v>
      </c>
      <c r="F79" s="215">
        <f t="shared" si="28"/>
        <v>3</v>
      </c>
      <c r="G79" s="215">
        <f t="shared" si="28"/>
        <v>2.6774193548387095</v>
      </c>
      <c r="H79" s="215">
        <f t="shared" si="28"/>
        <v>3.129032258064516</v>
      </c>
      <c r="I79" s="215">
        <f t="shared" si="28"/>
        <v>2.9666666666666668</v>
      </c>
      <c r="J79" s="215">
        <f t="shared" si="28"/>
        <v>3.096774193548387</v>
      </c>
      <c r="K79" s="215">
        <f t="shared" si="28"/>
        <v>3.2666666666666666</v>
      </c>
      <c r="L79" s="215">
        <f t="shared" si="28"/>
        <v>3.2903225806451615</v>
      </c>
      <c r="M79" s="215">
        <f t="shared" si="28"/>
        <v>3.129032258064516</v>
      </c>
      <c r="N79" s="215">
        <f t="shared" si="28"/>
        <v>3.3928571428571428</v>
      </c>
      <c r="O79" s="215">
        <f t="shared" si="28"/>
        <v>3.032258064516129</v>
      </c>
      <c r="P79" s="215">
        <f t="shared" si="28"/>
        <v>3.0493150684931507</v>
      </c>
    </row>
    <row r="80" spans="2:16" x14ac:dyDescent="0.35">
      <c r="B80" s="893" t="s">
        <v>26</v>
      </c>
      <c r="C80" s="208" t="s">
        <v>90</v>
      </c>
      <c r="D80" s="209">
        <v>26</v>
      </c>
      <c r="E80" s="209">
        <v>21</v>
      </c>
      <c r="F80" s="209">
        <v>19</v>
      </c>
      <c r="G80" s="209">
        <v>26</v>
      </c>
      <c r="H80" s="209">
        <v>33</v>
      </c>
      <c r="I80" s="209">
        <v>25</v>
      </c>
      <c r="J80" s="209">
        <v>22</v>
      </c>
      <c r="K80" s="209">
        <v>26</v>
      </c>
      <c r="L80" s="209">
        <v>21</v>
      </c>
      <c r="M80" s="209">
        <v>36</v>
      </c>
      <c r="N80" s="209">
        <v>32</v>
      </c>
      <c r="O80" s="209">
        <v>29</v>
      </c>
      <c r="P80" s="210">
        <f>SUM(D80:O80)</f>
        <v>316</v>
      </c>
    </row>
    <row r="81" spans="2:16" x14ac:dyDescent="0.35">
      <c r="B81" s="894"/>
      <c r="C81" s="208" t="s">
        <v>92</v>
      </c>
      <c r="D81" s="209">
        <v>48</v>
      </c>
      <c r="E81" s="209">
        <v>31</v>
      </c>
      <c r="F81" s="209">
        <v>54</v>
      </c>
      <c r="G81" s="209">
        <v>54</v>
      </c>
      <c r="H81" s="209">
        <v>56</v>
      </c>
      <c r="I81" s="209">
        <v>63</v>
      </c>
      <c r="J81" s="209">
        <v>62</v>
      </c>
      <c r="K81" s="209">
        <v>62</v>
      </c>
      <c r="L81" s="209">
        <v>77</v>
      </c>
      <c r="M81" s="209">
        <v>62</v>
      </c>
      <c r="N81" s="209">
        <v>52</v>
      </c>
      <c r="O81" s="209">
        <v>60</v>
      </c>
      <c r="P81" s="210">
        <f>SUM(D81:O81)</f>
        <v>681</v>
      </c>
    </row>
    <row r="82" spans="2:16" ht="15" thickBot="1" x14ac:dyDescent="0.4">
      <c r="B82" s="894"/>
      <c r="C82" s="212" t="s">
        <v>94</v>
      </c>
      <c r="D82" s="213">
        <f>SUM(D80:D81)</f>
        <v>74</v>
      </c>
      <c r="E82" s="213">
        <f t="shared" ref="E82:O82" si="29">SUM(E80:E81)</f>
        <v>52</v>
      </c>
      <c r="F82" s="213">
        <f t="shared" si="29"/>
        <v>73</v>
      </c>
      <c r="G82" s="213">
        <f t="shared" si="29"/>
        <v>80</v>
      </c>
      <c r="H82" s="213">
        <f t="shared" si="29"/>
        <v>89</v>
      </c>
      <c r="I82" s="213">
        <f t="shared" si="29"/>
        <v>88</v>
      </c>
      <c r="J82" s="213">
        <f t="shared" si="29"/>
        <v>84</v>
      </c>
      <c r="K82" s="213">
        <f t="shared" si="29"/>
        <v>88</v>
      </c>
      <c r="L82" s="213">
        <f t="shared" si="29"/>
        <v>98</v>
      </c>
      <c r="M82" s="213">
        <f t="shared" si="29"/>
        <v>98</v>
      </c>
      <c r="N82" s="213">
        <f t="shared" si="29"/>
        <v>84</v>
      </c>
      <c r="O82" s="213">
        <f t="shared" si="29"/>
        <v>89</v>
      </c>
      <c r="P82" s="210">
        <f>SUM(D82:O82)</f>
        <v>997</v>
      </c>
    </row>
    <row r="83" spans="2:16" ht="16" thickBot="1" x14ac:dyDescent="0.4">
      <c r="B83" s="895"/>
      <c r="C83" s="214" t="s">
        <v>96</v>
      </c>
      <c r="D83" s="215">
        <f>D82/D$71</f>
        <v>2.4666666666666668</v>
      </c>
      <c r="E83" s="215">
        <f t="shared" ref="E83:P83" si="30">E82/E$71</f>
        <v>1.6774193548387097</v>
      </c>
      <c r="F83" s="215">
        <f t="shared" si="30"/>
        <v>2.4333333333333331</v>
      </c>
      <c r="G83" s="215">
        <f t="shared" si="30"/>
        <v>2.5806451612903225</v>
      </c>
      <c r="H83" s="215">
        <f t="shared" si="30"/>
        <v>2.870967741935484</v>
      </c>
      <c r="I83" s="215">
        <f t="shared" si="30"/>
        <v>2.9333333333333331</v>
      </c>
      <c r="J83" s="215">
        <f t="shared" si="30"/>
        <v>2.7096774193548385</v>
      </c>
      <c r="K83" s="215">
        <f t="shared" si="30"/>
        <v>2.9333333333333331</v>
      </c>
      <c r="L83" s="215">
        <f t="shared" si="30"/>
        <v>3.161290322580645</v>
      </c>
      <c r="M83" s="215">
        <f t="shared" si="30"/>
        <v>3.161290322580645</v>
      </c>
      <c r="N83" s="215">
        <f t="shared" si="30"/>
        <v>3</v>
      </c>
      <c r="O83" s="215">
        <f t="shared" si="30"/>
        <v>2.870967741935484</v>
      </c>
      <c r="P83" s="215">
        <f t="shared" si="30"/>
        <v>2.7315068493150685</v>
      </c>
    </row>
    <row r="84" spans="2:16" x14ac:dyDescent="0.35">
      <c r="B84" s="893" t="s">
        <v>27</v>
      </c>
      <c r="C84" s="208" t="s">
        <v>90</v>
      </c>
      <c r="D84" s="209">
        <v>41</v>
      </c>
      <c r="E84" s="209">
        <v>44</v>
      </c>
      <c r="F84" s="209">
        <v>45</v>
      </c>
      <c r="G84" s="209">
        <v>37</v>
      </c>
      <c r="H84" s="209">
        <v>54</v>
      </c>
      <c r="I84" s="209">
        <v>55</v>
      </c>
      <c r="J84" s="209">
        <v>41</v>
      </c>
      <c r="K84" s="209">
        <v>44</v>
      </c>
      <c r="L84" s="209">
        <v>48</v>
      </c>
      <c r="M84" s="209">
        <v>38.6</v>
      </c>
      <c r="N84" s="209">
        <v>47.8</v>
      </c>
      <c r="O84" s="209">
        <v>50.2</v>
      </c>
      <c r="P84" s="210">
        <f>SUM(D84:O84)</f>
        <v>545.6</v>
      </c>
    </row>
    <row r="85" spans="2:16" x14ac:dyDescent="0.35">
      <c r="B85" s="894"/>
      <c r="C85" s="208" t="s">
        <v>92</v>
      </c>
      <c r="D85" s="209">
        <v>78</v>
      </c>
      <c r="E85" s="209">
        <v>70</v>
      </c>
      <c r="F85" s="209">
        <v>81</v>
      </c>
      <c r="G85" s="209">
        <v>61</v>
      </c>
      <c r="H85" s="209">
        <v>88</v>
      </c>
      <c r="I85" s="209">
        <v>81</v>
      </c>
      <c r="J85" s="209">
        <v>67</v>
      </c>
      <c r="K85" s="209">
        <v>76</v>
      </c>
      <c r="L85" s="209">
        <v>99</v>
      </c>
      <c r="M85" s="209">
        <v>109.4</v>
      </c>
      <c r="N85" s="209">
        <v>98.2</v>
      </c>
      <c r="O85" s="209">
        <v>96.8</v>
      </c>
      <c r="P85" s="210">
        <f>SUM(D85:O85)</f>
        <v>1005.4</v>
      </c>
    </row>
    <row r="86" spans="2:16" ht="15" thickBot="1" x14ac:dyDescent="0.4">
      <c r="B86" s="894"/>
      <c r="C86" s="212" t="s">
        <v>94</v>
      </c>
      <c r="D86" s="213">
        <f>SUM(D84:D85)</f>
        <v>119</v>
      </c>
      <c r="E86" s="213">
        <f t="shared" ref="E86:O86" si="31">SUM(E84:E85)</f>
        <v>114</v>
      </c>
      <c r="F86" s="213">
        <f t="shared" si="31"/>
        <v>126</v>
      </c>
      <c r="G86" s="213">
        <f t="shared" si="31"/>
        <v>98</v>
      </c>
      <c r="H86" s="213">
        <f t="shared" si="31"/>
        <v>142</v>
      </c>
      <c r="I86" s="213">
        <f t="shared" si="31"/>
        <v>136</v>
      </c>
      <c r="J86" s="213">
        <f t="shared" si="31"/>
        <v>108</v>
      </c>
      <c r="K86" s="213">
        <f t="shared" si="31"/>
        <v>120</v>
      </c>
      <c r="L86" s="213">
        <f t="shared" si="31"/>
        <v>147</v>
      </c>
      <c r="M86" s="213">
        <f t="shared" si="31"/>
        <v>148</v>
      </c>
      <c r="N86" s="213">
        <f t="shared" si="31"/>
        <v>146</v>
      </c>
      <c r="O86" s="213">
        <f t="shared" si="31"/>
        <v>147</v>
      </c>
      <c r="P86" s="210">
        <f>SUM(D86:O86)</f>
        <v>1551</v>
      </c>
    </row>
    <row r="87" spans="2:16" ht="16" thickBot="1" x14ac:dyDescent="0.4">
      <c r="B87" s="895"/>
      <c r="C87" s="214" t="s">
        <v>96</v>
      </c>
      <c r="D87" s="215">
        <f>D86/D$71</f>
        <v>3.9666666666666668</v>
      </c>
      <c r="E87" s="215">
        <f t="shared" ref="E87:P87" si="32">E86/E$71</f>
        <v>3.6774193548387095</v>
      </c>
      <c r="F87" s="215">
        <f t="shared" si="32"/>
        <v>4.2</v>
      </c>
      <c r="G87" s="215">
        <f t="shared" si="32"/>
        <v>3.161290322580645</v>
      </c>
      <c r="H87" s="215">
        <f t="shared" si="32"/>
        <v>4.580645161290323</v>
      </c>
      <c r="I87" s="215">
        <f t="shared" si="32"/>
        <v>4.5333333333333332</v>
      </c>
      <c r="J87" s="215">
        <f t="shared" si="32"/>
        <v>3.4838709677419355</v>
      </c>
      <c r="K87" s="215">
        <f t="shared" si="32"/>
        <v>4</v>
      </c>
      <c r="L87" s="215">
        <f t="shared" si="32"/>
        <v>4.741935483870968</v>
      </c>
      <c r="M87" s="215">
        <f t="shared" si="32"/>
        <v>4.774193548387097</v>
      </c>
      <c r="N87" s="215">
        <f t="shared" si="32"/>
        <v>5.2142857142857144</v>
      </c>
      <c r="O87" s="215">
        <f t="shared" si="32"/>
        <v>4.741935483870968</v>
      </c>
      <c r="P87" s="215">
        <f t="shared" si="32"/>
        <v>4.2493150684931509</v>
      </c>
    </row>
    <row r="88" spans="2:16" x14ac:dyDescent="0.35">
      <c r="B88" s="893" t="s">
        <v>29</v>
      </c>
      <c r="C88" s="208" t="s">
        <v>90</v>
      </c>
      <c r="D88" s="209">
        <v>0</v>
      </c>
      <c r="E88" s="209">
        <v>0</v>
      </c>
      <c r="F88" s="209">
        <v>0</v>
      </c>
      <c r="G88" s="209">
        <v>0</v>
      </c>
      <c r="H88" s="209">
        <v>0</v>
      </c>
      <c r="I88" s="209">
        <v>0</v>
      </c>
      <c r="J88" s="209">
        <v>0</v>
      </c>
      <c r="K88" s="209">
        <v>0</v>
      </c>
      <c r="L88" s="209">
        <v>0</v>
      </c>
      <c r="M88" s="209"/>
      <c r="N88" s="209"/>
      <c r="O88" s="209"/>
      <c r="P88" s="210">
        <f>SUM(D88:O88)</f>
        <v>0</v>
      </c>
    </row>
    <row r="89" spans="2:16" x14ac:dyDescent="0.35">
      <c r="B89" s="894"/>
      <c r="C89" s="208" t="s">
        <v>92</v>
      </c>
      <c r="D89" s="209">
        <v>0</v>
      </c>
      <c r="E89" s="209">
        <v>0</v>
      </c>
      <c r="F89" s="209">
        <v>0</v>
      </c>
      <c r="G89" s="209">
        <v>0</v>
      </c>
      <c r="H89" s="209">
        <v>0</v>
      </c>
      <c r="I89" s="209">
        <v>0</v>
      </c>
      <c r="J89" s="209">
        <v>0</v>
      </c>
      <c r="K89" s="209">
        <v>0</v>
      </c>
      <c r="L89" s="209">
        <v>0</v>
      </c>
      <c r="M89" s="209"/>
      <c r="N89" s="209"/>
      <c r="O89" s="209"/>
      <c r="P89" s="210">
        <f>SUM(D89:O89)</f>
        <v>0</v>
      </c>
    </row>
    <row r="90" spans="2:16" ht="15" thickBot="1" x14ac:dyDescent="0.4">
      <c r="B90" s="894"/>
      <c r="C90" s="212" t="s">
        <v>94</v>
      </c>
      <c r="D90" s="213">
        <f>SUM(D88:D89)</f>
        <v>0</v>
      </c>
      <c r="E90" s="213">
        <f t="shared" ref="E90:M90" si="33">SUM(E88:E89)</f>
        <v>0</v>
      </c>
      <c r="F90" s="213">
        <f t="shared" si="33"/>
        <v>0</v>
      </c>
      <c r="G90" s="213">
        <f t="shared" si="33"/>
        <v>0</v>
      </c>
      <c r="H90" s="213">
        <f t="shared" si="33"/>
        <v>0</v>
      </c>
      <c r="I90" s="213">
        <f t="shared" si="33"/>
        <v>0</v>
      </c>
      <c r="J90" s="213">
        <f t="shared" si="33"/>
        <v>0</v>
      </c>
      <c r="K90" s="213">
        <f t="shared" si="33"/>
        <v>0</v>
      </c>
      <c r="L90" s="213">
        <f t="shared" si="33"/>
        <v>0</v>
      </c>
      <c r="M90" s="213">
        <f t="shared" si="33"/>
        <v>0</v>
      </c>
      <c r="N90" s="213"/>
      <c r="O90" s="213"/>
      <c r="P90" s="210">
        <f>SUM(D90:O90)</f>
        <v>0</v>
      </c>
    </row>
    <row r="91" spans="2:16" ht="16" thickBot="1" x14ac:dyDescent="0.4">
      <c r="B91" s="895"/>
      <c r="C91" s="214" t="s">
        <v>96</v>
      </c>
      <c r="D91" s="215">
        <f>D90/D$71</f>
        <v>0</v>
      </c>
      <c r="E91" s="215">
        <f t="shared" ref="E91:P91" si="34">E90/E$71</f>
        <v>0</v>
      </c>
      <c r="F91" s="215">
        <f t="shared" si="34"/>
        <v>0</v>
      </c>
      <c r="G91" s="215">
        <f t="shared" si="34"/>
        <v>0</v>
      </c>
      <c r="H91" s="215">
        <f t="shared" si="34"/>
        <v>0</v>
      </c>
      <c r="I91" s="215">
        <f t="shared" si="34"/>
        <v>0</v>
      </c>
      <c r="J91" s="215">
        <f t="shared" si="34"/>
        <v>0</v>
      </c>
      <c r="K91" s="215">
        <f t="shared" si="34"/>
        <v>0</v>
      </c>
      <c r="L91" s="215">
        <f t="shared" si="34"/>
        <v>0</v>
      </c>
      <c r="M91" s="215">
        <f t="shared" si="34"/>
        <v>0</v>
      </c>
      <c r="N91" s="215">
        <f t="shared" si="34"/>
        <v>0</v>
      </c>
      <c r="O91" s="215">
        <f t="shared" si="34"/>
        <v>0</v>
      </c>
      <c r="P91" s="215">
        <f t="shared" si="34"/>
        <v>0</v>
      </c>
    </row>
    <row r="92" spans="2:16" x14ac:dyDescent="0.35">
      <c r="B92" s="893" t="s">
        <v>30</v>
      </c>
      <c r="C92" s="208" t="s">
        <v>90</v>
      </c>
      <c r="D92" s="209">
        <v>6</v>
      </c>
      <c r="E92" s="209">
        <v>14</v>
      </c>
      <c r="F92" s="209">
        <v>10</v>
      </c>
      <c r="G92" s="209">
        <v>8</v>
      </c>
      <c r="H92" s="209">
        <v>10</v>
      </c>
      <c r="I92" s="209">
        <v>12</v>
      </c>
      <c r="J92" s="209">
        <v>10</v>
      </c>
      <c r="K92" s="209">
        <v>11</v>
      </c>
      <c r="L92" s="209">
        <v>9</v>
      </c>
      <c r="M92" s="209">
        <v>10</v>
      </c>
      <c r="N92" s="209">
        <v>13</v>
      </c>
      <c r="O92" s="209">
        <v>15</v>
      </c>
      <c r="P92" s="210">
        <f>SUM(D92:O92)</f>
        <v>128</v>
      </c>
    </row>
    <row r="93" spans="2:16" x14ac:dyDescent="0.35">
      <c r="B93" s="894"/>
      <c r="C93" s="208" t="s">
        <v>92</v>
      </c>
      <c r="D93" s="209">
        <v>0</v>
      </c>
      <c r="E93" s="209">
        <v>0</v>
      </c>
      <c r="F93" s="209">
        <v>0</v>
      </c>
      <c r="G93" s="209">
        <v>0</v>
      </c>
      <c r="H93" s="209">
        <v>0</v>
      </c>
      <c r="I93" s="209">
        <v>0</v>
      </c>
      <c r="J93" s="209">
        <v>0</v>
      </c>
      <c r="K93" s="209">
        <v>0</v>
      </c>
      <c r="L93" s="209">
        <v>0</v>
      </c>
      <c r="M93" s="209"/>
      <c r="N93" s="209">
        <v>0</v>
      </c>
      <c r="O93" s="209">
        <v>3</v>
      </c>
      <c r="P93" s="210">
        <f>SUM(D93:O93)</f>
        <v>3</v>
      </c>
    </row>
    <row r="94" spans="2:16" ht="15" thickBot="1" x14ac:dyDescent="0.4">
      <c r="B94" s="894"/>
      <c r="C94" s="212" t="s">
        <v>94</v>
      </c>
      <c r="D94" s="213">
        <f>SUM(D92:D93)</f>
        <v>6</v>
      </c>
      <c r="E94" s="213">
        <f t="shared" ref="E94:O94" si="35">SUM(E92:E93)</f>
        <v>14</v>
      </c>
      <c r="F94" s="213">
        <f t="shared" si="35"/>
        <v>10</v>
      </c>
      <c r="G94" s="213">
        <f t="shared" si="35"/>
        <v>8</v>
      </c>
      <c r="H94" s="213">
        <f t="shared" si="35"/>
        <v>10</v>
      </c>
      <c r="I94" s="213">
        <f t="shared" si="35"/>
        <v>12</v>
      </c>
      <c r="J94" s="213">
        <f t="shared" si="35"/>
        <v>10</v>
      </c>
      <c r="K94" s="213">
        <f t="shared" si="35"/>
        <v>11</v>
      </c>
      <c r="L94" s="213">
        <f t="shared" si="35"/>
        <v>9</v>
      </c>
      <c r="M94" s="213">
        <f t="shared" si="35"/>
        <v>10</v>
      </c>
      <c r="N94" s="213">
        <f t="shared" si="35"/>
        <v>13</v>
      </c>
      <c r="O94" s="213">
        <f t="shared" si="35"/>
        <v>18</v>
      </c>
      <c r="P94" s="210">
        <f>SUM(D94:O94)</f>
        <v>131</v>
      </c>
    </row>
    <row r="95" spans="2:16" ht="16" thickBot="1" x14ac:dyDescent="0.4">
      <c r="B95" s="895"/>
      <c r="C95" s="214" t="s">
        <v>96</v>
      </c>
      <c r="D95" s="215">
        <f>D94/D$71</f>
        <v>0.2</v>
      </c>
      <c r="E95" s="215">
        <f t="shared" ref="E95:P95" si="36">E94/E$71</f>
        <v>0.45161290322580644</v>
      </c>
      <c r="F95" s="215">
        <f t="shared" si="36"/>
        <v>0.33333333333333331</v>
      </c>
      <c r="G95" s="215">
        <f t="shared" si="36"/>
        <v>0.25806451612903225</v>
      </c>
      <c r="H95" s="215">
        <f t="shared" si="36"/>
        <v>0.32258064516129031</v>
      </c>
      <c r="I95" s="215">
        <f t="shared" si="36"/>
        <v>0.4</v>
      </c>
      <c r="J95" s="215">
        <f t="shared" si="36"/>
        <v>0.32258064516129031</v>
      </c>
      <c r="K95" s="215">
        <f t="shared" si="36"/>
        <v>0.36666666666666664</v>
      </c>
      <c r="L95" s="215">
        <f t="shared" si="36"/>
        <v>0.29032258064516131</v>
      </c>
      <c r="M95" s="215">
        <f t="shared" si="36"/>
        <v>0.32258064516129031</v>
      </c>
      <c r="N95" s="215">
        <f t="shared" si="36"/>
        <v>0.4642857142857143</v>
      </c>
      <c r="O95" s="215">
        <f t="shared" si="36"/>
        <v>0.58064516129032262</v>
      </c>
      <c r="P95" s="215">
        <f t="shared" si="36"/>
        <v>0.35890410958904112</v>
      </c>
    </row>
    <row r="96" spans="2:16" x14ac:dyDescent="0.35">
      <c r="B96" s="893" t="s">
        <v>31</v>
      </c>
      <c r="C96" s="208" t="s">
        <v>90</v>
      </c>
      <c r="D96" s="209">
        <v>13</v>
      </c>
      <c r="E96" s="209">
        <v>17</v>
      </c>
      <c r="F96" s="209">
        <v>12</v>
      </c>
      <c r="G96" s="209">
        <v>14</v>
      </c>
      <c r="H96" s="209">
        <v>15</v>
      </c>
      <c r="I96" s="209">
        <v>15</v>
      </c>
      <c r="J96" s="209">
        <v>9</v>
      </c>
      <c r="K96" s="209">
        <v>20</v>
      </c>
      <c r="L96" s="209">
        <v>26</v>
      </c>
      <c r="M96" s="209">
        <v>15</v>
      </c>
      <c r="N96" s="209">
        <v>18</v>
      </c>
      <c r="O96" s="209">
        <v>22</v>
      </c>
      <c r="P96" s="210">
        <f>SUM(D96:O96)</f>
        <v>196</v>
      </c>
    </row>
    <row r="97" spans="2:16" x14ac:dyDescent="0.35">
      <c r="B97" s="894"/>
      <c r="C97" s="208" t="s">
        <v>92</v>
      </c>
      <c r="D97" s="209">
        <v>14</v>
      </c>
      <c r="E97" s="209">
        <v>14</v>
      </c>
      <c r="F97" s="209">
        <v>10</v>
      </c>
      <c r="G97" s="209">
        <v>9</v>
      </c>
      <c r="H97" s="209">
        <v>12</v>
      </c>
      <c r="I97" s="209">
        <v>20</v>
      </c>
      <c r="J97" s="209">
        <v>28</v>
      </c>
      <c r="K97" s="209">
        <v>24</v>
      </c>
      <c r="L97" s="209">
        <v>25</v>
      </c>
      <c r="M97" s="209">
        <v>12</v>
      </c>
      <c r="N97" s="209">
        <v>10</v>
      </c>
      <c r="O97" s="209">
        <v>24</v>
      </c>
      <c r="P97" s="210">
        <f>SUM(D97:O97)</f>
        <v>202</v>
      </c>
    </row>
    <row r="98" spans="2:16" ht="15" thickBot="1" x14ac:dyDescent="0.4">
      <c r="B98" s="894"/>
      <c r="C98" s="212" t="s">
        <v>94</v>
      </c>
      <c r="D98" s="213">
        <f>SUM(D96:D97)</f>
        <v>27</v>
      </c>
      <c r="E98" s="213">
        <f t="shared" ref="E98:O98" si="37">SUM(E96:E97)</f>
        <v>31</v>
      </c>
      <c r="F98" s="213">
        <f t="shared" si="37"/>
        <v>22</v>
      </c>
      <c r="G98" s="213">
        <f t="shared" si="37"/>
        <v>23</v>
      </c>
      <c r="H98" s="213">
        <f t="shared" si="37"/>
        <v>27</v>
      </c>
      <c r="I98" s="213">
        <f t="shared" si="37"/>
        <v>35</v>
      </c>
      <c r="J98" s="213">
        <f t="shared" si="37"/>
        <v>37</v>
      </c>
      <c r="K98" s="213">
        <f t="shared" si="37"/>
        <v>44</v>
      </c>
      <c r="L98" s="213">
        <f t="shared" si="37"/>
        <v>51</v>
      </c>
      <c r="M98" s="213">
        <f t="shared" si="37"/>
        <v>27</v>
      </c>
      <c r="N98" s="213">
        <f t="shared" si="37"/>
        <v>28</v>
      </c>
      <c r="O98" s="213">
        <f t="shared" si="37"/>
        <v>46</v>
      </c>
      <c r="P98" s="210">
        <f>SUM(D98:O98)</f>
        <v>398</v>
      </c>
    </row>
    <row r="99" spans="2:16" ht="16" thickBot="1" x14ac:dyDescent="0.4">
      <c r="B99" s="895"/>
      <c r="C99" s="214" t="s">
        <v>96</v>
      </c>
      <c r="D99" s="215">
        <f>D98/D$71</f>
        <v>0.9</v>
      </c>
      <c r="E99" s="215">
        <f t="shared" ref="E99:P99" si="38">E98/E$71</f>
        <v>1</v>
      </c>
      <c r="F99" s="215">
        <f t="shared" si="38"/>
        <v>0.73333333333333328</v>
      </c>
      <c r="G99" s="215">
        <f t="shared" si="38"/>
        <v>0.74193548387096775</v>
      </c>
      <c r="H99" s="215">
        <f t="shared" si="38"/>
        <v>0.87096774193548387</v>
      </c>
      <c r="I99" s="215">
        <f t="shared" si="38"/>
        <v>1.1666666666666667</v>
      </c>
      <c r="J99" s="215">
        <f t="shared" si="38"/>
        <v>1.1935483870967742</v>
      </c>
      <c r="K99" s="215">
        <f t="shared" si="38"/>
        <v>1.4666666666666666</v>
      </c>
      <c r="L99" s="215">
        <f t="shared" si="38"/>
        <v>1.6451612903225807</v>
      </c>
      <c r="M99" s="215">
        <f t="shared" si="38"/>
        <v>0.87096774193548387</v>
      </c>
      <c r="N99" s="215">
        <f t="shared" si="38"/>
        <v>1</v>
      </c>
      <c r="O99" s="215">
        <f t="shared" si="38"/>
        <v>1.4838709677419355</v>
      </c>
      <c r="P99" s="215">
        <f t="shared" si="38"/>
        <v>1.0904109589041096</v>
      </c>
    </row>
    <row r="100" spans="2:16" x14ac:dyDescent="0.35">
      <c r="B100" s="893" t="s">
        <v>28</v>
      </c>
      <c r="C100" s="208" t="s">
        <v>90</v>
      </c>
      <c r="D100" s="209">
        <v>26</v>
      </c>
      <c r="E100" s="209">
        <v>25</v>
      </c>
      <c r="F100" s="209">
        <v>21</v>
      </c>
      <c r="G100" s="209">
        <v>15</v>
      </c>
      <c r="H100" s="209">
        <v>14</v>
      </c>
      <c r="I100" s="209">
        <v>16</v>
      </c>
      <c r="J100" s="209">
        <v>15</v>
      </c>
      <c r="K100" s="209">
        <v>15</v>
      </c>
      <c r="L100" s="209">
        <v>15</v>
      </c>
      <c r="M100" s="209">
        <v>17.7</v>
      </c>
      <c r="N100" s="209">
        <v>20.6</v>
      </c>
      <c r="O100" s="209">
        <v>27.1</v>
      </c>
      <c r="P100" s="210">
        <f>SUM(D100:O100)</f>
        <v>227.39999999999998</v>
      </c>
    </row>
    <row r="101" spans="2:16" x14ac:dyDescent="0.35">
      <c r="B101" s="894"/>
      <c r="C101" s="208" t="s">
        <v>92</v>
      </c>
      <c r="D101" s="209">
        <v>61</v>
      </c>
      <c r="E101" s="209">
        <v>57</v>
      </c>
      <c r="F101" s="209">
        <v>60</v>
      </c>
      <c r="G101" s="209">
        <v>62</v>
      </c>
      <c r="H101" s="209">
        <v>60</v>
      </c>
      <c r="I101" s="209">
        <v>57</v>
      </c>
      <c r="J101" s="209">
        <v>80</v>
      </c>
      <c r="K101" s="209">
        <v>77</v>
      </c>
      <c r="L101" s="209">
        <v>73</v>
      </c>
      <c r="M101" s="209">
        <v>75.3</v>
      </c>
      <c r="N101" s="209">
        <v>66.400000000000006</v>
      </c>
      <c r="O101" s="209">
        <v>67.900000000000006</v>
      </c>
      <c r="P101" s="210">
        <f>SUM(D101:O101)</f>
        <v>796.59999999999991</v>
      </c>
    </row>
    <row r="102" spans="2:16" ht="15" thickBot="1" x14ac:dyDescent="0.4">
      <c r="B102" s="894"/>
      <c r="C102" s="212" t="s">
        <v>94</v>
      </c>
      <c r="D102" s="213">
        <f>SUM(D100:D101)</f>
        <v>87</v>
      </c>
      <c r="E102" s="213">
        <f t="shared" ref="E102:O102" si="39">SUM(E100:E101)</f>
        <v>82</v>
      </c>
      <c r="F102" s="213">
        <f t="shared" si="39"/>
        <v>81</v>
      </c>
      <c r="G102" s="213">
        <f t="shared" si="39"/>
        <v>77</v>
      </c>
      <c r="H102" s="213">
        <f t="shared" si="39"/>
        <v>74</v>
      </c>
      <c r="I102" s="213">
        <f t="shared" si="39"/>
        <v>73</v>
      </c>
      <c r="J102" s="213">
        <f t="shared" si="39"/>
        <v>95</v>
      </c>
      <c r="K102" s="213">
        <f t="shared" si="39"/>
        <v>92</v>
      </c>
      <c r="L102" s="213">
        <f t="shared" si="39"/>
        <v>88</v>
      </c>
      <c r="M102" s="213">
        <f t="shared" si="39"/>
        <v>93</v>
      </c>
      <c r="N102" s="213">
        <f t="shared" si="39"/>
        <v>87</v>
      </c>
      <c r="O102" s="213">
        <f t="shared" si="39"/>
        <v>95</v>
      </c>
      <c r="P102" s="210">
        <f>SUM(D102:O102)</f>
        <v>1024</v>
      </c>
    </row>
    <row r="103" spans="2:16" ht="16" thickBot="1" x14ac:dyDescent="0.4">
      <c r="B103" s="895"/>
      <c r="C103" s="214" t="s">
        <v>96</v>
      </c>
      <c r="D103" s="215">
        <f>D102/D$71</f>
        <v>2.9</v>
      </c>
      <c r="E103" s="215">
        <f t="shared" ref="E103:P103" si="40">E102/E$71</f>
        <v>2.6451612903225805</v>
      </c>
      <c r="F103" s="215">
        <f t="shared" si="40"/>
        <v>2.7</v>
      </c>
      <c r="G103" s="215">
        <f t="shared" si="40"/>
        <v>2.4838709677419355</v>
      </c>
      <c r="H103" s="215">
        <f t="shared" si="40"/>
        <v>2.3870967741935485</v>
      </c>
      <c r="I103" s="215">
        <f t="shared" si="40"/>
        <v>2.4333333333333331</v>
      </c>
      <c r="J103" s="215">
        <f t="shared" si="40"/>
        <v>3.064516129032258</v>
      </c>
      <c r="K103" s="215">
        <f t="shared" si="40"/>
        <v>3.0666666666666669</v>
      </c>
      <c r="L103" s="215">
        <f t="shared" si="40"/>
        <v>2.838709677419355</v>
      </c>
      <c r="M103" s="215">
        <f t="shared" si="40"/>
        <v>3</v>
      </c>
      <c r="N103" s="215">
        <f t="shared" si="40"/>
        <v>3.1071428571428572</v>
      </c>
      <c r="O103" s="215">
        <f t="shared" si="40"/>
        <v>3.064516129032258</v>
      </c>
      <c r="P103" s="215">
        <f t="shared" si="40"/>
        <v>2.8054794520547945</v>
      </c>
    </row>
    <row r="104" spans="2:16" x14ac:dyDescent="0.35">
      <c r="B104" s="893" t="s">
        <v>32</v>
      </c>
      <c r="C104" s="208" t="s">
        <v>90</v>
      </c>
      <c r="D104" s="209">
        <v>9</v>
      </c>
      <c r="E104" s="209">
        <v>10</v>
      </c>
      <c r="F104" s="209">
        <v>9</v>
      </c>
      <c r="G104" s="209">
        <v>0</v>
      </c>
      <c r="H104" s="209">
        <v>0</v>
      </c>
      <c r="I104" s="209">
        <v>0</v>
      </c>
      <c r="J104" s="209">
        <v>4</v>
      </c>
      <c r="K104" s="209">
        <v>4</v>
      </c>
      <c r="L104" s="209">
        <v>4</v>
      </c>
      <c r="M104" s="209">
        <v>9</v>
      </c>
      <c r="N104" s="209">
        <v>11.5</v>
      </c>
      <c r="O104" s="209">
        <v>8</v>
      </c>
      <c r="P104" s="210">
        <f>SUM(D104:O104)</f>
        <v>68.5</v>
      </c>
    </row>
    <row r="105" spans="2:16" x14ac:dyDescent="0.35">
      <c r="B105" s="894"/>
      <c r="C105" s="208" t="s">
        <v>92</v>
      </c>
      <c r="D105" s="209">
        <v>5</v>
      </c>
      <c r="E105" s="209">
        <v>5</v>
      </c>
      <c r="F105" s="209">
        <v>0</v>
      </c>
      <c r="G105" s="209">
        <v>0</v>
      </c>
      <c r="H105" s="209">
        <v>0</v>
      </c>
      <c r="I105" s="209">
        <v>1</v>
      </c>
      <c r="J105" s="209">
        <v>8</v>
      </c>
      <c r="K105" s="209">
        <v>9</v>
      </c>
      <c r="L105" s="209">
        <v>6</v>
      </c>
      <c r="M105" s="209">
        <v>7</v>
      </c>
      <c r="N105" s="209">
        <v>6.5</v>
      </c>
      <c r="O105" s="209">
        <v>10</v>
      </c>
      <c r="P105" s="210">
        <f>SUM(D105:O105)</f>
        <v>57.5</v>
      </c>
    </row>
    <row r="106" spans="2:16" ht="15" thickBot="1" x14ac:dyDescent="0.4">
      <c r="B106" s="894"/>
      <c r="C106" s="212" t="s">
        <v>94</v>
      </c>
      <c r="D106" s="213">
        <f>SUM(D104:D105)</f>
        <v>14</v>
      </c>
      <c r="E106" s="213">
        <f t="shared" ref="E106:O106" si="41">SUM(E104:E105)</f>
        <v>15</v>
      </c>
      <c r="F106" s="213">
        <f t="shared" si="41"/>
        <v>9</v>
      </c>
      <c r="G106" s="213">
        <f t="shared" si="41"/>
        <v>0</v>
      </c>
      <c r="H106" s="213">
        <f t="shared" si="41"/>
        <v>0</v>
      </c>
      <c r="I106" s="213">
        <f t="shared" si="41"/>
        <v>1</v>
      </c>
      <c r="J106" s="213">
        <f t="shared" si="41"/>
        <v>12</v>
      </c>
      <c r="K106" s="213">
        <f t="shared" si="41"/>
        <v>13</v>
      </c>
      <c r="L106" s="213">
        <f t="shared" si="41"/>
        <v>10</v>
      </c>
      <c r="M106" s="213">
        <f t="shared" si="41"/>
        <v>16</v>
      </c>
      <c r="N106" s="213">
        <f t="shared" si="41"/>
        <v>18</v>
      </c>
      <c r="O106" s="213">
        <f t="shared" si="41"/>
        <v>18</v>
      </c>
      <c r="P106" s="210">
        <f>SUM(D106:O106)</f>
        <v>126</v>
      </c>
    </row>
    <row r="107" spans="2:16" ht="16" thickBot="1" x14ac:dyDescent="0.4">
      <c r="B107" s="895"/>
      <c r="C107" s="214" t="s">
        <v>96</v>
      </c>
      <c r="D107" s="215">
        <f>D106/D$71</f>
        <v>0.46666666666666667</v>
      </c>
      <c r="E107" s="215">
        <f t="shared" ref="E107:P107" si="42">E106/E$71</f>
        <v>0.4838709677419355</v>
      </c>
      <c r="F107" s="215">
        <f t="shared" si="42"/>
        <v>0.3</v>
      </c>
      <c r="G107" s="215">
        <f t="shared" si="42"/>
        <v>0</v>
      </c>
      <c r="H107" s="215">
        <f t="shared" si="42"/>
        <v>0</v>
      </c>
      <c r="I107" s="215">
        <f t="shared" si="42"/>
        <v>3.3333333333333333E-2</v>
      </c>
      <c r="J107" s="215">
        <f t="shared" si="42"/>
        <v>0.38709677419354838</v>
      </c>
      <c r="K107" s="215">
        <f t="shared" si="42"/>
        <v>0.43333333333333335</v>
      </c>
      <c r="L107" s="215">
        <f t="shared" si="42"/>
        <v>0.32258064516129031</v>
      </c>
      <c r="M107" s="215">
        <f t="shared" si="42"/>
        <v>0.5161290322580645</v>
      </c>
      <c r="N107" s="215">
        <f t="shared" si="42"/>
        <v>0.6428571428571429</v>
      </c>
      <c r="O107" s="215">
        <f t="shared" si="42"/>
        <v>0.58064516129032262</v>
      </c>
      <c r="P107" s="215">
        <f t="shared" si="42"/>
        <v>0.34520547945205482</v>
      </c>
    </row>
    <row r="108" spans="2:16" x14ac:dyDescent="0.35">
      <c r="B108" s="896" t="s">
        <v>104</v>
      </c>
      <c r="C108" s="899"/>
      <c r="D108" s="219">
        <f t="shared" ref="D108:O109" si="43">D76+D80+D84+D88+D92+D96+D100+D104</f>
        <v>145</v>
      </c>
      <c r="E108" s="220">
        <f t="shared" si="43"/>
        <v>160</v>
      </c>
      <c r="F108" s="220">
        <f t="shared" si="43"/>
        <v>142</v>
      </c>
      <c r="G108" s="220">
        <f t="shared" si="43"/>
        <v>127</v>
      </c>
      <c r="H108" s="220">
        <f t="shared" si="43"/>
        <v>158</v>
      </c>
      <c r="I108" s="220">
        <f t="shared" si="43"/>
        <v>149</v>
      </c>
      <c r="J108" s="220">
        <f t="shared" si="43"/>
        <v>130</v>
      </c>
      <c r="K108" s="220">
        <f t="shared" si="43"/>
        <v>148</v>
      </c>
      <c r="L108" s="220">
        <f t="shared" si="43"/>
        <v>152</v>
      </c>
      <c r="M108" s="220">
        <f t="shared" si="43"/>
        <v>155.29999999999998</v>
      </c>
      <c r="N108" s="220">
        <f t="shared" si="43"/>
        <v>170.9</v>
      </c>
      <c r="O108" s="220">
        <f t="shared" si="43"/>
        <v>179.29999999999998</v>
      </c>
      <c r="P108" s="210">
        <f>SUM(D108:O108)</f>
        <v>1816.5</v>
      </c>
    </row>
    <row r="109" spans="2:16" x14ac:dyDescent="0.35">
      <c r="B109" s="815" t="s">
        <v>105</v>
      </c>
      <c r="C109" s="900"/>
      <c r="D109" s="219">
        <f t="shared" si="43"/>
        <v>261</v>
      </c>
      <c r="E109" s="220">
        <f t="shared" si="43"/>
        <v>241</v>
      </c>
      <c r="F109" s="220">
        <f t="shared" si="43"/>
        <v>269</v>
      </c>
      <c r="G109" s="220">
        <f t="shared" si="43"/>
        <v>242</v>
      </c>
      <c r="H109" s="220">
        <f t="shared" si="43"/>
        <v>281</v>
      </c>
      <c r="I109" s="220">
        <f t="shared" si="43"/>
        <v>285</v>
      </c>
      <c r="J109" s="220">
        <f t="shared" si="43"/>
        <v>312</v>
      </c>
      <c r="K109" s="220">
        <f t="shared" si="43"/>
        <v>318</v>
      </c>
      <c r="L109" s="220">
        <f t="shared" si="43"/>
        <v>353</v>
      </c>
      <c r="M109" s="220">
        <f t="shared" si="43"/>
        <v>333.7</v>
      </c>
      <c r="N109" s="220">
        <f t="shared" si="43"/>
        <v>300.10000000000002</v>
      </c>
      <c r="O109" s="220">
        <f t="shared" si="43"/>
        <v>327.70000000000005</v>
      </c>
      <c r="P109" s="210">
        <f>SUM(D109:O109)</f>
        <v>3523.5</v>
      </c>
    </row>
    <row r="110" spans="2:16" ht="19" thickBot="1" x14ac:dyDescent="0.4">
      <c r="B110" s="815" t="s">
        <v>46</v>
      </c>
      <c r="C110" s="900"/>
      <c r="D110" s="219">
        <f>SUM(D108:D109)</f>
        <v>406</v>
      </c>
      <c r="E110" s="220">
        <f t="shared" ref="E110:O110" si="44">SUM(E108:E109)</f>
        <v>401</v>
      </c>
      <c r="F110" s="220">
        <f t="shared" si="44"/>
        <v>411</v>
      </c>
      <c r="G110" s="220">
        <f t="shared" si="44"/>
        <v>369</v>
      </c>
      <c r="H110" s="220">
        <f t="shared" si="44"/>
        <v>439</v>
      </c>
      <c r="I110" s="220">
        <f t="shared" si="44"/>
        <v>434</v>
      </c>
      <c r="J110" s="220">
        <f t="shared" si="44"/>
        <v>442</v>
      </c>
      <c r="K110" s="220">
        <f t="shared" si="44"/>
        <v>466</v>
      </c>
      <c r="L110" s="220">
        <f t="shared" si="44"/>
        <v>505</v>
      </c>
      <c r="M110" s="220">
        <f t="shared" si="44"/>
        <v>489</v>
      </c>
      <c r="N110" s="220">
        <f t="shared" si="44"/>
        <v>471</v>
      </c>
      <c r="O110" s="220">
        <f t="shared" si="44"/>
        <v>507</v>
      </c>
      <c r="P110" s="221">
        <f>SUM(D110:O110)</f>
        <v>5340</v>
      </c>
    </row>
    <row r="111" spans="2:16" ht="16" thickBot="1" x14ac:dyDescent="0.4">
      <c r="B111" s="901" t="s">
        <v>96</v>
      </c>
      <c r="C111" s="902"/>
      <c r="D111" s="215">
        <f>D110/D$71</f>
        <v>13.533333333333333</v>
      </c>
      <c r="E111" s="215">
        <f t="shared" ref="E111:P111" si="45">E110/E$71</f>
        <v>12.935483870967742</v>
      </c>
      <c r="F111" s="215">
        <f t="shared" si="45"/>
        <v>13.7</v>
      </c>
      <c r="G111" s="215">
        <f t="shared" si="45"/>
        <v>11.903225806451612</v>
      </c>
      <c r="H111" s="215">
        <f t="shared" si="45"/>
        <v>14.161290322580646</v>
      </c>
      <c r="I111" s="215">
        <f t="shared" si="45"/>
        <v>14.466666666666667</v>
      </c>
      <c r="J111" s="215">
        <f t="shared" si="45"/>
        <v>14.258064516129032</v>
      </c>
      <c r="K111" s="215">
        <f t="shared" si="45"/>
        <v>15.533333333333333</v>
      </c>
      <c r="L111" s="215">
        <f t="shared" si="45"/>
        <v>16.29032258064516</v>
      </c>
      <c r="M111" s="215">
        <f t="shared" si="45"/>
        <v>15.774193548387096</v>
      </c>
      <c r="N111" s="215">
        <f t="shared" si="45"/>
        <v>16.821428571428573</v>
      </c>
      <c r="O111" s="215">
        <f t="shared" si="45"/>
        <v>16.35483870967742</v>
      </c>
      <c r="P111" s="215">
        <f t="shared" si="45"/>
        <v>14.63013698630137</v>
      </c>
    </row>
    <row r="112" spans="2:16" x14ac:dyDescent="0.35">
      <c r="B112" s="224"/>
      <c r="C112" s="224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</row>
    <row r="113" spans="2:16" x14ac:dyDescent="0.35">
      <c r="B113" s="192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193"/>
      <c r="O113" s="193"/>
      <c r="P113" s="194"/>
    </row>
    <row r="114" spans="2:16" x14ac:dyDescent="0.35">
      <c r="B114" s="192"/>
      <c r="C114" s="193"/>
      <c r="D114" s="203" t="s">
        <v>109</v>
      </c>
      <c r="E114" s="203" t="s">
        <v>110</v>
      </c>
      <c r="F114" s="203" t="s">
        <v>111</v>
      </c>
      <c r="G114" s="203" t="s">
        <v>112</v>
      </c>
      <c r="H114" s="203" t="s">
        <v>113</v>
      </c>
      <c r="I114" s="203" t="s">
        <v>114</v>
      </c>
      <c r="J114" s="203" t="s">
        <v>115</v>
      </c>
      <c r="K114" s="203" t="s">
        <v>116</v>
      </c>
      <c r="L114" s="203" t="s">
        <v>117</v>
      </c>
      <c r="M114" s="230" t="s">
        <v>118</v>
      </c>
      <c r="N114" s="230" t="s">
        <v>119</v>
      </c>
      <c r="O114" s="204" t="s">
        <v>120</v>
      </c>
      <c r="P114" s="225" t="s">
        <v>81</v>
      </c>
    </row>
    <row r="115" spans="2:16" x14ac:dyDescent="0.35">
      <c r="B115" s="809" t="s">
        <v>1</v>
      </c>
      <c r="C115" s="226" t="s">
        <v>90</v>
      </c>
      <c r="D115" s="210">
        <v>49</v>
      </c>
      <c r="E115" s="210">
        <v>43</v>
      </c>
      <c r="F115" s="210">
        <v>50</v>
      </c>
      <c r="G115" s="210">
        <v>39</v>
      </c>
      <c r="H115" s="210">
        <v>45</v>
      </c>
      <c r="I115" s="210">
        <v>46</v>
      </c>
      <c r="J115" s="210">
        <v>51</v>
      </c>
      <c r="K115" s="210">
        <v>58</v>
      </c>
      <c r="L115" s="227">
        <v>48</v>
      </c>
      <c r="M115" s="227">
        <v>59.4</v>
      </c>
      <c r="N115" s="227">
        <v>58.7</v>
      </c>
      <c r="O115" s="227">
        <v>62</v>
      </c>
      <c r="P115" s="228">
        <f>D115+E115+F115+G115+H115+I115+J115+K115+L115+M115+N115+O115</f>
        <v>609.1</v>
      </c>
    </row>
    <row r="116" spans="2:16" x14ac:dyDescent="0.35">
      <c r="B116" s="809"/>
      <c r="C116" s="226" t="s">
        <v>92</v>
      </c>
      <c r="D116" s="210">
        <v>75</v>
      </c>
      <c r="E116" s="210">
        <v>78</v>
      </c>
      <c r="F116" s="210">
        <v>91</v>
      </c>
      <c r="G116" s="210">
        <v>69</v>
      </c>
      <c r="H116" s="210">
        <v>80</v>
      </c>
      <c r="I116" s="210">
        <v>89</v>
      </c>
      <c r="J116" s="210">
        <v>83</v>
      </c>
      <c r="K116" s="210">
        <v>86</v>
      </c>
      <c r="L116" s="227">
        <v>100</v>
      </c>
      <c r="M116" s="227">
        <v>87.6</v>
      </c>
      <c r="N116" s="227">
        <v>96.3</v>
      </c>
      <c r="O116" s="227">
        <v>103</v>
      </c>
      <c r="P116" s="228">
        <f t="shared" ref="P116:P127" si="46">D116+E116+F116+G116+H116+I116+J116+K116+L116+M116+N116+O116</f>
        <v>1037.9000000000001</v>
      </c>
    </row>
    <row r="117" spans="2:16" x14ac:dyDescent="0.35">
      <c r="B117" s="809" t="s">
        <v>2</v>
      </c>
      <c r="C117" s="226" t="s">
        <v>90</v>
      </c>
      <c r="D117" s="210">
        <v>17</v>
      </c>
      <c r="E117" s="210">
        <v>21</v>
      </c>
      <c r="F117" s="210">
        <v>27</v>
      </c>
      <c r="G117" s="210">
        <v>31</v>
      </c>
      <c r="H117" s="210">
        <v>38</v>
      </c>
      <c r="I117" s="210">
        <v>34</v>
      </c>
      <c r="J117" s="210">
        <v>29</v>
      </c>
      <c r="K117" s="210">
        <v>24</v>
      </c>
      <c r="L117" s="227">
        <v>23</v>
      </c>
      <c r="M117" s="227">
        <v>24.9</v>
      </c>
      <c r="N117" s="227">
        <v>31.8</v>
      </c>
      <c r="O117" s="227">
        <v>39.5</v>
      </c>
      <c r="P117" s="228">
        <f t="shared" si="46"/>
        <v>340.2</v>
      </c>
    </row>
    <row r="118" spans="2:16" x14ac:dyDescent="0.35">
      <c r="B118" s="809"/>
      <c r="C118" s="226" t="s">
        <v>92</v>
      </c>
      <c r="D118" s="210">
        <v>50</v>
      </c>
      <c r="E118" s="210">
        <v>50</v>
      </c>
      <c r="F118" s="210">
        <v>46</v>
      </c>
      <c r="G118" s="210">
        <v>63</v>
      </c>
      <c r="H118" s="210">
        <v>66</v>
      </c>
      <c r="I118" s="210">
        <v>56</v>
      </c>
      <c r="J118" s="210">
        <v>64</v>
      </c>
      <c r="K118" s="210">
        <v>68</v>
      </c>
      <c r="L118" s="227">
        <v>68</v>
      </c>
      <c r="M118" s="227">
        <v>76.099999999999994</v>
      </c>
      <c r="N118" s="227">
        <v>66.2</v>
      </c>
      <c r="O118" s="227">
        <v>75.5</v>
      </c>
      <c r="P118" s="228">
        <f t="shared" si="46"/>
        <v>748.80000000000007</v>
      </c>
    </row>
    <row r="119" spans="2:16" x14ac:dyDescent="0.35">
      <c r="B119" s="809" t="s">
        <v>3</v>
      </c>
      <c r="C119" s="226" t="s">
        <v>90</v>
      </c>
      <c r="D119" s="210">
        <v>53</v>
      </c>
      <c r="E119" s="210">
        <v>63</v>
      </c>
      <c r="F119" s="210">
        <v>43</v>
      </c>
      <c r="G119" s="210">
        <v>46</v>
      </c>
      <c r="H119" s="210">
        <v>56</v>
      </c>
      <c r="I119" s="210">
        <v>52</v>
      </c>
      <c r="J119" s="210">
        <v>31</v>
      </c>
      <c r="K119" s="210">
        <v>44</v>
      </c>
      <c r="L119" s="227">
        <v>60</v>
      </c>
      <c r="M119" s="227">
        <v>42</v>
      </c>
      <c r="N119" s="227">
        <v>54</v>
      </c>
      <c r="O119" s="227">
        <v>46</v>
      </c>
      <c r="P119" s="228">
        <f t="shared" si="46"/>
        <v>590</v>
      </c>
    </row>
    <row r="120" spans="2:16" x14ac:dyDescent="0.35">
      <c r="B120" s="809"/>
      <c r="C120" s="226" t="s">
        <v>92</v>
      </c>
      <c r="D120" s="210">
        <v>78</v>
      </c>
      <c r="E120" s="210">
        <v>67</v>
      </c>
      <c r="F120" s="210">
        <v>59</v>
      </c>
      <c r="G120" s="210">
        <v>62</v>
      </c>
      <c r="H120" s="210">
        <v>56</v>
      </c>
      <c r="I120" s="210">
        <v>82</v>
      </c>
      <c r="J120" s="210">
        <v>87</v>
      </c>
      <c r="K120" s="210">
        <v>103</v>
      </c>
      <c r="L120" s="227">
        <v>111</v>
      </c>
      <c r="M120" s="227">
        <v>100</v>
      </c>
      <c r="N120" s="227">
        <v>76</v>
      </c>
      <c r="O120" s="227">
        <v>82</v>
      </c>
      <c r="P120" s="228">
        <f t="shared" si="46"/>
        <v>963</v>
      </c>
    </row>
    <row r="121" spans="2:16" x14ac:dyDescent="0.35">
      <c r="B121" s="809" t="s">
        <v>47</v>
      </c>
      <c r="C121" s="226" t="s">
        <v>90</v>
      </c>
      <c r="D121" s="210">
        <v>26</v>
      </c>
      <c r="E121" s="210">
        <v>33</v>
      </c>
      <c r="F121" s="210">
        <v>22</v>
      </c>
      <c r="G121" s="210">
        <v>11</v>
      </c>
      <c r="H121" s="210">
        <v>19</v>
      </c>
      <c r="I121" s="210">
        <v>17</v>
      </c>
      <c r="J121" s="210">
        <v>19</v>
      </c>
      <c r="K121" s="210">
        <v>22</v>
      </c>
      <c r="L121" s="227">
        <v>21</v>
      </c>
      <c r="M121" s="227">
        <v>29</v>
      </c>
      <c r="N121" s="227">
        <v>26.4</v>
      </c>
      <c r="O121" s="227">
        <v>31.8</v>
      </c>
      <c r="P121" s="228">
        <f t="shared" si="46"/>
        <v>277.2</v>
      </c>
    </row>
    <row r="122" spans="2:16" x14ac:dyDescent="0.35">
      <c r="B122" s="809"/>
      <c r="C122" s="226" t="s">
        <v>92</v>
      </c>
      <c r="D122" s="210">
        <v>58</v>
      </c>
      <c r="E122" s="210">
        <v>43</v>
      </c>
      <c r="F122" s="210">
        <v>62</v>
      </c>
      <c r="G122" s="210">
        <v>48</v>
      </c>
      <c r="H122" s="210">
        <v>75</v>
      </c>
      <c r="I122" s="210">
        <v>48</v>
      </c>
      <c r="J122" s="210">
        <v>64</v>
      </c>
      <c r="K122" s="210">
        <v>55</v>
      </c>
      <c r="L122" s="227">
        <v>71</v>
      </c>
      <c r="M122" s="227">
        <v>67</v>
      </c>
      <c r="N122" s="227">
        <v>60.6</v>
      </c>
      <c r="O122" s="227">
        <v>66.2</v>
      </c>
      <c r="P122" s="228">
        <f t="shared" si="46"/>
        <v>717.80000000000007</v>
      </c>
    </row>
    <row r="123" spans="2:16" x14ac:dyDescent="0.35">
      <c r="B123" s="809" t="s">
        <v>48</v>
      </c>
      <c r="C123" s="226" t="s">
        <v>90</v>
      </c>
      <c r="D123" s="210">
        <v>0</v>
      </c>
      <c r="E123" s="210">
        <v>0</v>
      </c>
      <c r="F123" s="210">
        <v>0</v>
      </c>
      <c r="G123" s="210">
        <v>0</v>
      </c>
      <c r="H123" s="210">
        <v>0</v>
      </c>
      <c r="I123" s="210">
        <v>0</v>
      </c>
      <c r="J123" s="210">
        <v>0</v>
      </c>
      <c r="K123" s="210">
        <v>0</v>
      </c>
      <c r="L123" s="227">
        <v>0</v>
      </c>
      <c r="M123" s="227">
        <v>0</v>
      </c>
      <c r="N123" s="227">
        <v>0</v>
      </c>
      <c r="O123" s="227">
        <v>0</v>
      </c>
      <c r="P123" s="228">
        <f t="shared" si="46"/>
        <v>0</v>
      </c>
    </row>
    <row r="124" spans="2:16" x14ac:dyDescent="0.35">
      <c r="B124" s="809"/>
      <c r="C124" s="226" t="s">
        <v>92</v>
      </c>
      <c r="D124" s="210">
        <v>0</v>
      </c>
      <c r="E124" s="210">
        <v>3</v>
      </c>
      <c r="F124" s="210">
        <v>11</v>
      </c>
      <c r="G124" s="210">
        <v>0</v>
      </c>
      <c r="H124" s="210">
        <v>4</v>
      </c>
      <c r="I124" s="210">
        <v>10</v>
      </c>
      <c r="J124" s="210">
        <v>14</v>
      </c>
      <c r="K124" s="210">
        <v>6</v>
      </c>
      <c r="L124" s="227">
        <v>3</v>
      </c>
      <c r="M124" s="227">
        <v>3</v>
      </c>
      <c r="N124" s="227">
        <v>1</v>
      </c>
      <c r="O124" s="227">
        <v>1</v>
      </c>
      <c r="P124" s="228">
        <f t="shared" si="46"/>
        <v>56</v>
      </c>
    </row>
    <row r="125" spans="2:16" x14ac:dyDescent="0.35">
      <c r="B125" s="813" t="s">
        <v>106</v>
      </c>
      <c r="C125" s="814"/>
      <c r="D125" s="203">
        <f t="shared" ref="D125:O126" si="47">D115+D117+D119+D121+D123</f>
        <v>145</v>
      </c>
      <c r="E125" s="203">
        <f t="shared" si="47"/>
        <v>160</v>
      </c>
      <c r="F125" s="203">
        <f t="shared" si="47"/>
        <v>142</v>
      </c>
      <c r="G125" s="203">
        <f t="shared" si="47"/>
        <v>127</v>
      </c>
      <c r="H125" s="203">
        <f t="shared" si="47"/>
        <v>158</v>
      </c>
      <c r="I125" s="203">
        <f t="shared" si="47"/>
        <v>149</v>
      </c>
      <c r="J125" s="203">
        <f t="shared" si="47"/>
        <v>130</v>
      </c>
      <c r="K125" s="203">
        <f t="shared" si="47"/>
        <v>148</v>
      </c>
      <c r="L125" s="203">
        <f t="shared" si="47"/>
        <v>152</v>
      </c>
      <c r="M125" s="203">
        <f t="shared" si="47"/>
        <v>155.30000000000001</v>
      </c>
      <c r="N125" s="203">
        <f t="shared" si="47"/>
        <v>170.9</v>
      </c>
      <c r="O125" s="203">
        <f t="shared" si="47"/>
        <v>179.3</v>
      </c>
      <c r="P125" s="228">
        <f t="shared" si="46"/>
        <v>1816.5</v>
      </c>
    </row>
    <row r="126" spans="2:16" x14ac:dyDescent="0.35">
      <c r="B126" s="813" t="s">
        <v>107</v>
      </c>
      <c r="C126" s="814"/>
      <c r="D126" s="203">
        <f t="shared" si="47"/>
        <v>261</v>
      </c>
      <c r="E126" s="203">
        <f t="shared" si="47"/>
        <v>241</v>
      </c>
      <c r="F126" s="203">
        <f t="shared" si="47"/>
        <v>269</v>
      </c>
      <c r="G126" s="203">
        <f t="shared" si="47"/>
        <v>242</v>
      </c>
      <c r="H126" s="203">
        <f t="shared" si="47"/>
        <v>281</v>
      </c>
      <c r="I126" s="203">
        <f t="shared" si="47"/>
        <v>285</v>
      </c>
      <c r="J126" s="203">
        <f t="shared" si="47"/>
        <v>312</v>
      </c>
      <c r="K126" s="203">
        <f t="shared" si="47"/>
        <v>318</v>
      </c>
      <c r="L126" s="203">
        <f t="shared" si="47"/>
        <v>353</v>
      </c>
      <c r="M126" s="203">
        <f t="shared" si="47"/>
        <v>333.7</v>
      </c>
      <c r="N126" s="203">
        <f t="shared" si="47"/>
        <v>300.10000000000002</v>
      </c>
      <c r="O126" s="203">
        <f t="shared" si="47"/>
        <v>327.7</v>
      </c>
      <c r="P126" s="228">
        <f t="shared" si="46"/>
        <v>3523.4999999999995</v>
      </c>
    </row>
    <row r="127" spans="2:16" ht="18.5" x14ac:dyDescent="0.35">
      <c r="B127" s="815" t="s">
        <v>46</v>
      </c>
      <c r="C127" s="816"/>
      <c r="D127" s="203">
        <f>SUM(D125:D126)</f>
        <v>406</v>
      </c>
      <c r="E127" s="203">
        <f t="shared" ref="E127:O127" si="48">SUM(E125:E126)</f>
        <v>401</v>
      </c>
      <c r="F127" s="203">
        <f t="shared" si="48"/>
        <v>411</v>
      </c>
      <c r="G127" s="203">
        <f t="shared" si="48"/>
        <v>369</v>
      </c>
      <c r="H127" s="203">
        <f t="shared" si="48"/>
        <v>439</v>
      </c>
      <c r="I127" s="203">
        <f t="shared" si="48"/>
        <v>434</v>
      </c>
      <c r="J127" s="203">
        <f t="shared" si="48"/>
        <v>442</v>
      </c>
      <c r="K127" s="203">
        <f t="shared" si="48"/>
        <v>466</v>
      </c>
      <c r="L127" s="203">
        <f t="shared" si="48"/>
        <v>505</v>
      </c>
      <c r="M127" s="203">
        <f t="shared" si="48"/>
        <v>489</v>
      </c>
      <c r="N127" s="203">
        <f t="shared" si="48"/>
        <v>471</v>
      </c>
      <c r="O127" s="203">
        <f t="shared" si="48"/>
        <v>507</v>
      </c>
      <c r="P127" s="221">
        <f t="shared" si="46"/>
        <v>5340</v>
      </c>
    </row>
  </sheetData>
  <mergeCells count="42">
    <mergeCell ref="B127:C127"/>
    <mergeCell ref="B108:C108"/>
    <mergeCell ref="B109:C109"/>
    <mergeCell ref="B110:C110"/>
    <mergeCell ref="B111:C111"/>
    <mergeCell ref="B115:B116"/>
    <mergeCell ref="B117:B118"/>
    <mergeCell ref="B119:B120"/>
    <mergeCell ref="B121:B122"/>
    <mergeCell ref="B123:B124"/>
    <mergeCell ref="B125:C125"/>
    <mergeCell ref="B126:C126"/>
    <mergeCell ref="B104:B107"/>
    <mergeCell ref="B56:C56"/>
    <mergeCell ref="B57:C57"/>
    <mergeCell ref="B58:C58"/>
    <mergeCell ref="B72:P72"/>
    <mergeCell ref="B76:B79"/>
    <mergeCell ref="B80:B83"/>
    <mergeCell ref="B84:B87"/>
    <mergeCell ref="B88:B91"/>
    <mergeCell ref="B92:B95"/>
    <mergeCell ref="B96:B99"/>
    <mergeCell ref="B100:B103"/>
    <mergeCell ref="B54:B55"/>
    <mergeCell ref="B27:B30"/>
    <mergeCell ref="B31:B34"/>
    <mergeCell ref="B35:B38"/>
    <mergeCell ref="B39:C39"/>
    <mergeCell ref="B40:C40"/>
    <mergeCell ref="B41:C41"/>
    <mergeCell ref="B42:C42"/>
    <mergeCell ref="B46:B47"/>
    <mergeCell ref="B48:B49"/>
    <mergeCell ref="B50:B51"/>
    <mergeCell ref="B52:B53"/>
    <mergeCell ref="B23:B26"/>
    <mergeCell ref="B3:P3"/>
    <mergeCell ref="B7:B10"/>
    <mergeCell ref="B11:B14"/>
    <mergeCell ref="B15:B18"/>
    <mergeCell ref="B19:B22"/>
  </mergeCells>
  <printOptions horizontalCentered="1" verticalCentered="1"/>
  <pageMargins left="0.70866141732283472" right="0.70866141732283472" top="0.28999999999999998" bottom="0.23" header="0.2" footer="0.2"/>
  <pageSetup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Rake Loading Time</vt:lpstr>
      <vt:lpstr>Monthly Rake Average</vt:lpstr>
      <vt:lpstr>MINES PLANT BSP CBT-ACT 20-21</vt:lpstr>
      <vt:lpstr>PLANT CBT-ACT 19-20</vt:lpstr>
      <vt:lpstr>mines-cbt vs act19-20</vt:lpstr>
      <vt:lpstr>Plantwise Avg Rake- Incl Flux</vt:lpstr>
      <vt:lpstr>mines-cbt vs act18-19</vt:lpstr>
      <vt:lpstr>Plants_Rake_Ldg_wrt_CBT</vt:lpstr>
      <vt:lpstr>Mines_Rakes_Monthwise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2022-03-05T10:34:39Z</dcterms:modified>
</cp:coreProperties>
</file>